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J:\Maryland\Riverdale\ITD\IMC\5.7 050 PRA\ICR ACTIVE\VS\VS 0015 2026\IMB\"/>
    </mc:Choice>
  </mc:AlternateContent>
  <xr:revisionPtr revIDLastSave="0" documentId="13_ncr:1_{54882FB5-5193-49E7-94BE-782CBB73818A}" xr6:coauthVersionLast="47" xr6:coauthVersionMax="47" xr10:uidLastSave="{00000000-0000-0000-0000-000000000000}"/>
  <bookViews>
    <workbookView xWindow="67080" yWindow="-120" windowWidth="29040" windowHeight="15720" tabRatio="389" xr2:uid="{F38D79EA-36B0-400D-84E7-32D0B3AB86E3}"/>
  </bookViews>
  <sheets>
    <sheet name="APHIS 71" sheetId="1" r:id="rId1"/>
    <sheet name="IMB ROCIS Calcs" sheetId="4" r:id="rId2"/>
    <sheet name="IMB SS Q12-SOCC" sheetId="9" r:id="rId3"/>
  </sheets>
  <definedNames>
    <definedName name="_xlnm.Print_Area" localSheetId="1">'IMB ROCIS Calcs'!$A$5:$F$45</definedName>
    <definedName name="_xlnm.Print_Area" localSheetId="2">'IMB SS Q12-SOCC'!$A$1:$D$37</definedName>
    <definedName name="_xlnm.Print_Titles" localSheetId="0">'APHIS 71'!$11:$12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5" i="4" l="1"/>
  <c r="E12" i="4"/>
  <c r="E7" i="4"/>
  <c r="E6" i="4"/>
  <c r="E10" i="4"/>
  <c r="L5" i="1" l="1"/>
  <c r="L4" i="1"/>
  <c r="L7" i="1" l="1"/>
  <c r="L36" i="1" l="1"/>
  <c r="L35" i="1"/>
  <c r="L34" i="1"/>
  <c r="L33" i="1" l="1"/>
  <c r="L32" i="1"/>
  <c r="L31" i="1"/>
  <c r="L30" i="1"/>
  <c r="L29" i="1"/>
  <c r="L28" i="1"/>
  <c r="L27" i="1" l="1"/>
  <c r="L26" i="1"/>
  <c r="L25" i="1"/>
  <c r="L24" i="1"/>
  <c r="L23" i="1"/>
  <c r="L22" i="1"/>
  <c r="L21" i="1"/>
  <c r="L20" i="1"/>
  <c r="L19" i="1"/>
  <c r="C27" i="9"/>
  <c r="C25" i="9"/>
  <c r="C20" i="9"/>
  <c r="B7" i="1" l="1"/>
  <c r="C24" i="9" l="1"/>
  <c r="O11" i="4"/>
  <c r="O10" i="4"/>
  <c r="O9" i="4"/>
  <c r="N11" i="4"/>
  <c r="N10" i="4"/>
  <c r="N9" i="4"/>
  <c r="M11" i="4"/>
  <c r="L11" i="4"/>
  <c r="L10" i="4"/>
  <c r="L9" i="4"/>
  <c r="K11" i="4"/>
  <c r="B18" i="4" l="1"/>
  <c r="K18" i="4" s="1"/>
  <c r="M18" i="4" l="1"/>
  <c r="E43" i="4"/>
  <c r="H44" i="4" s="1"/>
  <c r="B16" i="4"/>
  <c r="K15" i="4" s="1"/>
  <c r="B44" i="4"/>
  <c r="B36" i="4"/>
  <c r="D19" i="4"/>
  <c r="H19" i="4" s="1"/>
  <c r="E27" i="4"/>
  <c r="H28" i="4" s="1"/>
  <c r="D27" i="4"/>
  <c r="H27" i="4" s="1"/>
  <c r="B28" i="4"/>
  <c r="D43" i="4"/>
  <c r="H43" i="4" s="1"/>
  <c r="B42" i="4"/>
  <c r="K42" i="4" s="1"/>
  <c r="M42" i="4" s="1"/>
  <c r="E35" i="4"/>
  <c r="H36" i="4" s="1"/>
  <c r="D35" i="4"/>
  <c r="H35" i="4" s="1"/>
  <c r="B34" i="4"/>
  <c r="K34" i="4" s="1"/>
  <c r="M34" i="4" s="1"/>
  <c r="B26" i="4"/>
  <c r="B20" i="4"/>
  <c r="H10" i="4" l="1"/>
  <c r="K26" i="4"/>
  <c r="K9" i="4" s="1"/>
  <c r="E13" i="4"/>
  <c r="B40" i="4" s="1"/>
  <c r="K39" i="4" s="1"/>
  <c r="E11" i="4"/>
  <c r="E9" i="4"/>
  <c r="E8" i="4"/>
  <c r="M26" i="4" l="1"/>
  <c r="M9" i="4" s="1"/>
  <c r="B32" i="4"/>
  <c r="K31" i="4" s="1"/>
  <c r="B24" i="4"/>
  <c r="K23" i="4" s="1"/>
  <c r="K6" i="4" l="1"/>
  <c r="B17" i="4" l="1"/>
  <c r="L14" i="1" l="1"/>
  <c r="L15" i="1"/>
  <c r="L16" i="1"/>
  <c r="L17" i="1"/>
  <c r="L18" i="1"/>
  <c r="E19" i="4" s="1"/>
  <c r="H20" i="4" s="1"/>
  <c r="H11" i="4" s="1"/>
  <c r="L13" i="1"/>
  <c r="L8" i="1" l="1"/>
  <c r="C23" i="9"/>
  <c r="B37" i="4"/>
  <c r="B21" i="4"/>
  <c r="B19" i="4"/>
  <c r="C19" i="4"/>
  <c r="B45" i="4"/>
  <c r="B43" i="4"/>
  <c r="C43" i="4"/>
  <c r="H42" i="4" s="1"/>
  <c r="C27" i="4"/>
  <c r="H26" i="4" s="1"/>
  <c r="B29" i="4"/>
  <c r="B27" i="4"/>
  <c r="C35" i="4"/>
  <c r="H34" i="4" s="1"/>
  <c r="L9" i="1" l="1"/>
  <c r="H29" i="4"/>
  <c r="K27" i="4" s="1"/>
  <c r="M27" i="4" s="1"/>
  <c r="H45" i="4"/>
  <c r="K43" i="4" s="1"/>
  <c r="M43" i="4" s="1"/>
  <c r="H37" i="4"/>
  <c r="K35" i="4" s="1"/>
  <c r="M35" i="4" s="1"/>
  <c r="H18" i="4"/>
  <c r="B25" i="4"/>
  <c r="E14" i="4"/>
  <c r="B41" i="4"/>
  <c r="B33" i="4"/>
  <c r="H9" i="4" l="1"/>
  <c r="H12" i="4" s="1"/>
  <c r="H21" i="4"/>
  <c r="K19" i="4" s="1"/>
  <c r="M19" i="4" l="1"/>
  <c r="M10" i="4" s="1"/>
  <c r="K10" i="4"/>
  <c r="B12" i="4"/>
  <c r="B11" i="4"/>
  <c r="B9"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4" authorId="0" shapeId="0" xr:uid="{8CCE2706-0A4C-4943-8409-74E34B6819B2}">
      <text>
        <r>
          <rPr>
            <sz val="9"/>
            <color indexed="81"/>
            <rFont val="Tahoma"/>
            <family val="2"/>
          </rPr>
          <t>Enter one:
-Proposed rule
-Final rule
-New ICR
-Renewal
-Reinstatement</t>
        </r>
      </text>
    </comment>
    <comment ref="K4"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5" authorId="0" shapeId="0" xr:uid="{A93ABDB6-51C9-4389-89B7-046F26BD5936}">
      <text>
        <r>
          <rPr>
            <sz val="9"/>
            <color indexed="81"/>
            <rFont val="Tahoma"/>
            <family val="2"/>
          </rPr>
          <t>This is the sum of all entries in Part II, Column J.</t>
        </r>
      </text>
    </comment>
    <comment ref="K6" authorId="0" shapeId="0" xr:uid="{1CE8DBDB-00D3-4941-90BA-495C4847D00E}">
      <text>
        <r>
          <rPr>
            <sz val="9"/>
            <color indexed="81"/>
            <rFont val="Tahoma"/>
            <family val="2"/>
          </rPr>
          <t>Enter the estimated percentage of total responses that are submitted electronically.</t>
        </r>
      </text>
    </comment>
    <comment ref="K7" authorId="0" shapeId="0" xr:uid="{26AD37F7-5A0B-46C7-BB7F-A6FBC9659299}">
      <text>
        <r>
          <rPr>
            <sz val="9"/>
            <color indexed="81"/>
            <rFont val="Tahoma"/>
            <family val="2"/>
          </rPr>
          <t>Automatically calculates; Total Respondents X Total Annual Respondents</t>
        </r>
      </text>
    </comment>
    <comment ref="A8" authorId="0" shapeId="0" xr:uid="{8098A881-9DCA-4651-9343-BB9832CAFFC5}">
      <text>
        <r>
          <rPr>
            <sz val="9"/>
            <color indexed="81"/>
            <rFont val="Tahoma"/>
            <family val="2"/>
          </rPr>
          <t>Docket number assigned by RAD for 60-day public comment period Federal Register notice</t>
        </r>
      </text>
    </comment>
    <comment ref="K8" authorId="0" shapeId="0" xr:uid="{FFCE0A2D-D908-4134-9318-8F9B011535B3}">
      <text>
        <r>
          <rPr>
            <sz val="9"/>
            <color indexed="81"/>
            <rFont val="Tahoma"/>
            <family val="2"/>
          </rPr>
          <t>This is the sum of all entries, Section II Column L</t>
        </r>
      </text>
    </comment>
    <comment ref="A9" authorId="0" shapeId="0" xr:uid="{7C728C08-EF2B-4508-BE6B-A151EBDCA0D5}">
      <text>
        <r>
          <rPr>
            <sz val="9"/>
            <color indexed="81"/>
            <rFont val="Tahoma"/>
            <family val="2"/>
          </rPr>
          <t>Citation for 60-day public comment period Federal Register notice (e.g., 84FR38333)</t>
        </r>
      </text>
    </comment>
    <comment ref="K9" authorId="0" shapeId="0" xr:uid="{07705983-F7DE-4634-830E-F4FFF6FCBF81}">
      <text>
        <r>
          <rPr>
            <sz val="9"/>
            <color indexed="81"/>
            <rFont val="Tahoma"/>
            <family val="2"/>
          </rPr>
          <t>Automatically calculates; Total Burden Hours ÷ Total Annual Responses</t>
        </r>
      </text>
    </comment>
    <comment ref="K10" authorId="0" shapeId="0" xr:uid="{1FD1AD0C-3748-4DF5-97E3-7F7319257665}">
      <text>
        <r>
          <rPr>
            <sz val="9"/>
            <color indexed="81"/>
            <rFont val="Tahoma"/>
            <family val="2"/>
          </rPr>
          <t>Enter the percentage of total business respondents that are small entities.</t>
        </r>
      </text>
    </comment>
    <comment ref="A12"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2"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2" authorId="0" shapeId="0" xr:uid="{41E1546F-5FB9-4770-BD23-2E7B067738B5}">
      <text>
        <r>
          <rPr>
            <sz val="9"/>
            <color indexed="81"/>
            <rFont val="Tahoma"/>
            <family val="2"/>
          </rPr>
          <t>Enter all that apply if the collection instrument is a form:
- Paper
-  PDF
-  Info System</t>
        </r>
      </text>
    </comment>
    <comment ref="E12"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2"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2"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2"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2"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2"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2"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2"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<sst xmlns="http://schemas.openxmlformats.org/spreadsheetml/2006/main" count="386" uniqueCount="182">
  <si>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</si>
  <si>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</si>
  <si>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</si>
  <si>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</si>
  <si>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</si>
  <si>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</si>
  <si>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</si>
  <si>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</si>
  <si>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</si>
  <si>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</si>
  <si>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</si>
  <si>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</si>
  <si>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</si>
  <si>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</si>
  <si>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</si>
  <si>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</si>
  <si>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</si>
  <si>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</si>
  <si>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</si>
  <si>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</si>
  <si>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</si>
  <si>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</si>
  <si>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</si>
  <si>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</si>
  <si>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</si>
  <si>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</si>
  <si>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</si>
  <si>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Collection Number</t>
  </si>
  <si>
    <t>Expiration Date</t>
  </si>
  <si>
    <t>Formula Check for Information Collections</t>
  </si>
  <si>
    <t>Summary</t>
  </si>
  <si>
    <t>Respondents</t>
  </si>
  <si>
    <t>A = Respondents (given)</t>
  </si>
  <si>
    <t>TITLE</t>
  </si>
  <si>
    <t>B = Responses per Respondent</t>
  </si>
  <si>
    <t>https://www.bls.gov/oes/current/oes_nat.htm#00-0000</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</si>
  <si>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</si>
  <si>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</si>
  <si>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</si>
  <si>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</si>
  <si>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</si>
  <si>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</si>
  <si>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</si>
  <si>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</si>
  <si>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</si>
  <si>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</si>
  <si>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</si>
  <si>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</si>
  <si>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</si>
  <si>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</si>
  <si>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</si>
  <si>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Total</t>
  </si>
  <si>
    <t>FG, Foreign Govt</t>
  </si>
  <si>
    <t>S1, State GovT</t>
  </si>
  <si>
    <t>S2, Local Govt</t>
  </si>
  <si>
    <t>S3, Tribal Govt</t>
  </si>
  <si>
    <t xml:space="preserve"> I, Individual or Household</t>
  </si>
  <si>
    <t>Foreign Govt</t>
  </si>
  <si>
    <t>3rd Party</t>
  </si>
  <si>
    <t>TOTAL RESPONDENTS</t>
  </si>
  <si>
    <t>00-0000</t>
  </si>
  <si>
    <t>PART I - ICR INFORMATION, POINT OF CONTACT, FEDERAL REGISTER NOTICE INFORMATION</t>
  </si>
  <si>
    <t>ADJUST FORMULAS WHEN SF FORMS ARE INCLUDED.</t>
  </si>
  <si>
    <t>Hours</t>
  </si>
  <si>
    <t>Requested</t>
  </si>
  <si>
    <t>Discretion</t>
  </si>
  <si>
    <t>Estimate</t>
  </si>
  <si>
    <t>Violation</t>
  </si>
  <si>
    <t>Previous</t>
  </si>
  <si>
    <t>Responses</t>
  </si>
  <si>
    <t>Recordkpng</t>
  </si>
  <si>
    <t>Third Party</t>
  </si>
  <si>
    <t>Costs</t>
  </si>
  <si>
    <t>Foreign Government</t>
  </si>
  <si>
    <t>Annual fees collected</t>
  </si>
  <si>
    <t>Individuals</t>
  </si>
  <si>
    <t>Total Hours</t>
  </si>
  <si>
    <t>Average Salary</t>
  </si>
  <si>
    <t>X benefits calc</t>
  </si>
  <si>
    <t>IMB USES THE TABLE BELOW TO ANSWER QUESTION 12; Example in row 4.</t>
  </si>
  <si>
    <t>h</t>
  </si>
  <si>
    <t>g</t>
  </si>
  <si>
    <t>g h</t>
  </si>
  <si>
    <t>INSTRUCTIONS: DATA POPULATES AUTOMATICALLY AS IT IS KEYED ONTO THE APHIS 71 WORKSHEET.</t>
  </si>
  <si>
    <t>YELLOW CELLS INDICATE THERE ARE FORMULAS AND LINKS TO OTHER CELLS ON WORKSHEET (COL B,C,D,E)</t>
  </si>
  <si>
    <t>Warning: Cells include formulas and links to other cells.</t>
  </si>
  <si>
    <t>Use this data in SS Q12 descriptive write-up.</t>
  </si>
  <si>
    <t>Arrows indicate data flow; Columns J thru O represent the ROCIS data entered for each repondent type.</t>
  </si>
  <si>
    <t>Data source for SOCC:</t>
  </si>
  <si>
    <t>CELLS AND FORMULAS IN BLACK MIGHT BE ABLE TO BE DELETED</t>
  </si>
  <si>
    <t>DATA PULLED FROM APHIS 71</t>
  </si>
  <si>
    <t>Column O</t>
  </si>
  <si>
    <t>Column L</t>
  </si>
  <si>
    <t>Column O data comes from ROCIS.</t>
  </si>
  <si>
    <t>O9/O10 will total automatically; should match ROCIS ICR data screen.</t>
  </si>
  <si>
    <t>Column M</t>
  </si>
  <si>
    <t>M9 / M10 should match ROCIS ICR data screen</t>
  </si>
  <si>
    <t>Column A</t>
  </si>
  <si>
    <t>Rows 20, 21, 28, 29, 36, 37, 44, 45 should</t>
  </si>
  <si>
    <t>match Column K responses &amp; hours.</t>
  </si>
  <si>
    <t>USED ICR VS 0101 2023 renewal, tab to create.</t>
  </si>
  <si>
    <t>NOTE TO IMS: Using Columns G through O may speed up ROCIS data entry and optional to use.</t>
  </si>
  <si>
    <t>INFORMATION ABOUT DATA</t>
  </si>
  <si>
    <t>Data from APHIS 71 OR ICR Compare sorted by respondent type.</t>
  </si>
  <si>
    <t>and then key in discretion numbers.</t>
  </si>
  <si>
    <t>%</t>
  </si>
  <si>
    <t>DATA COL H FED FROM COL A THRU E; COL O: EVERYTHING BELOW ROW 15 MANUALLY KEYED IN FROM ROCIS</t>
  </si>
  <si>
    <t>Average Hourly Wage Total for SS Q12 (Average will update once rows 4 thru 18 are updated.)</t>
  </si>
  <si>
    <t>AVG Wage</t>
  </si>
  <si>
    <t>Dept of Labor SOCC Code</t>
  </si>
  <si>
    <t>MANUAL DATA ENTRY:  O18, O19, O26, O27, O34, O35, O42, O43.</t>
  </si>
  <si>
    <t>1.4286 from 3/13/2024 - double check percentage every March.</t>
  </si>
  <si>
    <t>0579-0496</t>
  </si>
  <si>
    <t>Renewal</t>
  </si>
  <si>
    <t>Info system</t>
  </si>
  <si>
    <t>P1</t>
  </si>
  <si>
    <t>I</t>
  </si>
  <si>
    <t>S1</t>
  </si>
  <si>
    <t>none</t>
  </si>
  <si>
    <t>05/2025</t>
  </si>
  <si>
    <t>0579-0015</t>
  </si>
  <si>
    <t>Certificate from Inspector Stating Conveyance has been Cleaned</t>
  </si>
  <si>
    <t>9 CFR 94.5(c )(2)(ii)</t>
  </si>
  <si>
    <t>FG</t>
  </si>
  <si>
    <t xml:space="preserve">Approved Warehouse Request and Agreement to Handle Restricted Animal Byproducts (Hunting Trophies and Museum Specimens) </t>
  </si>
  <si>
    <t>9 CFR 94.6(b)(2); 9 CFR 95.17</t>
  </si>
  <si>
    <t>VS 16-28</t>
  </si>
  <si>
    <t>P3</t>
  </si>
  <si>
    <t>Approved Establishment Request and Agreement to Handle Restricted Animal Byproducts (Hunting Trophies and Museum Specimens)</t>
  </si>
  <si>
    <t>VS 16-29</t>
  </si>
  <si>
    <t>Certificate of Importation of Eggs Other than Hatching Eggs</t>
  </si>
  <si>
    <t>9 CFR 94.6(c )(1)</t>
  </si>
  <si>
    <t>Marking Requirements for Eggs from Regions with ND or HPAI</t>
  </si>
  <si>
    <t>9 CFR 94.6(c )(1)(i)</t>
  </si>
  <si>
    <t>Seals</t>
  </si>
  <si>
    <t>TP</t>
  </si>
  <si>
    <t>Certificate of Origin for Milk and Milk Products from Regions Free of FMD</t>
  </si>
  <si>
    <t>9 CFR 94.16(d)</t>
  </si>
  <si>
    <t>Place Placards on Vehicles and Statements on Manifests, Bills of Lading, or Waybills</t>
  </si>
  <si>
    <t>9 CFR 95.36(a)</t>
  </si>
  <si>
    <t>Certification of a National Government for Gelatin Derived from Horses, Swine, or Non-Bovine Ruminants</t>
  </si>
  <si>
    <t>9 CFR 94.26</t>
  </si>
  <si>
    <t>Certificate Issued by a National Government for Importation of Hides and Skins</t>
  </si>
  <si>
    <t>9 CFR 95.16(a)(3)(ii)</t>
  </si>
  <si>
    <t>Certificate of a National Government for Import of Wool, Hair, Bristles</t>
  </si>
  <si>
    <t>9 CFR 95.18(c )</t>
  </si>
  <si>
    <t>Certificate of a National Government for Import of Glue Stock</t>
  </si>
  <si>
    <t>9 CFR 95.20(c )</t>
  </si>
  <si>
    <t>Report of Emergency Unloading of Restricted Import Products</t>
  </si>
  <si>
    <t>9 CFR 95.36(b)</t>
  </si>
  <si>
    <t>Certificate from a National Government for Importation of Foreign Animal Casings</t>
  </si>
  <si>
    <t>9 CFR 96.3</t>
  </si>
  <si>
    <t>Appeal of Denial or Cancellation of Compliance Agreement or Request for Hearing</t>
  </si>
  <si>
    <t>9 CFR 94.5(e )(4)</t>
  </si>
  <si>
    <t>Inspection of Facilities</t>
  </si>
  <si>
    <t>9 CFR 121.18</t>
  </si>
  <si>
    <t>9 CFR 94.12(c )(10)</t>
  </si>
  <si>
    <t>R</t>
  </si>
  <si>
    <t>9 CFR 94.12(c )(9)</t>
  </si>
  <si>
    <t>9 CFR 94.12(c )(2)</t>
  </si>
  <si>
    <t>9 CFR 94.12(c )(3)</t>
  </si>
  <si>
    <t>x</t>
  </si>
  <si>
    <t>(301) 851-3300</t>
  </si>
  <si>
    <t>Dr. Nathaniel Koval or Dr. David Pasnik</t>
  </si>
  <si>
    <t>Restricted, Prohibited, and Controlled Importation of Animal and Poultry Products and Byproducts into the United States</t>
  </si>
  <si>
    <t xml:space="preserve">Collection of Information Regarding Pork Used in Pasta (From 0214) </t>
  </si>
  <si>
    <t xml:space="preserve">Export Certificate (From 0214) </t>
  </si>
  <si>
    <t xml:space="preserve">Recordkeeping Regarding Pork Used in Pasta (From 0214) </t>
  </si>
  <si>
    <t xml:space="preserve">Cooperative Service Agreement (From 0214) </t>
  </si>
  <si>
    <t xml:space="preserve">Storage Requirements (From 0214) </t>
  </si>
  <si>
    <t> APHIS-2025-0035</t>
  </si>
  <si>
    <t>Vol. 91, No. 4 PG 494-495</t>
  </si>
  <si>
    <t>Wednesday, January 7, 2026</t>
  </si>
  <si>
    <t>None</t>
  </si>
  <si>
    <t>Mexican government officials estimate the average hourly wage for foreign government officials, animal health officials, and inspectors.</t>
  </si>
  <si>
    <t>This figure was arrived at by the average of the following contacts: The Canadian Food Inspection Agency ($57.86); the APHIS contact in South Africa ($4.38); and the Mexican government ($12.39).</t>
  </si>
  <si>
    <t>Industry contacts provided the hourly wage of managers of foreign facilities that process restricted animal materials.</t>
  </si>
  <si>
    <t>45-1011</t>
  </si>
  <si>
    <t>Importers and individuals transiting various commodities not eligible for importation into the United States (first-line supervisors of farming, fishing, and forestry workers occupations).</t>
  </si>
  <si>
    <t>Laborsta International Web site indicates the average hourly wage for exporters for agriculture, meat, and foods, adjusted for inflation.</t>
  </si>
  <si>
    <t>53-0000</t>
  </si>
  <si>
    <t>Transportation companies, carriers, or operators of cars, trucks, or other vehicles (transportation and material moving occupations)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</si>
</sst>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6" formatCode="_(* #,##0_);_(* \(#,##0\);_(* &quot;-&quot;??_);_(@_)"/>
    <numFmt numFmtId="167" formatCode="_(* #,##0.00000_);_(* \(#,##0.00000\);_(* &quot;-&quot;??_);_(@_)"/>
    <numFmt numFmtId="168" formatCode="&quot;$&quot;#,##0.00"/>
    <numFmt numFmtId="169" formatCode="_(&quot;$&quot;* #,##0_);_(&quot;$&quot;* \(#,##0\);_(&quot;$&quot;* &quot;-&quot;??_);_(@_)"/>
    <numFmt numFmtId="170" formatCode="#,##0.000"/>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1"/>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8"/>
      <color rgb="FFC00000"/>
      <name val="Arial"/>
      <family val="2"/>
    </font>
    <font>
      <b/>
      <sz val="9"/>
      <name val="Arial"/>
      <family val="2"/>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0"/>
      <color rgb="FFC00000"/>
      <name val="Arial"/>
      <family val="2"/>
    </font>
    <font>
      <b/>
      <sz val="11"/>
      <name val="Arial"/>
      <family val="2"/>
    </font>
    <font>
      <b/>
      <u/>
      <sz val="14"/>
      <color theme="10"/>
      <name val="Calibri"/>
      <family val="2"/>
      <scheme val="minor"/>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
      <sz val="11"/>
      <color rgb="FF333333"/>
      <name val="Arial"/>
      <family val="2"/>
    </font>
    <font>
      <sz val="8"/>
      <name val="Courier New"/>
      <family val="3"/>
    </font>
    <font>
      <sz val="8"/>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
      <left style="thin">
        <color theme="0" tint="-0.499984740745262"/>
      </left>
      <right style="thin">
        <color theme="0" tint="-0.499984740745262"/>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9">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2" fillId="0" borderId="0"/>
    <xf numFmtId="44" fontId="6" fillId="0" borderId="0" applyFont="0" applyFill="0" applyBorder="0" applyAlignment="0" applyProtection="0"/>
    <xf numFmtId="0" fontId="29" fillId="0" borderId="0" applyNumberFormat="0" applyFill="0" applyBorder="0" applyAlignment="0" applyProtection="0"/>
  </cellStyleXfs>
  <cellXfs count="251">
    <xf numFmtId="0" fontId="0" fillId="0" borderId="0" xfId="0"/>
    <xf numFmtId="0" fontId="2" fillId="0" borderId="0" xfId="0" applyFont="1" applyAlignment="1">
      <alignment horizontal="center" wrapText="1"/>
    </xf>
    <xf numFmtId="0" fontId="13" fillId="0" borderId="0" xfId="6" applyFont="1" applyAlignment="1">
      <alignment vertical="center"/>
    </xf>
    <xf numFmtId="3" fontId="0" fillId="0" borderId="34" xfId="0" applyNumberFormat="1" applyBorder="1" applyAlignment="1">
      <alignment horizontal="center"/>
    </xf>
    <xf numFmtId="3" fontId="0" fillId="0" borderId="37" xfId="0" applyNumberFormat="1" applyBorder="1" applyAlignment="1">
      <alignment horizontal="center"/>
    </xf>
    <xf numFmtId="0" fontId="0" fillId="0" borderId="33" xfId="0" applyBorder="1"/>
    <xf numFmtId="0" fontId="0" fillId="0" borderId="36" xfId="0" applyBorder="1"/>
    <xf numFmtId="0" fontId="0" fillId="0" borderId="39" xfId="0" applyBorder="1"/>
    <xf numFmtId="0" fontId="0" fillId="0" borderId="41" xfId="0" applyBorder="1"/>
    <xf numFmtId="0" fontId="15" fillId="0" borderId="10" xfId="0" applyFont="1" applyBorder="1"/>
    <xf numFmtId="0" fontId="2" fillId="0" borderId="35" xfId="0" applyFont="1" applyBorder="1" applyAlignment="1">
      <alignment horizontal="right"/>
    </xf>
    <xf numFmtId="0" fontId="2" fillId="0" borderId="32" xfId="0" applyFont="1" applyBorder="1" applyAlignment="1">
      <alignment horizontal="right"/>
    </xf>
    <xf numFmtId="0" fontId="2" fillId="0" borderId="38" xfId="0" applyFont="1" applyBorder="1" applyAlignment="1">
      <alignment horizontal="right"/>
    </xf>
    <xf numFmtId="0" fontId="15" fillId="0" borderId="3" xfId="0" applyFont="1" applyBorder="1"/>
    <xf numFmtId="14" fontId="0" fillId="0" borderId="36" xfId="0" applyNumberFormat="1" applyBorder="1" applyAlignment="1">
      <alignment horizontal="left" indent="1"/>
    </xf>
    <xf numFmtId="0" fontId="0" fillId="0" borderId="33" xfId="0" applyBorder="1" applyAlignment="1">
      <alignment horizontal="left" indent="1"/>
    </xf>
    <xf numFmtId="0" fontId="16" fillId="2" borderId="10" xfId="0" applyFont="1" applyFill="1" applyBorder="1"/>
    <xf numFmtId="0" fontId="16" fillId="2" borderId="10" xfId="0" applyFont="1" applyFill="1" applyBorder="1" applyAlignment="1">
      <alignment horizontal="center"/>
    </xf>
    <xf numFmtId="0" fontId="16" fillId="2" borderId="9" xfId="0" applyFont="1" applyFill="1" applyBorder="1"/>
    <xf numFmtId="0" fontId="15" fillId="2" borderId="10" xfId="0" applyFont="1" applyFill="1" applyBorder="1"/>
    <xf numFmtId="0" fontId="2" fillId="0" borderId="0" xfId="0" applyFont="1"/>
    <xf numFmtId="0" fontId="3" fillId="0" borderId="0" xfId="6" applyFont="1" applyAlignment="1">
      <alignment horizontal="center" vertical="center"/>
    </xf>
    <xf numFmtId="0" fontId="21" fillId="0" borderId="0" xfId="6" applyFont="1" applyAlignment="1">
      <alignment horizontal="left" vertical="center"/>
    </xf>
    <xf numFmtId="0" fontId="9" fillId="0" borderId="15" xfId="6" applyFont="1" applyBorder="1" applyAlignment="1">
      <alignment vertical="center"/>
    </xf>
    <xf numFmtId="166" fontId="9" fillId="4" borderId="16" xfId="4" applyNumberFormat="1" applyFont="1" applyFill="1" applyBorder="1" applyAlignment="1">
      <alignment vertical="center"/>
    </xf>
    <xf numFmtId="0" fontId="3" fillId="0" borderId="0" xfId="6" applyFont="1" applyAlignment="1">
      <alignment vertical="center"/>
    </xf>
    <xf numFmtId="0" fontId="9" fillId="0" borderId="24" xfId="6" applyFont="1" applyBorder="1" applyAlignment="1">
      <alignment vertical="center"/>
    </xf>
    <xf numFmtId="167" fontId="9" fillId="0" borderId="25" xfId="4" applyNumberFormat="1" applyFont="1" applyBorder="1" applyAlignment="1">
      <alignment vertical="center"/>
    </xf>
    <xf numFmtId="0" fontId="20" fillId="5" borderId="14" xfId="6" applyFont="1" applyFill="1" applyBorder="1" applyAlignment="1">
      <alignment vertical="center"/>
    </xf>
    <xf numFmtId="0" fontId="20" fillId="5" borderId="21" xfId="6" applyFont="1" applyFill="1" applyBorder="1" applyAlignment="1">
      <alignment horizontal="center" vertical="center"/>
    </xf>
    <xf numFmtId="0" fontId="20" fillId="5" borderId="44" xfId="6" applyFont="1" applyFill="1" applyBorder="1" applyAlignment="1">
      <alignment horizontal="center" vertical="center" wrapText="1"/>
    </xf>
    <xf numFmtId="0" fontId="20" fillId="5" borderId="20" xfId="6" applyFont="1" applyFill="1" applyBorder="1" applyAlignment="1">
      <alignment horizontal="center" vertical="center" wrapText="1"/>
    </xf>
    <xf numFmtId="0" fontId="20" fillId="5" borderId="21" xfId="6" applyFont="1" applyFill="1" applyBorder="1" applyAlignment="1">
      <alignment horizontal="center" vertical="center" wrapText="1"/>
    </xf>
    <xf numFmtId="37" fontId="9" fillId="4" borderId="16" xfId="6" applyNumberFormat="1" applyFont="1" applyFill="1" applyBorder="1" applyAlignment="1">
      <alignment vertical="center"/>
    </xf>
    <xf numFmtId="0" fontId="9" fillId="0" borderId="22" xfId="6" applyFont="1" applyBorder="1" applyAlignment="1">
      <alignment vertical="center"/>
    </xf>
    <xf numFmtId="0" fontId="9" fillId="0" borderId="1" xfId="6" applyFont="1" applyBorder="1" applyAlignment="1">
      <alignment vertical="center"/>
    </xf>
    <xf numFmtId="0" fontId="9" fillId="0" borderId="23" xfId="6" applyFont="1" applyBorder="1" applyAlignment="1">
      <alignment vertical="center"/>
    </xf>
    <xf numFmtId="167" fontId="9" fillId="0" borderId="16" xfId="6" applyNumberFormat="1" applyFont="1" applyBorder="1" applyAlignment="1">
      <alignment vertical="center"/>
    </xf>
    <xf numFmtId="166" fontId="9" fillId="4" borderId="16" xfId="6" applyNumberFormat="1" applyFont="1" applyFill="1" applyBorder="1" applyAlignment="1">
      <alignment vertical="center"/>
    </xf>
    <xf numFmtId="166" fontId="9" fillId="4" borderId="25" xfId="6" applyNumberFormat="1" applyFont="1" applyFill="1" applyBorder="1" applyAlignment="1">
      <alignment vertical="center"/>
    </xf>
    <xf numFmtId="166" fontId="9" fillId="4" borderId="26" xfId="6" applyNumberFormat="1" applyFont="1" applyFill="1" applyBorder="1" applyAlignment="1">
      <alignment vertical="center"/>
    </xf>
    <xf numFmtId="166" fontId="9" fillId="4" borderId="27" xfId="6" applyNumberFormat="1" applyFont="1" applyFill="1" applyBorder="1" applyAlignment="1">
      <alignment vertical="center"/>
    </xf>
    <xf numFmtId="166" fontId="9" fillId="4" borderId="28" xfId="6" applyNumberFormat="1" applyFont="1" applyFill="1" applyBorder="1" applyAlignment="1">
      <alignment vertical="center"/>
    </xf>
    <xf numFmtId="0" fontId="17" fillId="0" borderId="0" xfId="6" applyFont="1" applyAlignment="1">
      <alignment vertical="center"/>
    </xf>
    <xf numFmtId="3" fontId="13" fillId="0" borderId="0" xfId="6" applyNumberFormat="1" applyFont="1" applyAlignment="1">
      <alignment vertical="center"/>
    </xf>
    <xf numFmtId="49" fontId="13" fillId="0" borderId="0" xfId="6" applyNumberFormat="1" applyFont="1" applyAlignment="1">
      <alignment vertical="center"/>
    </xf>
    <xf numFmtId="0" fontId="22" fillId="6" borderId="20" xfId="6" applyFont="1" applyFill="1" applyBorder="1" applyAlignment="1">
      <alignment horizontal="center" vertical="center"/>
    </xf>
    <xf numFmtId="0" fontId="22" fillId="6" borderId="21" xfId="6" applyFont="1" applyFill="1" applyBorder="1" applyAlignment="1">
      <alignment horizontal="center" vertical="center"/>
    </xf>
    <xf numFmtId="0" fontId="5" fillId="0" borderId="0" xfId="0" applyFont="1"/>
    <xf numFmtId="0" fontId="11" fillId="6" borderId="6" xfId="6" applyFont="1" applyFill="1" applyBorder="1" applyAlignment="1">
      <alignment horizontal="right" vertical="center"/>
    </xf>
    <xf numFmtId="0" fontId="24" fillId="6" borderId="15" xfId="6" applyFont="1" applyFill="1" applyBorder="1" applyAlignment="1">
      <alignment vertical="center"/>
    </xf>
    <xf numFmtId="0" fontId="24" fillId="6" borderId="16" xfId="6" applyFont="1" applyFill="1" applyBorder="1" applyAlignment="1">
      <alignment horizontal="center" vertical="center"/>
    </xf>
    <xf numFmtId="0" fontId="23" fillId="0" borderId="0" xfId="6" applyFont="1" applyAlignment="1">
      <alignment vertical="center"/>
    </xf>
    <xf numFmtId="0" fontId="14" fillId="0" borderId="0" xfId="6" applyFont="1" applyAlignment="1">
      <alignment vertical="center"/>
    </xf>
    <xf numFmtId="0" fontId="16" fillId="0" borderId="2" xfId="0" applyFont="1" applyBorder="1" applyAlignment="1">
      <alignment horizontal="left" vertical="center" wrapText="1"/>
    </xf>
    <xf numFmtId="0" fontId="25" fillId="0" borderId="0" xfId="6" applyFont="1" applyAlignment="1">
      <alignment vertical="center"/>
    </xf>
    <xf numFmtId="0" fontId="27" fillId="0" borderId="0" xfId="0" applyFont="1" applyAlignment="1">
      <alignment vertical="center"/>
    </xf>
    <xf numFmtId="0" fontId="16" fillId="0" borderId="9" xfId="0" applyFont="1" applyBorder="1" applyAlignment="1">
      <alignment horizontal="right" vertical="center"/>
    </xf>
    <xf numFmtId="0" fontId="5" fillId="0" borderId="0" xfId="0" applyFont="1" applyAlignment="1">
      <alignment wrapText="1"/>
    </xf>
    <xf numFmtId="0" fontId="15" fillId="0" borderId="10" xfId="0" applyFont="1" applyBorder="1" applyAlignment="1">
      <alignment horizontal="left" vertical="center" indent="1"/>
    </xf>
    <xf numFmtId="0" fontId="13" fillId="0" borderId="0" xfId="6" quotePrefix="1" applyFont="1" applyAlignment="1">
      <alignment vertical="center"/>
    </xf>
    <xf numFmtId="3" fontId="3" fillId="0" borderId="12" xfId="4" applyNumberFormat="1" applyFont="1" applyBorder="1" applyAlignment="1">
      <alignment horizontal="center" vertical="center"/>
    </xf>
    <xf numFmtId="3" fontId="3" fillId="0" borderId="17" xfId="4" applyNumberFormat="1" applyFont="1" applyBorder="1" applyAlignment="1">
      <alignment horizontal="center" vertical="center"/>
    </xf>
    <xf numFmtId="14" fontId="15" fillId="0" borderId="11" xfId="0" applyNumberFormat="1" applyFont="1" applyBorder="1" applyAlignment="1">
      <alignment horizontal="left" vertical="center" indent="1"/>
    </xf>
    <xf numFmtId="0" fontId="18" fillId="0" borderId="1" xfId="0" applyFont="1" applyBorder="1" applyAlignment="1">
      <alignment vertical="center"/>
    </xf>
    <xf numFmtId="37" fontId="18" fillId="0" borderId="13" xfId="0" applyNumberFormat="1" applyFont="1" applyBorder="1" applyAlignment="1">
      <alignment horizontal="center" vertical="center"/>
    </xf>
    <xf numFmtId="37" fontId="18" fillId="0" borderId="1" xfId="0" applyNumberFormat="1" applyFont="1" applyBorder="1" applyAlignment="1">
      <alignment horizontal="center" vertical="center"/>
    </xf>
    <xf numFmtId="168" fontId="18" fillId="0" borderId="1" xfId="5" applyNumberFormat="1" applyFont="1" applyFill="1" applyBorder="1" applyAlignment="1">
      <alignment horizontal="center" vertical="center"/>
    </xf>
    <xf numFmtId="37" fontId="18" fillId="4" borderId="13" xfId="0" applyNumberFormat="1" applyFont="1" applyFill="1" applyBorder="1" applyAlignment="1">
      <alignment horizontal="center" vertical="center"/>
    </xf>
    <xf numFmtId="37" fontId="18" fillId="4" borderId="1" xfId="0" applyNumberFormat="1" applyFont="1" applyFill="1" applyBorder="1" applyAlignment="1">
      <alignment horizontal="center" vertical="center"/>
    </xf>
    <xf numFmtId="37" fontId="18" fillId="4" borderId="27"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29" xfId="6" applyFont="1" applyBorder="1" applyAlignment="1">
      <alignment vertical="center"/>
    </xf>
    <xf numFmtId="0" fontId="9" fillId="7" borderId="10" xfId="6" applyFont="1" applyFill="1" applyBorder="1" applyAlignment="1">
      <alignment vertical="center"/>
    </xf>
    <xf numFmtId="166" fontId="9" fillId="7" borderId="3" xfId="6" applyNumberFormat="1" applyFont="1" applyFill="1" applyBorder="1" applyAlignment="1">
      <alignment vertical="center"/>
    </xf>
    <xf numFmtId="0" fontId="13" fillId="7" borderId="0" xfId="6" applyFont="1" applyFill="1" applyAlignment="1">
      <alignment vertical="center"/>
    </xf>
    <xf numFmtId="0" fontId="4" fillId="7" borderId="10" xfId="6" applyFont="1" applyFill="1" applyBorder="1" applyAlignment="1">
      <alignment vertical="center"/>
    </xf>
    <xf numFmtId="166" fontId="4" fillId="7" borderId="3" xfId="6" applyNumberFormat="1" applyFont="1" applyFill="1" applyBorder="1" applyAlignment="1">
      <alignment vertical="center"/>
    </xf>
    <xf numFmtId="0" fontId="4" fillId="7" borderId="0" xfId="6" applyFont="1" applyFill="1" applyAlignment="1">
      <alignment vertical="center"/>
    </xf>
    <xf numFmtId="166" fontId="4" fillId="7" borderId="0" xfId="6" applyNumberFormat="1" applyFont="1" applyFill="1" applyAlignment="1">
      <alignment vertical="center"/>
    </xf>
    <xf numFmtId="0" fontId="3" fillId="7" borderId="0" xfId="6" applyFont="1" applyFill="1" applyAlignment="1">
      <alignment vertical="center"/>
    </xf>
    <xf numFmtId="0" fontId="11" fillId="7" borderId="6" xfId="6" applyFont="1" applyFill="1" applyBorder="1" applyAlignment="1">
      <alignment vertical="center"/>
    </xf>
    <xf numFmtId="3" fontId="11" fillId="7" borderId="25" xfId="4" applyNumberFormat="1" applyFont="1" applyFill="1" applyBorder="1" applyAlignment="1">
      <alignment horizontal="center" vertical="center"/>
    </xf>
    <xf numFmtId="0" fontId="22" fillId="7" borderId="0" xfId="6" applyFont="1" applyFill="1" applyAlignment="1">
      <alignment horizontal="center" vertical="center"/>
    </xf>
    <xf numFmtId="49" fontId="26" fillId="7" borderId="0" xfId="6" applyNumberFormat="1" applyFont="1" applyFill="1" applyAlignment="1">
      <alignment vertical="center"/>
    </xf>
    <xf numFmtId="49" fontId="13" fillId="7" borderId="0" xfId="6" applyNumberFormat="1" applyFont="1" applyFill="1" applyAlignment="1">
      <alignment vertical="center"/>
    </xf>
    <xf numFmtId="0" fontId="13" fillId="4" borderId="26" xfId="6" applyFont="1" applyFill="1" applyBorder="1" applyAlignment="1">
      <alignment vertical="center"/>
    </xf>
    <xf numFmtId="0" fontId="14" fillId="4" borderId="28" xfId="6" applyFont="1" applyFill="1" applyBorder="1" applyAlignment="1">
      <alignment vertical="center"/>
    </xf>
    <xf numFmtId="0" fontId="31" fillId="0" borderId="0" xfId="6" applyFont="1" applyAlignment="1">
      <alignment vertical="center"/>
    </xf>
    <xf numFmtId="0" fontId="25" fillId="4" borderId="11" xfId="6" applyFont="1" applyFill="1" applyBorder="1" applyAlignment="1">
      <alignment vertical="center"/>
    </xf>
    <xf numFmtId="0" fontId="13" fillId="4" borderId="10" xfId="6" applyFont="1" applyFill="1" applyBorder="1" applyAlignment="1">
      <alignment vertical="center"/>
    </xf>
    <xf numFmtId="0" fontId="13" fillId="4" borderId="7" xfId="6" applyFont="1" applyFill="1" applyBorder="1" applyAlignment="1">
      <alignment vertical="center"/>
    </xf>
    <xf numFmtId="44" fontId="4" fillId="6" borderId="1" xfId="5" applyFont="1" applyFill="1" applyBorder="1" applyAlignment="1">
      <alignment vertical="center"/>
    </xf>
    <xf numFmtId="0" fontId="10" fillId="0" borderId="5" xfId="0" applyFont="1" applyBorder="1"/>
    <xf numFmtId="0" fontId="18" fillId="0" borderId="12" xfId="0" applyFont="1" applyBorder="1" applyAlignment="1">
      <alignment horizontal="left" vertical="center"/>
    </xf>
    <xf numFmtId="0" fontId="18" fillId="0" borderId="26" xfId="0" applyFont="1" applyBorder="1" applyAlignment="1">
      <alignment vertical="center"/>
    </xf>
    <xf numFmtId="0" fontId="18" fillId="0" borderId="30" xfId="0" applyFont="1" applyBorder="1" applyAlignment="1">
      <alignment vertical="center"/>
    </xf>
    <xf numFmtId="37" fontId="18" fillId="4" borderId="23" xfId="0" applyNumberFormat="1" applyFont="1" applyFill="1" applyBorder="1" applyAlignment="1">
      <alignment horizontal="center" vertical="center"/>
    </xf>
    <xf numFmtId="0" fontId="18" fillId="0" borderId="22" xfId="0" applyFont="1" applyBorder="1" applyAlignment="1">
      <alignment vertical="center"/>
    </xf>
    <xf numFmtId="0" fontId="18" fillId="0" borderId="12" xfId="0" applyFont="1" applyBorder="1" applyAlignment="1">
      <alignment vertical="center"/>
    </xf>
    <xf numFmtId="0" fontId="18" fillId="0" borderId="12" xfId="0" applyFont="1" applyBorder="1"/>
    <xf numFmtId="0" fontId="18" fillId="0" borderId="43" xfId="0" applyFont="1" applyBorder="1" applyAlignment="1">
      <alignment vertical="center"/>
    </xf>
    <xf numFmtId="37" fontId="18" fillId="0" borderId="18" xfId="0" applyNumberFormat="1" applyFont="1" applyBorder="1" applyAlignment="1">
      <alignment horizontal="center" vertical="center"/>
    </xf>
    <xf numFmtId="0" fontId="18" fillId="0" borderId="7" xfId="0" applyFont="1" applyBorder="1"/>
    <xf numFmtId="0" fontId="18" fillId="0" borderId="8" xfId="0" applyFont="1" applyBorder="1"/>
    <xf numFmtId="0" fontId="32" fillId="7" borderId="0" xfId="6" applyFont="1" applyFill="1" applyAlignment="1">
      <alignment horizontal="center" vertical="center"/>
    </xf>
    <xf numFmtId="0" fontId="33" fillId="7" borderId="0" xfId="6" applyFont="1" applyFill="1" applyAlignment="1">
      <alignment horizontal="center" vertical="center"/>
    </xf>
    <xf numFmtId="0" fontId="34" fillId="7" borderId="0" xfId="0" applyFont="1" applyFill="1" applyAlignment="1">
      <alignment horizontal="left" vertical="center"/>
    </xf>
    <xf numFmtId="0" fontId="22" fillId="4" borderId="0" xfId="6" applyFont="1" applyFill="1" applyAlignment="1">
      <alignment vertical="center"/>
    </xf>
    <xf numFmtId="6" fontId="36" fillId="4" borderId="45" xfId="6" applyNumberFormat="1" applyFont="1" applyFill="1" applyBorder="1" applyAlignment="1">
      <alignment vertical="center"/>
    </xf>
    <xf numFmtId="3" fontId="36" fillId="4" borderId="0" xfId="6" applyNumberFormat="1" applyFont="1" applyFill="1" applyAlignment="1">
      <alignment vertical="center"/>
    </xf>
    <xf numFmtId="0" fontId="13" fillId="7" borderId="2" xfId="6" applyFont="1" applyFill="1" applyBorder="1" applyAlignment="1">
      <alignment vertical="center"/>
    </xf>
    <xf numFmtId="0" fontId="13" fillId="7" borderId="3" xfId="6" applyFont="1" applyFill="1" applyBorder="1" applyAlignment="1">
      <alignment vertical="center"/>
    </xf>
    <xf numFmtId="0" fontId="13" fillId="7" borderId="4" xfId="6" applyFont="1" applyFill="1" applyBorder="1" applyAlignment="1">
      <alignment vertical="center"/>
    </xf>
    <xf numFmtId="0" fontId="18" fillId="0" borderId="0" xfId="0" applyFont="1"/>
    <xf numFmtId="0" fontId="18" fillId="0" borderId="0" xfId="0" applyFont="1" applyAlignment="1">
      <alignment horizontal="left" vertical="center"/>
    </xf>
    <xf numFmtId="0" fontId="18" fillId="0" borderId="0" xfId="0" applyFont="1" applyAlignment="1">
      <alignment vertical="center"/>
    </xf>
    <xf numFmtId="6" fontId="18" fillId="0" borderId="0" xfId="0" applyNumberFormat="1" applyFont="1"/>
    <xf numFmtId="0" fontId="10" fillId="0" borderId="0" xfId="0" applyFont="1" applyAlignment="1">
      <alignment horizontal="left" vertical="center"/>
    </xf>
    <xf numFmtId="37" fontId="10" fillId="0" borderId="0" xfId="0" applyNumberFormat="1" applyFont="1" applyAlignment="1">
      <alignment vertical="center"/>
    </xf>
    <xf numFmtId="0" fontId="18" fillId="5" borderId="5" xfId="0" applyFont="1" applyFill="1" applyBorder="1" applyAlignment="1">
      <alignment vertical="center"/>
    </xf>
    <xf numFmtId="37" fontId="18" fillId="5" borderId="0" xfId="0" applyNumberFormat="1" applyFont="1" applyFill="1" applyAlignment="1">
      <alignment horizontal="center" vertical="center"/>
    </xf>
    <xf numFmtId="0" fontId="18" fillId="5" borderId="0" xfId="0" applyFont="1" applyFill="1" applyAlignment="1">
      <alignment horizontal="left" vertical="center"/>
    </xf>
    <xf numFmtId="0" fontId="18" fillId="5" borderId="12" xfId="0" applyFont="1" applyFill="1" applyBorder="1" applyAlignment="1">
      <alignment horizontal="left" vertical="center"/>
    </xf>
    <xf numFmtId="0" fontId="30" fillId="0" borderId="0" xfId="6" applyFont="1" applyAlignment="1">
      <alignment horizontal="left" vertical="center" indent="8"/>
    </xf>
    <xf numFmtId="0" fontId="13" fillId="0" borderId="0" xfId="6" applyFont="1" applyAlignment="1">
      <alignment horizontal="left" vertical="center" indent="8"/>
    </xf>
    <xf numFmtId="0" fontId="37" fillId="0" borderId="0" xfId="6" applyFont="1" applyAlignment="1">
      <alignment vertical="center"/>
    </xf>
    <xf numFmtId="44" fontId="36" fillId="4" borderId="27" xfId="5" applyFont="1" applyFill="1" applyBorder="1" applyAlignment="1">
      <alignment vertical="center"/>
    </xf>
    <xf numFmtId="0" fontId="25" fillId="4" borderId="0" xfId="6" applyFont="1" applyFill="1" applyAlignment="1">
      <alignment vertical="center"/>
    </xf>
    <xf numFmtId="0" fontId="13" fillId="4" borderId="0" xfId="6" applyFont="1" applyFill="1" applyAlignment="1">
      <alignment vertical="center"/>
    </xf>
    <xf numFmtId="0" fontId="38" fillId="4" borderId="0" xfId="8" applyFont="1" applyFill="1" applyBorder="1" applyAlignment="1">
      <alignment vertical="center"/>
    </xf>
    <xf numFmtId="166" fontId="9" fillId="5" borderId="30" xfId="6" applyNumberFormat="1" applyFont="1" applyFill="1" applyBorder="1" applyAlignment="1">
      <alignment vertical="center"/>
    </xf>
    <xf numFmtId="166" fontId="9" fillId="5" borderId="13" xfId="6" applyNumberFormat="1" applyFont="1" applyFill="1" applyBorder="1" applyAlignment="1">
      <alignment vertical="center"/>
    </xf>
    <xf numFmtId="166" fontId="9" fillId="5" borderId="31" xfId="6" applyNumberFormat="1" applyFont="1" applyFill="1" applyBorder="1" applyAlignment="1">
      <alignment vertical="center"/>
    </xf>
    <xf numFmtId="166" fontId="9" fillId="5" borderId="26" xfId="6" applyNumberFormat="1" applyFont="1" applyFill="1" applyBorder="1" applyAlignment="1">
      <alignment vertical="center"/>
    </xf>
    <xf numFmtId="166" fontId="9" fillId="5" borderId="27" xfId="6" applyNumberFormat="1" applyFont="1" applyFill="1" applyBorder="1" applyAlignment="1">
      <alignment vertical="center"/>
    </xf>
    <xf numFmtId="166" fontId="9" fillId="5" borderId="28" xfId="6" applyNumberFormat="1" applyFont="1" applyFill="1" applyBorder="1" applyAlignment="1">
      <alignment vertical="center"/>
    </xf>
    <xf numFmtId="0" fontId="34" fillId="7" borderId="0" xfId="6" applyFont="1" applyFill="1" applyAlignment="1">
      <alignment horizontal="left" vertical="center"/>
    </xf>
    <xf numFmtId="0" fontId="35" fillId="7" borderId="0" xfId="6" applyFont="1" applyFill="1" applyAlignment="1">
      <alignment vertical="center"/>
    </xf>
    <xf numFmtId="0" fontId="39" fillId="7" borderId="0" xfId="6" applyFont="1" applyFill="1" applyAlignment="1">
      <alignment horizontal="left" vertical="center"/>
    </xf>
    <xf numFmtId="0" fontId="2" fillId="0" borderId="29" xfId="6" applyFont="1" applyBorder="1" applyAlignment="1">
      <alignment vertical="center"/>
    </xf>
    <xf numFmtId="49" fontId="19" fillId="0" borderId="17" xfId="6" applyNumberFormat="1" applyFont="1" applyBorder="1" applyAlignment="1">
      <alignment vertical="center"/>
    </xf>
    <xf numFmtId="0" fontId="11" fillId="6" borderId="2" xfId="6" applyFont="1" applyFill="1" applyBorder="1" applyAlignment="1">
      <alignment horizontal="right" vertical="center"/>
    </xf>
    <xf numFmtId="0" fontId="3" fillId="0" borderId="3" xfId="6" applyFont="1" applyBorder="1" applyAlignment="1">
      <alignment horizontal="center" vertical="center"/>
    </xf>
    <xf numFmtId="0" fontId="11" fillId="6" borderId="2" xfId="6" applyFont="1" applyFill="1" applyBorder="1" applyAlignment="1">
      <alignment horizontal="center" vertical="center"/>
    </xf>
    <xf numFmtId="0" fontId="11" fillId="6"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3" fillId="7" borderId="46" xfId="6" applyFont="1" applyFill="1" applyBorder="1" applyAlignment="1">
      <alignment vertical="center"/>
    </xf>
    <xf numFmtId="0" fontId="23" fillId="7" borderId="46" xfId="6" applyFont="1" applyFill="1" applyBorder="1" applyAlignment="1">
      <alignment vertical="center"/>
    </xf>
    <xf numFmtId="0" fontId="13" fillId="7" borderId="10" xfId="6" applyFont="1" applyFill="1" applyBorder="1" applyAlignment="1">
      <alignment vertical="center"/>
    </xf>
    <xf numFmtId="0" fontId="13" fillId="0" borderId="10" xfId="6" applyFont="1" applyBorder="1" applyAlignment="1">
      <alignment vertical="center"/>
    </xf>
    <xf numFmtId="0" fontId="13" fillId="7" borderId="6" xfId="6" applyFont="1" applyFill="1" applyBorder="1" applyAlignment="1">
      <alignment vertical="center"/>
    </xf>
    <xf numFmtId="0" fontId="18" fillId="7" borderId="7" xfId="0" applyFont="1" applyFill="1" applyBorder="1" applyAlignment="1">
      <alignment horizontal="left" vertical="center"/>
    </xf>
    <xf numFmtId="0" fontId="33" fillId="7" borderId="7" xfId="0" applyFont="1" applyFill="1" applyBorder="1" applyAlignment="1">
      <alignment horizontal="center" vertical="center"/>
    </xf>
    <xf numFmtId="0" fontId="18" fillId="7" borderId="8" xfId="0" applyFont="1" applyFill="1" applyBorder="1" applyAlignment="1">
      <alignment horizontal="left" vertical="center"/>
    </xf>
    <xf numFmtId="0" fontId="18" fillId="7" borderId="10" xfId="0" applyFont="1" applyFill="1" applyBorder="1" applyAlignment="1">
      <alignment vertical="center"/>
    </xf>
    <xf numFmtId="37" fontId="18" fillId="7" borderId="10" xfId="0" applyNumberFormat="1" applyFont="1" applyFill="1" applyBorder="1" applyAlignment="1">
      <alignment horizontal="center" vertical="center"/>
    </xf>
    <xf numFmtId="0" fontId="18" fillId="7" borderId="10" xfId="0" applyFont="1" applyFill="1" applyBorder="1"/>
    <xf numFmtId="0" fontId="18" fillId="7" borderId="11" xfId="0" applyFont="1" applyFill="1" applyBorder="1"/>
    <xf numFmtId="0" fontId="18" fillId="7" borderId="7" xfId="0" applyFont="1" applyFill="1" applyBorder="1"/>
    <xf numFmtId="0" fontId="18" fillId="7" borderId="8" xfId="0" applyFont="1" applyFill="1" applyBorder="1"/>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0" fillId="0" borderId="27" xfId="0" applyFont="1" applyBorder="1" applyAlignment="1">
      <alignment horizontal="center" vertical="center"/>
    </xf>
    <xf numFmtId="0" fontId="40" fillId="0" borderId="0" xfId="6" applyFont="1" applyAlignment="1">
      <alignment vertical="center"/>
    </xf>
    <xf numFmtId="0" fontId="41" fillId="0" borderId="0" xfId="6" applyFont="1" applyAlignment="1">
      <alignment vertical="center"/>
    </xf>
    <xf numFmtId="0" fontId="37" fillId="0" borderId="7" xfId="6" applyFont="1" applyBorder="1" applyAlignment="1">
      <alignment vertical="center"/>
    </xf>
    <xf numFmtId="0" fontId="12" fillId="8" borderId="0" xfId="6" applyFill="1"/>
    <xf numFmtId="0" fontId="13" fillId="7" borderId="47" xfId="6" applyFont="1" applyFill="1" applyBorder="1" applyAlignment="1">
      <alignment vertical="center"/>
    </xf>
    <xf numFmtId="0" fontId="13" fillId="0" borderId="47" xfId="6" applyFont="1" applyBorder="1" applyAlignment="1">
      <alignment vertical="center"/>
    </xf>
    <xf numFmtId="0" fontId="37" fillId="0" borderId="48" xfId="6" applyFont="1" applyBorder="1" applyAlignment="1">
      <alignment vertical="center"/>
    </xf>
    <xf numFmtId="0" fontId="37" fillId="9" borderId="0" xfId="6" applyFont="1" applyFill="1" applyAlignment="1">
      <alignment vertical="center"/>
    </xf>
    <xf numFmtId="0" fontId="22" fillId="0" borderId="0" xfId="6" applyFont="1" applyAlignment="1">
      <alignment horizontal="right" vertical="center"/>
    </xf>
    <xf numFmtId="0" fontId="41" fillId="3" borderId="0" xfId="6" applyFont="1" applyFill="1" applyAlignment="1">
      <alignment vertical="center"/>
    </xf>
    <xf numFmtId="0" fontId="18" fillId="3" borderId="23" xfId="0" applyFont="1" applyFill="1" applyBorder="1" applyAlignment="1">
      <alignment horizontal="center" vertical="center"/>
    </xf>
    <xf numFmtId="37" fontId="18" fillId="3" borderId="23" xfId="0" applyNumberFormat="1" applyFont="1" applyFill="1" applyBorder="1" applyAlignment="1">
      <alignment horizontal="center" vertical="center"/>
    </xf>
    <xf numFmtId="0" fontId="42" fillId="7" borderId="0" xfId="6" applyFont="1" applyFill="1" applyAlignment="1">
      <alignment horizontal="left" vertical="center"/>
    </xf>
    <xf numFmtId="0" fontId="42" fillId="7" borderId="0" xfId="6" applyFont="1" applyFill="1" applyAlignment="1">
      <alignment vertical="center"/>
    </xf>
    <xf numFmtId="0" fontId="42" fillId="7" borderId="47" xfId="6" applyFont="1" applyFill="1" applyBorder="1" applyAlignment="1">
      <alignment vertical="center"/>
    </xf>
    <xf numFmtId="0" fontId="34" fillId="7" borderId="50" xfId="6" applyFont="1" applyFill="1" applyBorder="1" applyAlignment="1">
      <alignment horizontal="left" vertical="center"/>
    </xf>
    <xf numFmtId="0" fontId="13" fillId="7" borderId="50" xfId="6" applyFont="1" applyFill="1" applyBorder="1" applyAlignment="1">
      <alignment vertical="center"/>
    </xf>
    <xf numFmtId="0" fontId="33" fillId="7" borderId="50" xfId="6" applyFont="1" applyFill="1" applyBorder="1" applyAlignment="1">
      <alignment horizontal="center" vertical="center"/>
    </xf>
    <xf numFmtId="0" fontId="35" fillId="7" borderId="50" xfId="6" applyFont="1" applyFill="1" applyBorder="1" applyAlignment="1">
      <alignment vertical="center"/>
    </xf>
    <xf numFmtId="0" fontId="13" fillId="7" borderId="49" xfId="6" applyFont="1" applyFill="1" applyBorder="1" applyAlignment="1">
      <alignment vertical="center"/>
    </xf>
    <xf numFmtId="0" fontId="43" fillId="0" borderId="0" xfId="6" applyFont="1" applyAlignment="1">
      <alignment horizontal="center" vertical="center"/>
    </xf>
    <xf numFmtId="1" fontId="11" fillId="0" borderId="4" xfId="6" applyNumberFormat="1" applyFont="1" applyBorder="1" applyAlignment="1">
      <alignment horizontal="center" vertical="center"/>
    </xf>
    <xf numFmtId="49" fontId="11" fillId="0" borderId="8" xfId="6" applyNumberFormat="1" applyFont="1" applyBorder="1" applyAlignment="1">
      <alignment horizontal="center" vertical="center"/>
    </xf>
    <xf numFmtId="37" fontId="18" fillId="3" borderId="1" xfId="0" applyNumberFormat="1" applyFont="1" applyFill="1" applyBorder="1" applyAlignment="1">
      <alignment horizontal="center" vertical="center"/>
    </xf>
    <xf numFmtId="0" fontId="22" fillId="6" borderId="19" xfId="6" applyFont="1" applyFill="1" applyBorder="1" applyAlignment="1">
      <alignment horizontal="center" vertical="center" wrapText="1"/>
    </xf>
    <xf numFmtId="3" fontId="44" fillId="0" borderId="0" xfId="0" applyNumberFormat="1" applyFont="1" applyAlignment="1">
      <alignment vertical="center"/>
    </xf>
    <xf numFmtId="37" fontId="44" fillId="0" borderId="0" xfId="0" applyNumberFormat="1" applyFont="1" applyAlignment="1">
      <alignment vertical="center"/>
    </xf>
    <xf numFmtId="44" fontId="36" fillId="4" borderId="45" xfId="6" applyNumberFormat="1" applyFont="1" applyFill="1" applyBorder="1" applyAlignment="1">
      <alignment vertical="center"/>
    </xf>
    <xf numFmtId="15" fontId="0" fillId="0" borderId="36" xfId="0" applyNumberFormat="1" applyBorder="1" applyAlignment="1">
      <alignment horizontal="left" indent="1"/>
    </xf>
    <xf numFmtId="14" fontId="0" fillId="0" borderId="39" xfId="0" applyNumberFormat="1" applyBorder="1" applyAlignment="1">
      <alignment horizontal="left" indent="1"/>
    </xf>
    <xf numFmtId="169" fontId="36" fillId="4" borderId="0" xfId="5" applyNumberFormat="1" applyFont="1" applyFill="1" applyAlignment="1">
      <alignment vertical="center"/>
    </xf>
    <xf numFmtId="164" fontId="31" fillId="0" borderId="0" xfId="6" applyNumberFormat="1" applyFont="1" applyAlignment="1">
      <alignment vertical="center"/>
    </xf>
    <xf numFmtId="0" fontId="5" fillId="0" borderId="3" xfId="0" applyFont="1" applyBorder="1" applyAlignment="1">
      <alignment horizontal="left" vertical="center"/>
    </xf>
    <xf numFmtId="0" fontId="5" fillId="0" borderId="3" xfId="0" applyFont="1" applyBorder="1"/>
    <xf numFmtId="0" fontId="2" fillId="0" borderId="51" xfId="0" applyFont="1" applyBorder="1" applyAlignment="1">
      <alignment horizontal="center" wrapText="1"/>
    </xf>
    <xf numFmtId="0" fontId="2" fillId="0" borderId="51" xfId="0" applyFont="1" applyBorder="1" applyAlignment="1">
      <alignment horizontal="center" textRotation="90"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6" fillId="0" borderId="1" xfId="0" applyFont="1" applyBorder="1" applyAlignment="1">
      <alignment horizontal="center" vertical="center"/>
    </xf>
    <xf numFmtId="3"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xf numFmtId="0" fontId="5" fillId="0" borderId="1" xfId="0" applyFont="1" applyBorder="1" applyAlignment="1">
      <alignment vertical="center" wrapText="1"/>
    </xf>
    <xf numFmtId="0" fontId="5" fillId="0" borderId="1" xfId="0" applyFont="1" applyBorder="1" applyAlignment="1">
      <alignment vertical="center"/>
    </xf>
    <xf numFmtId="4" fontId="16" fillId="0" borderId="10" xfId="0" applyNumberFormat="1" applyFont="1" applyBorder="1" applyAlignment="1">
      <alignment horizontal="right" vertical="center"/>
    </xf>
    <xf numFmtId="4" fontId="16" fillId="0" borderId="3" xfId="0" applyNumberFormat="1" applyFont="1" applyBorder="1" applyAlignment="1">
      <alignment horizontal="right"/>
    </xf>
    <xf numFmtId="4" fontId="16" fillId="2" borderId="10" xfId="0" applyNumberFormat="1" applyFont="1" applyFill="1" applyBorder="1" applyAlignment="1">
      <alignment horizontal="center"/>
    </xf>
    <xf numFmtId="4" fontId="2" fillId="0" borderId="33" xfId="0" applyNumberFormat="1" applyFont="1" applyBorder="1" applyAlignment="1">
      <alignment horizontal="right"/>
    </xf>
    <xf numFmtId="4" fontId="2" fillId="0" borderId="36" xfId="0" applyNumberFormat="1" applyFont="1" applyBorder="1" applyAlignment="1">
      <alignment horizontal="right"/>
    </xf>
    <xf numFmtId="4" fontId="2" fillId="0" borderId="39" xfId="0" applyNumberFormat="1" applyFont="1" applyBorder="1" applyAlignment="1">
      <alignment horizontal="right"/>
    </xf>
    <xf numFmtId="4" fontId="15" fillId="2" borderId="10" xfId="0" applyNumberFormat="1" applyFont="1" applyFill="1" applyBorder="1" applyAlignment="1">
      <alignment horizontal="center"/>
    </xf>
    <xf numFmtId="4" fontId="28" fillId="0" borderId="51" xfId="0" applyNumberFormat="1" applyFont="1" applyBorder="1" applyAlignment="1">
      <alignment horizontal="center" wrapText="1"/>
    </xf>
    <xf numFmtId="4" fontId="5" fillId="0" borderId="1" xfId="0" applyNumberFormat="1" applyFont="1" applyBorder="1" applyAlignment="1">
      <alignment horizontal="center" vertical="center"/>
    </xf>
    <xf numFmtId="4" fontId="5" fillId="0" borderId="0" xfId="0" applyNumberFormat="1" applyFont="1" applyAlignment="1">
      <alignment horizontal="center"/>
    </xf>
    <xf numFmtId="3" fontId="15" fillId="0" borderId="10" xfId="0" applyNumberFormat="1" applyFont="1" applyBorder="1"/>
    <xf numFmtId="3" fontId="15" fillId="0" borderId="10" xfId="0" applyNumberFormat="1" applyFont="1" applyBorder="1" applyAlignment="1">
      <alignment horizontal="center"/>
    </xf>
    <xf numFmtId="3" fontId="16" fillId="0" borderId="3" xfId="0" applyNumberFormat="1" applyFont="1" applyBorder="1" applyAlignment="1">
      <alignment horizontal="right"/>
    </xf>
    <xf numFmtId="3" fontId="15" fillId="0" borderId="3" xfId="0" applyNumberFormat="1" applyFont="1" applyBorder="1" applyAlignment="1">
      <alignment horizontal="left"/>
    </xf>
    <xf numFmtId="3" fontId="16" fillId="2" borderId="10" xfId="0" applyNumberFormat="1" applyFont="1" applyFill="1" applyBorder="1"/>
    <xf numFmtId="3" fontId="15" fillId="2" borderId="9" xfId="0" applyNumberFormat="1" applyFont="1" applyFill="1" applyBorder="1" applyAlignment="1">
      <alignment horizontal="center"/>
    </xf>
    <xf numFmtId="3" fontId="0" fillId="0" borderId="42" xfId="0" applyNumberFormat="1" applyBorder="1"/>
    <xf numFmtId="3" fontId="0" fillId="0" borderId="32" xfId="0" applyNumberFormat="1" applyBorder="1" applyAlignment="1">
      <alignment horizontal="center"/>
    </xf>
    <xf numFmtId="3" fontId="0" fillId="0" borderId="37" xfId="0" applyNumberFormat="1" applyBorder="1"/>
    <xf numFmtId="3" fontId="0" fillId="0" borderId="35" xfId="0" applyNumberFormat="1" applyBorder="1" applyAlignment="1">
      <alignment horizontal="center"/>
    </xf>
    <xf numFmtId="3" fontId="0" fillId="0" borderId="40" xfId="0" applyNumberFormat="1" applyBorder="1" applyAlignment="1">
      <alignment horizontal="center"/>
    </xf>
    <xf numFmtId="3" fontId="0" fillId="0" borderId="38" xfId="0" applyNumberFormat="1" applyBorder="1" applyAlignment="1">
      <alignment horizontal="center"/>
    </xf>
    <xf numFmtId="3" fontId="15" fillId="2" borderId="10" xfId="0" applyNumberFormat="1" applyFont="1" applyFill="1" applyBorder="1" applyAlignment="1">
      <alignment horizontal="center"/>
    </xf>
    <xf numFmtId="3" fontId="28" fillId="0" borderId="51" xfId="0" applyNumberFormat="1" applyFont="1" applyBorder="1" applyAlignment="1">
      <alignment horizontal="center" wrapText="1"/>
    </xf>
    <xf numFmtId="3" fontId="2" fillId="0" borderId="51" xfId="0" applyNumberFormat="1" applyFont="1" applyBorder="1" applyAlignment="1">
      <alignment horizontal="center" wrapText="1"/>
    </xf>
    <xf numFmtId="3" fontId="5" fillId="0" borderId="0" xfId="0" applyNumberFormat="1" applyFont="1" applyAlignment="1">
      <alignment horizontal="center"/>
    </xf>
    <xf numFmtId="3" fontId="15" fillId="0" borderId="4" xfId="0" applyNumberFormat="1" applyFont="1" applyBorder="1" applyAlignment="1">
      <alignment horizontal="left"/>
    </xf>
    <xf numFmtId="3" fontId="0" fillId="0" borderId="37" xfId="1" applyNumberFormat="1" applyFont="1" applyFill="1" applyBorder="1" applyAlignment="1">
      <alignment horizontal="center"/>
    </xf>
    <xf numFmtId="3" fontId="0" fillId="0" borderId="40" xfId="1" applyNumberFormat="1" applyFont="1" applyFill="1" applyBorder="1" applyAlignment="1">
      <alignment horizontal="center"/>
    </xf>
    <xf numFmtId="3" fontId="15" fillId="2" borderId="11" xfId="0" applyNumberFormat="1" applyFont="1" applyFill="1" applyBorder="1" applyAlignment="1">
      <alignment horizontal="center"/>
    </xf>
    <xf numFmtId="0" fontId="16" fillId="2" borderId="9" xfId="0" applyFont="1" applyFill="1" applyBorder="1" applyAlignment="1">
      <alignment horizontal="left"/>
    </xf>
    <xf numFmtId="170" fontId="0" fillId="0" borderId="37" xfId="0" applyNumberFormat="1" applyBorder="1" applyAlignment="1">
      <alignment horizontal="center"/>
    </xf>
    <xf numFmtId="0" fontId="45" fillId="0" borderId="0" xfId="0" applyFont="1"/>
    <xf numFmtId="49" fontId="4" fillId="4" borderId="52" xfId="6" applyNumberFormat="1" applyFont="1" applyFill="1" applyBorder="1" applyAlignment="1">
      <alignment vertical="center"/>
    </xf>
    <xf numFmtId="44" fontId="4" fillId="4" borderId="53" xfId="7" applyFont="1" applyFill="1" applyBorder="1" applyAlignment="1">
      <alignment vertical="center"/>
    </xf>
    <xf numFmtId="0" fontId="29" fillId="4" borderId="54" xfId="8" applyFill="1" applyBorder="1" applyAlignment="1">
      <alignment vertical="center"/>
    </xf>
    <xf numFmtId="0" fontId="4" fillId="6" borderId="1" xfId="6" applyFont="1" applyFill="1" applyBorder="1" applyAlignment="1">
      <alignment vertical="center"/>
    </xf>
    <xf numFmtId="0" fontId="47" fillId="6" borderId="1" xfId="0" applyFont="1" applyFill="1" applyBorder="1" applyAlignment="1">
      <alignment horizontal="center" vertical="center" wrapText="1"/>
    </xf>
    <xf numFmtId="8" fontId="47" fillId="6" borderId="1" xfId="0" applyNumberFormat="1" applyFont="1" applyFill="1" applyBorder="1" applyAlignment="1">
      <alignment horizontal="center" vertical="center" wrapText="1"/>
    </xf>
    <xf numFmtId="0" fontId="46" fillId="6" borderId="1" xfId="0" applyFont="1" applyFill="1" applyBorder="1" applyAlignment="1">
      <alignment vertical="center" wrapText="1"/>
    </xf>
  </cellXfs>
  <cellStyles count="9">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124035</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21</xdr:row>
      <xdr:rowOff>180975</xdr:rowOff>
    </xdr:from>
    <xdr:to>
      <xdr:col>3</xdr:col>
      <xdr:colOff>723900</xdr:colOff>
      <xdr:row>27</xdr:row>
      <xdr:rowOff>76200</xdr:rowOff>
    </xdr:to>
    <xdr:sp macro="" textlink="">
      <xdr:nvSpPr>
        <xdr:cNvPr id="3" name="Left Brace 2">
          <a:extLst>
            <a:ext uri="{FF2B5EF4-FFF2-40B4-BE49-F238E27FC236}">
              <a16:creationId xmlns:a16="http://schemas.microsoft.com/office/drawing/2014/main" id="{5E447E47-8D4B-4A2B-3418-C16E9A251340}"/>
            </a:ext>
            <a:ext uri="{C183D7F6-B498-43B3-948B-1728B52AA6E4}">
              <adec:decorative xmlns:adec="http://schemas.microsoft.com/office/drawing/2017/decorative" val="1"/>
            </a:ext>
          </a:extLst>
        </xdr:cNvPr>
        <xdr:cNvSpPr/>
      </xdr:nvSpPr>
      <xdr:spPr>
        <a:xfrm>
          <a:off x="2133600" y="4200525"/>
          <a:ext cx="400050" cy="10572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ls.gov/oes/current/oes_nat.htm" TargetMode="External"/><Relationship Id="rId1" Type="http://schemas.openxmlformats.org/officeDocument/2006/relationships/hyperlink" Target="https://www.bls.gov/oes/current/oes_nat.ht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37"/>
  <sheetViews>
    <sheetView tabSelected="1" zoomScale="110" zoomScaleNormal="110" zoomScaleSheetLayoutView="100" workbookViewId="0">
      <selection activeCell="L9" sqref="L9"/>
    </sheetView>
  </sheetViews>
  <sheetFormatPr defaultRowHeight="15" x14ac:dyDescent="0.25"/>
  <cols>
    <col min="1" max="1" width="40.7109375" style="48" customWidth="1"/>
    <col min="2" max="2" width="21.7109375" style="48" customWidth="1"/>
    <col min="3" max="4" width="12.7109375" style="58" customWidth="1"/>
    <col min="5" max="8" width="5.7109375" style="48" customWidth="1"/>
    <col min="9" max="10" width="15.7109375" style="236" customWidth="1"/>
    <col min="11" max="11" width="15.7109375" style="220" customWidth="1"/>
    <col min="12" max="12" width="15.7109375" style="236" customWidth="1"/>
  </cols>
  <sheetData>
    <row r="1" spans="1:14" ht="24" customHeight="1" thickBot="1" x14ac:dyDescent="0.3">
      <c r="A1" s="57" t="s">
        <v>49</v>
      </c>
      <c r="B1" s="59" t="s">
        <v>120</v>
      </c>
      <c r="C1" s="9"/>
      <c r="D1" s="9"/>
      <c r="E1" s="9"/>
      <c r="F1" s="9"/>
      <c r="G1" s="9"/>
      <c r="H1" s="9"/>
      <c r="I1" s="221"/>
      <c r="J1" s="222"/>
      <c r="K1" s="211" t="s">
        <v>3</v>
      </c>
      <c r="L1" s="63">
        <v>46127</v>
      </c>
    </row>
    <row r="2" spans="1:14" ht="45" customHeight="1" thickBot="1" x14ac:dyDescent="0.3">
      <c r="A2" s="54" t="s">
        <v>26</v>
      </c>
      <c r="B2" s="198" t="s">
        <v>164</v>
      </c>
      <c r="C2" s="48"/>
      <c r="D2" s="199"/>
      <c r="E2" s="13"/>
      <c r="F2" s="13"/>
      <c r="G2" s="13"/>
      <c r="H2" s="13"/>
      <c r="I2" s="223"/>
      <c r="J2" s="224"/>
      <c r="K2" s="212"/>
      <c r="L2" s="237"/>
      <c r="N2" s="56"/>
    </row>
    <row r="3" spans="1:14" ht="21" customHeight="1" thickBot="1" x14ac:dyDescent="0.3">
      <c r="A3" s="241" t="s">
        <v>61</v>
      </c>
      <c r="B3" s="17"/>
      <c r="C3" s="16"/>
      <c r="D3" s="16"/>
      <c r="E3" s="16"/>
      <c r="F3" s="16"/>
      <c r="G3" s="16"/>
      <c r="H3" s="16"/>
      <c r="I3" s="225"/>
      <c r="J3" s="226"/>
      <c r="K3" s="213" t="s">
        <v>50</v>
      </c>
      <c r="L3" s="240"/>
      <c r="N3" s="56"/>
    </row>
    <row r="4" spans="1:14" x14ac:dyDescent="0.25">
      <c r="A4" s="11" t="s">
        <v>0</v>
      </c>
      <c r="B4" s="15" t="s">
        <v>113</v>
      </c>
      <c r="C4" s="5"/>
      <c r="D4" s="5"/>
      <c r="E4" s="5"/>
      <c r="F4" s="8"/>
      <c r="G4" s="8"/>
      <c r="H4" s="8"/>
      <c r="I4" s="227"/>
      <c r="J4" s="228"/>
      <c r="K4" s="214" t="s">
        <v>59</v>
      </c>
      <c r="L4" s="3">
        <f>SUMIF(G13:G36,"*X*",I13:I36)</f>
        <v>25806</v>
      </c>
      <c r="N4" s="20"/>
    </row>
    <row r="5" spans="1:14" x14ac:dyDescent="0.25">
      <c r="A5" s="10" t="s">
        <v>1</v>
      </c>
      <c r="B5" t="s">
        <v>163</v>
      </c>
      <c r="C5" s="6"/>
      <c r="D5" s="6"/>
      <c r="E5" s="6"/>
      <c r="F5" s="6"/>
      <c r="G5" s="6"/>
      <c r="H5" s="6"/>
      <c r="I5" s="229"/>
      <c r="J5" s="230"/>
      <c r="K5" s="215" t="s">
        <v>15</v>
      </c>
      <c r="L5" s="4">
        <f>SUM(J13:J36)</f>
        <v>54375</v>
      </c>
    </row>
    <row r="6" spans="1:14" x14ac:dyDescent="0.25">
      <c r="A6" s="10" t="s">
        <v>2</v>
      </c>
      <c r="B6" t="s">
        <v>162</v>
      </c>
      <c r="C6" s="6"/>
      <c r="D6" s="6"/>
      <c r="E6" s="6"/>
      <c r="F6" s="6"/>
      <c r="G6" s="6"/>
      <c r="H6" s="6"/>
      <c r="I6" s="229"/>
      <c r="J6" s="230"/>
      <c r="K6" s="215" t="s">
        <v>16</v>
      </c>
      <c r="L6" s="238">
        <v>75</v>
      </c>
    </row>
    <row r="7" spans="1:14" x14ac:dyDescent="0.25">
      <c r="A7" s="10" t="s">
        <v>3</v>
      </c>
      <c r="B7" s="14">
        <f>L1</f>
        <v>46127</v>
      </c>
      <c r="C7" s="6"/>
      <c r="D7" s="6"/>
      <c r="E7" s="6"/>
      <c r="F7" s="6"/>
      <c r="G7" s="6"/>
      <c r="H7" s="6"/>
      <c r="I7" s="229"/>
      <c r="J7" s="230"/>
      <c r="K7" s="215" t="s">
        <v>17</v>
      </c>
      <c r="L7" s="4">
        <f>L5/L4</f>
        <v>2.1070681236921645</v>
      </c>
    </row>
    <row r="8" spans="1:14" x14ac:dyDescent="0.25">
      <c r="A8" s="10" t="s">
        <v>4</v>
      </c>
      <c r="B8" s="243" t="s">
        <v>170</v>
      </c>
      <c r="C8" s="6"/>
      <c r="D8" s="6"/>
      <c r="E8" s="6"/>
      <c r="F8" s="6"/>
      <c r="G8" s="6"/>
      <c r="H8" s="6"/>
      <c r="I8" s="229"/>
      <c r="J8" s="230"/>
      <c r="K8" s="215" t="s">
        <v>18</v>
      </c>
      <c r="L8" s="4">
        <f>SUM(L13:L36)</f>
        <v>101504</v>
      </c>
    </row>
    <row r="9" spans="1:14" x14ac:dyDescent="0.25">
      <c r="A9" s="10" t="s">
        <v>5</v>
      </c>
      <c r="B9" s="194" t="s">
        <v>171</v>
      </c>
      <c r="C9" s="6"/>
      <c r="D9" s="6"/>
      <c r="E9" s="6"/>
      <c r="F9" s="6"/>
      <c r="G9" s="6"/>
      <c r="H9" s="6"/>
      <c r="I9" s="229"/>
      <c r="J9" s="230"/>
      <c r="K9" s="215" t="s">
        <v>19</v>
      </c>
      <c r="L9" s="242">
        <f>L8/L5</f>
        <v>1.8667402298850575</v>
      </c>
    </row>
    <row r="10" spans="1:14" ht="15.75" thickBot="1" x14ac:dyDescent="0.3">
      <c r="A10" s="12" t="s">
        <v>6</v>
      </c>
      <c r="B10" s="195" t="s">
        <v>172</v>
      </c>
      <c r="C10" s="7"/>
      <c r="D10" s="7"/>
      <c r="E10" s="7"/>
      <c r="F10" s="7"/>
      <c r="G10" s="7"/>
      <c r="H10" s="7"/>
      <c r="I10" s="231"/>
      <c r="J10" s="232"/>
      <c r="K10" s="216" t="s">
        <v>20</v>
      </c>
      <c r="L10" s="239">
        <v>0</v>
      </c>
    </row>
    <row r="11" spans="1:14" ht="21" customHeight="1" thickBot="1" x14ac:dyDescent="0.3">
      <c r="A11" s="18" t="s">
        <v>25</v>
      </c>
      <c r="B11" s="19"/>
      <c r="C11" s="19"/>
      <c r="D11" s="19"/>
      <c r="E11" s="19"/>
      <c r="F11" s="19"/>
      <c r="G11" s="19"/>
      <c r="H11" s="19"/>
      <c r="I11" s="233"/>
      <c r="J11" s="233"/>
      <c r="K11" s="217"/>
      <c r="L11" s="240"/>
    </row>
    <row r="12" spans="1:14" ht="107.25" customHeight="1" x14ac:dyDescent="0.25">
      <c r="A12" s="200" t="s">
        <v>7</v>
      </c>
      <c r="B12" s="200" t="s">
        <v>8</v>
      </c>
      <c r="C12" s="200" t="s">
        <v>13</v>
      </c>
      <c r="D12" s="200" t="s">
        <v>14</v>
      </c>
      <c r="E12" s="201" t="s">
        <v>9</v>
      </c>
      <c r="F12" s="201" t="s">
        <v>12</v>
      </c>
      <c r="G12" s="201" t="s">
        <v>11</v>
      </c>
      <c r="H12" s="201" t="s">
        <v>10</v>
      </c>
      <c r="I12" s="234" t="s">
        <v>24</v>
      </c>
      <c r="J12" s="235" t="s">
        <v>21</v>
      </c>
      <c r="K12" s="218" t="s">
        <v>22</v>
      </c>
      <c r="L12" s="235" t="s">
        <v>23</v>
      </c>
      <c r="M12" s="1"/>
    </row>
    <row r="13" spans="1:14" ht="39.950000000000003" customHeight="1" x14ac:dyDescent="0.25">
      <c r="A13" s="202" t="s">
        <v>121</v>
      </c>
      <c r="B13" s="203" t="s">
        <v>122</v>
      </c>
      <c r="C13" s="204" t="s">
        <v>118</v>
      </c>
      <c r="D13" s="204" t="s">
        <v>114</v>
      </c>
      <c r="E13" s="204"/>
      <c r="F13" s="204" t="s">
        <v>123</v>
      </c>
      <c r="G13" s="205"/>
      <c r="H13" s="204" t="s">
        <v>116</v>
      </c>
      <c r="I13" s="206">
        <v>210</v>
      </c>
      <c r="J13" s="206">
        <v>210</v>
      </c>
      <c r="K13" s="219">
        <v>0.1</v>
      </c>
      <c r="L13" s="206">
        <f>ROUNDUP(J13*K13,0)</f>
        <v>21</v>
      </c>
    </row>
    <row r="14" spans="1:14" ht="39.950000000000003" customHeight="1" x14ac:dyDescent="0.25">
      <c r="A14" s="202" t="s">
        <v>124</v>
      </c>
      <c r="B14" s="203" t="s">
        <v>125</v>
      </c>
      <c r="C14" s="203" t="s">
        <v>126</v>
      </c>
      <c r="D14" s="204" t="s">
        <v>114</v>
      </c>
      <c r="E14" s="204"/>
      <c r="F14" s="204" t="s">
        <v>115</v>
      </c>
      <c r="G14" s="205"/>
      <c r="H14" s="204" t="s">
        <v>116</v>
      </c>
      <c r="I14" s="206">
        <v>3</v>
      </c>
      <c r="J14" s="206">
        <v>3</v>
      </c>
      <c r="K14" s="219">
        <v>1</v>
      </c>
      <c r="L14" s="206">
        <f t="shared" ref="L14:L18" si="0">ROUNDUP(J14*K14,0)</f>
        <v>3</v>
      </c>
    </row>
    <row r="15" spans="1:14" ht="39.950000000000003" customHeight="1" x14ac:dyDescent="0.25">
      <c r="A15" s="202" t="s">
        <v>124</v>
      </c>
      <c r="B15" s="203" t="s">
        <v>125</v>
      </c>
      <c r="C15" s="203" t="s">
        <v>126</v>
      </c>
      <c r="D15" s="204" t="s">
        <v>114</v>
      </c>
      <c r="E15" s="204"/>
      <c r="F15" s="204" t="s">
        <v>127</v>
      </c>
      <c r="G15" s="205"/>
      <c r="H15" s="204" t="s">
        <v>116</v>
      </c>
      <c r="I15" s="206">
        <v>1</v>
      </c>
      <c r="J15" s="206">
        <v>1</v>
      </c>
      <c r="K15" s="219">
        <v>1</v>
      </c>
      <c r="L15" s="206">
        <f t="shared" si="0"/>
        <v>1</v>
      </c>
    </row>
    <row r="16" spans="1:14" ht="39.950000000000003" customHeight="1" x14ac:dyDescent="0.25">
      <c r="A16" s="202" t="s">
        <v>128</v>
      </c>
      <c r="B16" s="203" t="s">
        <v>125</v>
      </c>
      <c r="C16" s="203" t="s">
        <v>129</v>
      </c>
      <c r="D16" s="204" t="s">
        <v>114</v>
      </c>
      <c r="E16" s="204"/>
      <c r="F16" s="204" t="s">
        <v>115</v>
      </c>
      <c r="G16" s="205" t="s">
        <v>161</v>
      </c>
      <c r="H16" s="204" t="s">
        <v>116</v>
      </c>
      <c r="I16" s="206">
        <v>67</v>
      </c>
      <c r="J16" s="206">
        <v>67</v>
      </c>
      <c r="K16" s="219">
        <v>0.1</v>
      </c>
      <c r="L16" s="206">
        <f t="shared" si="0"/>
        <v>7</v>
      </c>
    </row>
    <row r="17" spans="1:12" ht="39.950000000000003" customHeight="1" x14ac:dyDescent="0.25">
      <c r="A17" s="202" t="s">
        <v>130</v>
      </c>
      <c r="B17" s="203" t="s">
        <v>131</v>
      </c>
      <c r="C17" s="203" t="s">
        <v>118</v>
      </c>
      <c r="D17" s="204" t="s">
        <v>114</v>
      </c>
      <c r="E17" s="204"/>
      <c r="F17" s="204" t="s">
        <v>123</v>
      </c>
      <c r="G17" s="205"/>
      <c r="H17" s="204" t="s">
        <v>116</v>
      </c>
      <c r="I17" s="206">
        <v>1993</v>
      </c>
      <c r="J17" s="206">
        <v>1993</v>
      </c>
      <c r="K17" s="219">
        <v>1</v>
      </c>
      <c r="L17" s="206">
        <f t="shared" si="0"/>
        <v>1993</v>
      </c>
    </row>
    <row r="18" spans="1:12" ht="39.950000000000003" customHeight="1" x14ac:dyDescent="0.25">
      <c r="A18" s="202" t="s">
        <v>132</v>
      </c>
      <c r="B18" s="203" t="s">
        <v>133</v>
      </c>
      <c r="C18" s="203" t="s">
        <v>118</v>
      </c>
      <c r="D18" s="204" t="s">
        <v>114</v>
      </c>
      <c r="E18" s="204"/>
      <c r="F18" s="204" t="s">
        <v>123</v>
      </c>
      <c r="G18" s="205"/>
      <c r="H18" s="204" t="s">
        <v>135</v>
      </c>
      <c r="I18" s="206">
        <v>1</v>
      </c>
      <c r="J18" s="206">
        <v>1</v>
      </c>
      <c r="K18" s="219">
        <v>1</v>
      </c>
      <c r="L18" s="206">
        <f t="shared" si="0"/>
        <v>1</v>
      </c>
    </row>
    <row r="19" spans="1:12" ht="39.950000000000003" customHeight="1" x14ac:dyDescent="0.25">
      <c r="A19" s="207" t="s">
        <v>134</v>
      </c>
      <c r="B19" s="204" t="s">
        <v>133</v>
      </c>
      <c r="C19" s="203" t="s">
        <v>118</v>
      </c>
      <c r="D19" s="203" t="s">
        <v>114</v>
      </c>
      <c r="E19" s="204"/>
      <c r="F19" s="204" t="s">
        <v>123</v>
      </c>
      <c r="G19" s="208"/>
      <c r="H19" s="204" t="s">
        <v>135</v>
      </c>
      <c r="I19" s="206">
        <v>1</v>
      </c>
      <c r="J19" s="206">
        <v>1</v>
      </c>
      <c r="K19" s="219">
        <v>1</v>
      </c>
      <c r="L19" s="206">
        <f t="shared" ref="L19:L27" si="1">ROUNDUP(J19*K19,0)</f>
        <v>1</v>
      </c>
    </row>
    <row r="20" spans="1:12" ht="39.950000000000003" customHeight="1" x14ac:dyDescent="0.25">
      <c r="A20" s="209" t="s">
        <v>136</v>
      </c>
      <c r="B20" s="204" t="s">
        <v>137</v>
      </c>
      <c r="C20" s="203" t="s">
        <v>118</v>
      </c>
      <c r="D20" s="203" t="s">
        <v>114</v>
      </c>
      <c r="E20" s="204"/>
      <c r="F20" s="204" t="s">
        <v>123</v>
      </c>
      <c r="G20" s="204" t="s">
        <v>161</v>
      </c>
      <c r="H20" s="204" t="s">
        <v>116</v>
      </c>
      <c r="I20" s="206">
        <v>25660</v>
      </c>
      <c r="J20" s="206">
        <v>25660</v>
      </c>
      <c r="K20" s="219">
        <v>2</v>
      </c>
      <c r="L20" s="206">
        <f t="shared" si="1"/>
        <v>51320</v>
      </c>
    </row>
    <row r="21" spans="1:12" ht="39.950000000000003" customHeight="1" x14ac:dyDescent="0.25">
      <c r="A21" s="209" t="s">
        <v>138</v>
      </c>
      <c r="B21" s="204" t="s">
        <v>139</v>
      </c>
      <c r="C21" s="203" t="s">
        <v>118</v>
      </c>
      <c r="D21" s="203" t="s">
        <v>114</v>
      </c>
      <c r="E21" s="204"/>
      <c r="F21" s="204" t="s">
        <v>115</v>
      </c>
      <c r="G21" s="208"/>
      <c r="H21" s="204" t="s">
        <v>116</v>
      </c>
      <c r="I21" s="206">
        <v>1</v>
      </c>
      <c r="J21" s="206">
        <v>1</v>
      </c>
      <c r="K21" s="219">
        <v>1</v>
      </c>
      <c r="L21" s="206">
        <f t="shared" si="1"/>
        <v>1</v>
      </c>
    </row>
    <row r="22" spans="1:12" ht="39.950000000000003" customHeight="1" x14ac:dyDescent="0.25">
      <c r="A22" s="209" t="s">
        <v>140</v>
      </c>
      <c r="B22" s="204" t="s">
        <v>141</v>
      </c>
      <c r="C22" s="203" t="s">
        <v>118</v>
      </c>
      <c r="D22" s="203" t="s">
        <v>114</v>
      </c>
      <c r="E22" s="204"/>
      <c r="F22" s="204" t="s">
        <v>123</v>
      </c>
      <c r="G22" s="208"/>
      <c r="H22" s="204" t="s">
        <v>116</v>
      </c>
      <c r="I22" s="206">
        <v>116</v>
      </c>
      <c r="J22" s="206">
        <v>5486</v>
      </c>
      <c r="K22" s="219">
        <v>1</v>
      </c>
      <c r="L22" s="206">
        <f t="shared" si="1"/>
        <v>5486</v>
      </c>
    </row>
    <row r="23" spans="1:12" ht="39.950000000000003" customHeight="1" x14ac:dyDescent="0.25">
      <c r="A23" s="209" t="s">
        <v>142</v>
      </c>
      <c r="B23" s="204" t="s">
        <v>143</v>
      </c>
      <c r="C23" s="203" t="s">
        <v>118</v>
      </c>
      <c r="D23" s="203" t="s">
        <v>114</v>
      </c>
      <c r="E23" s="204"/>
      <c r="F23" s="204" t="s">
        <v>123</v>
      </c>
      <c r="G23" s="208"/>
      <c r="H23" s="204" t="s">
        <v>116</v>
      </c>
      <c r="I23" s="206">
        <v>7</v>
      </c>
      <c r="J23" s="206">
        <v>14</v>
      </c>
      <c r="K23" s="219">
        <v>2</v>
      </c>
      <c r="L23" s="206">
        <f t="shared" si="1"/>
        <v>28</v>
      </c>
    </row>
    <row r="24" spans="1:12" ht="39.950000000000003" customHeight="1" x14ac:dyDescent="0.25">
      <c r="A24" s="209" t="s">
        <v>144</v>
      </c>
      <c r="B24" s="204" t="s">
        <v>145</v>
      </c>
      <c r="C24" s="203" t="s">
        <v>118</v>
      </c>
      <c r="D24" s="203" t="s">
        <v>114</v>
      </c>
      <c r="E24" s="204"/>
      <c r="F24" s="204" t="s">
        <v>123</v>
      </c>
      <c r="G24" s="208"/>
      <c r="H24" s="204" t="s">
        <v>116</v>
      </c>
      <c r="I24" s="206">
        <v>17</v>
      </c>
      <c r="J24" s="206">
        <v>1054</v>
      </c>
      <c r="K24" s="219">
        <v>2</v>
      </c>
      <c r="L24" s="206">
        <f t="shared" si="1"/>
        <v>2108</v>
      </c>
    </row>
    <row r="25" spans="1:12" ht="39.950000000000003" customHeight="1" x14ac:dyDescent="0.25">
      <c r="A25" s="209" t="s">
        <v>146</v>
      </c>
      <c r="B25" s="204" t="s">
        <v>147</v>
      </c>
      <c r="C25" s="203" t="s">
        <v>118</v>
      </c>
      <c r="D25" s="203" t="s">
        <v>114</v>
      </c>
      <c r="E25" s="204"/>
      <c r="F25" s="204" t="s">
        <v>123</v>
      </c>
      <c r="G25" s="208"/>
      <c r="H25" s="204" t="s">
        <v>116</v>
      </c>
      <c r="I25" s="206">
        <v>15</v>
      </c>
      <c r="J25" s="206">
        <v>2355</v>
      </c>
      <c r="K25" s="219">
        <v>2</v>
      </c>
      <c r="L25" s="206">
        <f t="shared" si="1"/>
        <v>4710</v>
      </c>
    </row>
    <row r="26" spans="1:12" ht="39.950000000000003" customHeight="1" x14ac:dyDescent="0.25">
      <c r="A26" s="209" t="s">
        <v>148</v>
      </c>
      <c r="B26" s="204" t="s">
        <v>149</v>
      </c>
      <c r="C26" s="203" t="s">
        <v>118</v>
      </c>
      <c r="D26" s="203" t="s">
        <v>114</v>
      </c>
      <c r="E26" s="204"/>
      <c r="F26" s="204" t="s">
        <v>115</v>
      </c>
      <c r="G26" s="208"/>
      <c r="H26" s="204" t="s">
        <v>116</v>
      </c>
      <c r="I26" s="206">
        <v>4</v>
      </c>
      <c r="J26" s="206">
        <v>4</v>
      </c>
      <c r="K26" s="219">
        <v>1</v>
      </c>
      <c r="L26" s="206">
        <f t="shared" si="1"/>
        <v>4</v>
      </c>
    </row>
    <row r="27" spans="1:12" ht="39.950000000000003" customHeight="1" x14ac:dyDescent="0.25">
      <c r="A27" s="209" t="s">
        <v>150</v>
      </c>
      <c r="B27" s="204" t="s">
        <v>151</v>
      </c>
      <c r="C27" s="203" t="s">
        <v>118</v>
      </c>
      <c r="D27" s="203" t="s">
        <v>114</v>
      </c>
      <c r="E27" s="204"/>
      <c r="F27" s="204" t="s">
        <v>123</v>
      </c>
      <c r="G27" s="208"/>
      <c r="H27" s="204" t="s">
        <v>116</v>
      </c>
      <c r="I27" s="206">
        <v>8666</v>
      </c>
      <c r="J27" s="206">
        <v>17322</v>
      </c>
      <c r="K27" s="219">
        <v>2</v>
      </c>
      <c r="L27" s="206">
        <f t="shared" si="1"/>
        <v>34644</v>
      </c>
    </row>
    <row r="28" spans="1:12" ht="39.950000000000003" customHeight="1" x14ac:dyDescent="0.25">
      <c r="A28" s="209" t="s">
        <v>152</v>
      </c>
      <c r="B28" s="204" t="s">
        <v>153</v>
      </c>
      <c r="C28" s="203" t="s">
        <v>118</v>
      </c>
      <c r="D28" s="203" t="s">
        <v>114</v>
      </c>
      <c r="E28" s="204"/>
      <c r="F28" s="204" t="s">
        <v>115</v>
      </c>
      <c r="G28" s="208"/>
      <c r="H28" s="204" t="s">
        <v>116</v>
      </c>
      <c r="I28" s="206">
        <v>14</v>
      </c>
      <c r="J28" s="206">
        <v>14</v>
      </c>
      <c r="K28" s="219">
        <v>1</v>
      </c>
      <c r="L28" s="206">
        <f t="shared" ref="L28:L33" si="2">ROUNDUP(J28*K28,0)</f>
        <v>14</v>
      </c>
    </row>
    <row r="29" spans="1:12" ht="39.950000000000003" customHeight="1" x14ac:dyDescent="0.25">
      <c r="A29" s="210" t="s">
        <v>154</v>
      </c>
      <c r="B29" s="204" t="s">
        <v>155</v>
      </c>
      <c r="C29" s="203" t="s">
        <v>118</v>
      </c>
      <c r="D29" s="203" t="s">
        <v>114</v>
      </c>
      <c r="E29" s="204"/>
      <c r="F29" s="204" t="s">
        <v>115</v>
      </c>
      <c r="G29" s="208"/>
      <c r="H29" s="204" t="s">
        <v>116</v>
      </c>
      <c r="I29" s="206">
        <v>60</v>
      </c>
      <c r="J29" s="206">
        <v>60</v>
      </c>
      <c r="K29" s="219">
        <v>8</v>
      </c>
      <c r="L29" s="206">
        <f t="shared" si="2"/>
        <v>480</v>
      </c>
    </row>
    <row r="30" spans="1:12" ht="39.950000000000003" customHeight="1" x14ac:dyDescent="0.25">
      <c r="A30" s="210" t="s">
        <v>154</v>
      </c>
      <c r="B30" s="204" t="s">
        <v>155</v>
      </c>
      <c r="C30" s="203" t="s">
        <v>118</v>
      </c>
      <c r="D30" s="203" t="s">
        <v>114</v>
      </c>
      <c r="E30" s="204"/>
      <c r="F30" s="204" t="s">
        <v>127</v>
      </c>
      <c r="G30" s="204" t="s">
        <v>161</v>
      </c>
      <c r="H30" s="204" t="s">
        <v>116</v>
      </c>
      <c r="I30" s="206">
        <v>15</v>
      </c>
      <c r="J30" s="206">
        <v>15</v>
      </c>
      <c r="K30" s="219">
        <v>8</v>
      </c>
      <c r="L30" s="206">
        <f t="shared" si="2"/>
        <v>120</v>
      </c>
    </row>
    <row r="31" spans="1:12" ht="39.950000000000003" customHeight="1" x14ac:dyDescent="0.25">
      <c r="A31" s="210" t="s">
        <v>154</v>
      </c>
      <c r="B31" s="204" t="s">
        <v>155</v>
      </c>
      <c r="C31" s="203" t="s">
        <v>118</v>
      </c>
      <c r="D31" s="203" t="s">
        <v>114</v>
      </c>
      <c r="E31" s="204"/>
      <c r="F31" s="204" t="s">
        <v>117</v>
      </c>
      <c r="G31" s="204" t="s">
        <v>161</v>
      </c>
      <c r="H31" s="204" t="s">
        <v>116</v>
      </c>
      <c r="I31" s="206">
        <v>64</v>
      </c>
      <c r="J31" s="206">
        <v>64</v>
      </c>
      <c r="K31" s="219">
        <v>8</v>
      </c>
      <c r="L31" s="206">
        <f t="shared" si="2"/>
        <v>512</v>
      </c>
    </row>
    <row r="32" spans="1:12" ht="39.950000000000003" customHeight="1" x14ac:dyDescent="0.25">
      <c r="A32" s="210" t="s">
        <v>166</v>
      </c>
      <c r="B32" s="204" t="s">
        <v>156</v>
      </c>
      <c r="C32" s="203" t="s">
        <v>118</v>
      </c>
      <c r="D32" s="203" t="s">
        <v>114</v>
      </c>
      <c r="E32" s="204"/>
      <c r="F32" s="204" t="s">
        <v>123</v>
      </c>
      <c r="G32" s="208"/>
      <c r="H32" s="204" t="s">
        <v>116</v>
      </c>
      <c r="I32" s="206">
        <v>10</v>
      </c>
      <c r="J32" s="206">
        <v>10</v>
      </c>
      <c r="K32" s="219">
        <v>1</v>
      </c>
      <c r="L32" s="206">
        <f t="shared" si="2"/>
        <v>10</v>
      </c>
    </row>
    <row r="33" spans="1:12" ht="39.950000000000003" customHeight="1" x14ac:dyDescent="0.25">
      <c r="A33" s="209" t="s">
        <v>165</v>
      </c>
      <c r="B33" s="204" t="s">
        <v>158</v>
      </c>
      <c r="C33" s="203" t="s">
        <v>118</v>
      </c>
      <c r="D33" s="203" t="s">
        <v>114</v>
      </c>
      <c r="E33" s="204"/>
      <c r="F33" s="204" t="s">
        <v>115</v>
      </c>
      <c r="G33" s="208"/>
      <c r="H33" s="204" t="s">
        <v>116</v>
      </c>
      <c r="I33" s="206">
        <v>10</v>
      </c>
      <c r="J33" s="206">
        <v>10</v>
      </c>
      <c r="K33" s="219">
        <v>1</v>
      </c>
      <c r="L33" s="206">
        <f t="shared" si="2"/>
        <v>10</v>
      </c>
    </row>
    <row r="34" spans="1:12" ht="39.950000000000003" customHeight="1" x14ac:dyDescent="0.25">
      <c r="A34" s="202" t="s">
        <v>167</v>
      </c>
      <c r="B34" s="204" t="s">
        <v>158</v>
      </c>
      <c r="C34" s="203" t="s">
        <v>118</v>
      </c>
      <c r="D34" s="203" t="s">
        <v>114</v>
      </c>
      <c r="E34" s="204"/>
      <c r="F34" s="204" t="s">
        <v>115</v>
      </c>
      <c r="G34" s="208"/>
      <c r="H34" s="204" t="s">
        <v>157</v>
      </c>
      <c r="I34" s="206">
        <v>10</v>
      </c>
      <c r="J34" s="206">
        <v>10</v>
      </c>
      <c r="K34" s="219">
        <v>1</v>
      </c>
      <c r="L34" s="206">
        <f t="shared" ref="L34:L36" si="3">ROUNDUP(J34*K34,0)</f>
        <v>10</v>
      </c>
    </row>
    <row r="35" spans="1:12" ht="39.950000000000003" customHeight="1" x14ac:dyDescent="0.25">
      <c r="A35" s="210" t="s">
        <v>168</v>
      </c>
      <c r="B35" s="204" t="s">
        <v>159</v>
      </c>
      <c r="C35" s="203" t="s">
        <v>118</v>
      </c>
      <c r="D35" s="203" t="s">
        <v>114</v>
      </c>
      <c r="E35" s="204"/>
      <c r="F35" s="204" t="s">
        <v>115</v>
      </c>
      <c r="G35" s="208"/>
      <c r="H35" s="204" t="s">
        <v>116</v>
      </c>
      <c r="I35" s="206">
        <v>10</v>
      </c>
      <c r="J35" s="206">
        <v>10</v>
      </c>
      <c r="K35" s="219">
        <v>1</v>
      </c>
      <c r="L35" s="206">
        <f t="shared" si="3"/>
        <v>10</v>
      </c>
    </row>
    <row r="36" spans="1:12" ht="39.950000000000003" customHeight="1" x14ac:dyDescent="0.25">
      <c r="A36" s="210" t="s">
        <v>169</v>
      </c>
      <c r="B36" s="204" t="s">
        <v>160</v>
      </c>
      <c r="C36" s="203" t="s">
        <v>118</v>
      </c>
      <c r="D36" s="203" t="s">
        <v>114</v>
      </c>
      <c r="E36" s="204"/>
      <c r="F36" s="204" t="s">
        <v>115</v>
      </c>
      <c r="G36" s="208"/>
      <c r="H36" s="204" t="s">
        <v>116</v>
      </c>
      <c r="I36" s="206">
        <v>10</v>
      </c>
      <c r="J36" s="206">
        <v>10</v>
      </c>
      <c r="K36" s="219">
        <v>1</v>
      </c>
      <c r="L36" s="206">
        <f t="shared" si="3"/>
        <v>10</v>
      </c>
    </row>
    <row r="37" spans="1:12" ht="39.950000000000003" customHeight="1" x14ac:dyDescent="0.25"/>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topLeftCell="A2" zoomScale="85" zoomScaleNormal="85" zoomScaleSheetLayoutView="115" workbookViewId="0">
      <selection activeCell="B34" sqref="B34"/>
    </sheetView>
  </sheetViews>
  <sheetFormatPr defaultColWidth="9.140625" defaultRowHeight="9" customHeight="1" x14ac:dyDescent="0.25"/>
  <cols>
    <col min="1" max="1" width="40.42578125" style="2" customWidth="1"/>
    <col min="2" max="2" width="18.7109375" style="2" bestFit="1" customWidth="1"/>
    <col min="3" max="3" width="15.7109375" style="2" customWidth="1"/>
    <col min="4" max="4" width="17.28515625" style="2" customWidth="1"/>
    <col min="5" max="5" width="16.85546875" style="2" customWidth="1"/>
    <col min="6" max="6" width="11" style="2" customWidth="1"/>
    <col min="7" max="7" width="22.7109375" style="2" bestFit="1" customWidth="1"/>
    <col min="8" max="8" width="14.5703125" style="2" customWidth="1"/>
    <col min="9" max="9" width="9.140625" style="2"/>
    <col min="10" max="10" width="20.42578125" style="2" bestFit="1" customWidth="1"/>
    <col min="11" max="15" width="13.7109375" style="2" customWidth="1"/>
    <col min="16" max="16" width="7.5703125" style="171" customWidth="1"/>
    <col min="17" max="17" width="68.140625" style="126" bestFit="1" customWidth="1"/>
    <col min="18" max="16384" width="9.140625" style="2"/>
  </cols>
  <sheetData>
    <row r="1" spans="1:17" ht="26.25" customHeight="1" x14ac:dyDescent="0.25">
      <c r="A1" s="107" t="s">
        <v>83</v>
      </c>
      <c r="B1" s="75"/>
      <c r="C1" s="75"/>
      <c r="D1" s="75"/>
      <c r="E1" s="75"/>
      <c r="F1" s="75"/>
      <c r="G1" s="178" t="s">
        <v>101</v>
      </c>
      <c r="H1" s="179"/>
      <c r="I1" s="179"/>
      <c r="J1" s="179"/>
      <c r="K1" s="179"/>
      <c r="L1" s="179"/>
      <c r="M1" s="179"/>
      <c r="N1" s="179"/>
      <c r="O1" s="179"/>
      <c r="P1" s="180"/>
      <c r="Q1" s="186" t="s">
        <v>100</v>
      </c>
    </row>
    <row r="2" spans="1:17" ht="28.5" customHeight="1" thickBot="1" x14ac:dyDescent="0.3">
      <c r="A2" s="181" t="s">
        <v>62</v>
      </c>
      <c r="B2" s="182"/>
      <c r="C2" s="182"/>
      <c r="D2" s="182"/>
      <c r="E2" s="182"/>
      <c r="F2" s="183" t="s">
        <v>82</v>
      </c>
      <c r="G2" s="184" t="s">
        <v>87</v>
      </c>
      <c r="H2" s="184"/>
      <c r="I2" s="182"/>
      <c r="J2" s="182"/>
      <c r="K2" s="182"/>
      <c r="L2" s="182"/>
      <c r="M2" s="182"/>
      <c r="N2" s="182"/>
      <c r="O2" s="182"/>
      <c r="P2" s="185"/>
    </row>
    <row r="3" spans="1:17" ht="28.5" customHeight="1" x14ac:dyDescent="0.25">
      <c r="A3" s="137"/>
      <c r="B3" s="75"/>
      <c r="C3" s="75"/>
      <c r="D3" s="75"/>
      <c r="E3" s="75"/>
      <c r="F3" s="75"/>
      <c r="G3" s="138" t="s">
        <v>84</v>
      </c>
      <c r="H3" s="138"/>
      <c r="I3" s="75"/>
      <c r="J3" s="75"/>
      <c r="K3" s="75"/>
      <c r="L3" s="75"/>
      <c r="M3" s="75"/>
      <c r="N3" s="75"/>
      <c r="O3" s="75"/>
      <c r="P3" s="170"/>
    </row>
    <row r="4" spans="1:17" ht="28.5" customHeight="1" thickBot="1" x14ac:dyDescent="0.3">
      <c r="A4" s="139" t="s">
        <v>90</v>
      </c>
      <c r="B4" s="75"/>
      <c r="C4" s="75"/>
      <c r="D4" s="75"/>
      <c r="E4" s="75"/>
      <c r="F4" s="75"/>
      <c r="G4" s="138" t="s">
        <v>106</v>
      </c>
      <c r="H4" s="75"/>
      <c r="I4" s="75"/>
      <c r="J4" s="138"/>
      <c r="K4" s="138"/>
      <c r="L4" s="138"/>
      <c r="M4" s="138"/>
      <c r="N4" s="138"/>
      <c r="O4" s="138"/>
      <c r="P4" s="170"/>
      <c r="Q4" s="173" t="s">
        <v>102</v>
      </c>
    </row>
    <row r="5" spans="1:17" ht="15" customHeight="1" thickBot="1" x14ac:dyDescent="0.3">
      <c r="A5" s="142" t="s">
        <v>27</v>
      </c>
      <c r="B5" s="187" t="s">
        <v>112</v>
      </c>
      <c r="C5" s="143"/>
      <c r="D5" s="144" t="s">
        <v>31</v>
      </c>
      <c r="E5" s="145" t="s">
        <v>51</v>
      </c>
      <c r="F5" s="75"/>
      <c r="G5" s="111"/>
      <c r="H5" s="112"/>
      <c r="I5" s="112"/>
      <c r="J5" s="112"/>
      <c r="K5" s="112"/>
      <c r="L5" s="112"/>
      <c r="M5" s="112"/>
      <c r="N5" s="112"/>
      <c r="O5" s="113"/>
      <c r="P5" s="170"/>
      <c r="Q5" s="172" t="s">
        <v>97</v>
      </c>
    </row>
    <row r="6" spans="1:17" ht="15" customHeight="1" thickBot="1" x14ac:dyDescent="0.3">
      <c r="A6" s="49" t="s">
        <v>28</v>
      </c>
      <c r="B6" s="188" t="s">
        <v>119</v>
      </c>
      <c r="C6" s="146"/>
      <c r="D6" s="147" t="s">
        <v>52</v>
      </c>
      <c r="E6" s="148">
        <f>SUMIFS('APHIS 71'!I13:I141,'APHIS 71'!F13:F141,"=FG",'APHIS 71'!G13:G141,"=?")</f>
        <v>25660</v>
      </c>
      <c r="F6" s="83"/>
      <c r="G6" s="93" t="s">
        <v>51</v>
      </c>
      <c r="H6" s="114"/>
      <c r="I6" s="115"/>
      <c r="J6" s="118" t="s">
        <v>31</v>
      </c>
      <c r="K6" s="119">
        <f>K15+K23+K31+K39</f>
        <v>25806</v>
      </c>
      <c r="L6" s="115"/>
      <c r="M6" s="115"/>
      <c r="N6" s="115"/>
      <c r="O6" s="94"/>
      <c r="P6" s="170"/>
      <c r="Q6" s="167" t="s">
        <v>98</v>
      </c>
    </row>
    <row r="7" spans="1:17" ht="15" customHeight="1" x14ac:dyDescent="0.25">
      <c r="A7" s="140"/>
      <c r="B7" s="141"/>
      <c r="C7" s="21"/>
      <c r="D7" s="71" t="s">
        <v>53</v>
      </c>
      <c r="E7" s="61">
        <f>SUMIFS('APHIS 71'!I13:I141,'APHIS 71'!F13:F141,"=S1",'APHIS 71'!G13:G141,"=?")</f>
        <v>64</v>
      </c>
      <c r="F7" s="84"/>
      <c r="G7" s="93"/>
      <c r="H7" s="114"/>
      <c r="I7" s="115"/>
      <c r="J7" s="115"/>
      <c r="K7" s="115"/>
      <c r="L7" s="115"/>
      <c r="M7" s="115"/>
      <c r="N7" s="115"/>
      <c r="O7" s="94"/>
      <c r="P7" s="170"/>
      <c r="Q7" s="167" t="s">
        <v>99</v>
      </c>
    </row>
    <row r="8" spans="1:17" ht="15" customHeight="1" thickBot="1" x14ac:dyDescent="0.3">
      <c r="A8" s="50" t="s">
        <v>29</v>
      </c>
      <c r="B8" s="51" t="s">
        <v>30</v>
      </c>
      <c r="C8" s="22"/>
      <c r="D8" s="71" t="s">
        <v>54</v>
      </c>
      <c r="E8" s="61">
        <f>SUMIFS('APHIS 71'!I13:I18,'APHIS 71'!F13:F18,"=S2",'APHIS 71'!G13:G18,"=?")</f>
        <v>0</v>
      </c>
      <c r="F8" s="85"/>
      <c r="G8" s="95"/>
      <c r="H8" s="165" t="s">
        <v>63</v>
      </c>
      <c r="I8" s="115"/>
      <c r="J8" s="64"/>
      <c r="K8" s="163" t="s">
        <v>64</v>
      </c>
      <c r="L8" s="163" t="s">
        <v>65</v>
      </c>
      <c r="M8" s="163" t="s">
        <v>66</v>
      </c>
      <c r="N8" s="163" t="s">
        <v>67</v>
      </c>
      <c r="O8" s="164" t="s">
        <v>68</v>
      </c>
      <c r="P8" s="170"/>
    </row>
    <row r="9" spans="1:17" ht="15" customHeight="1" thickBot="1" x14ac:dyDescent="0.3">
      <c r="A9" s="23" t="s">
        <v>32</v>
      </c>
      <c r="B9" s="24">
        <f>'APHIS 71'!L4</f>
        <v>25806</v>
      </c>
      <c r="C9" s="25"/>
      <c r="D9" s="71" t="s">
        <v>55</v>
      </c>
      <c r="E9" s="61">
        <f>SUMIFS('APHIS 71'!I13:I18,'APHIS 71'!F13:F18,"=S3",'APHIS 71'!G13:G18,"=?")</f>
        <v>0</v>
      </c>
      <c r="F9" s="85"/>
      <c r="G9" s="96" t="s">
        <v>42</v>
      </c>
      <c r="H9" s="68">
        <f>H18+H26+H34+H42</f>
        <v>101492</v>
      </c>
      <c r="I9" s="115"/>
      <c r="J9" s="64" t="s">
        <v>69</v>
      </c>
      <c r="K9" s="69">
        <f t="shared" ref="K9:O11" si="0">K18+K26+K34+K42</f>
        <v>54375</v>
      </c>
      <c r="L9" s="69">
        <f t="shared" si="0"/>
        <v>0</v>
      </c>
      <c r="M9" s="69">
        <f t="shared" si="0"/>
        <v>-4485</v>
      </c>
      <c r="N9" s="69">
        <f t="shared" si="0"/>
        <v>0</v>
      </c>
      <c r="O9" s="97">
        <f t="shared" si="0"/>
        <v>58860</v>
      </c>
      <c r="P9" s="170"/>
      <c r="Q9" s="168" t="s">
        <v>92</v>
      </c>
    </row>
    <row r="10" spans="1:17" ht="15" customHeight="1" x14ac:dyDescent="0.25">
      <c r="A10" s="23" t="s">
        <v>34</v>
      </c>
      <c r="B10" s="24">
        <f>B11/B9</f>
        <v>2.1070681236921645</v>
      </c>
      <c r="C10" s="25"/>
      <c r="D10" s="71" t="s">
        <v>37</v>
      </c>
      <c r="E10" s="61">
        <f>SUMIFS('APHIS 71'!I13:I18,'APHIS 71'!F13:F18,"=P1",'APHIS 71'!G13:G18,"=?")</f>
        <v>67</v>
      </c>
      <c r="F10" s="85"/>
      <c r="G10" s="98" t="s">
        <v>70</v>
      </c>
      <c r="H10" s="69">
        <f>H19+H27+H35+H43</f>
        <v>10</v>
      </c>
      <c r="I10" s="115"/>
      <c r="J10" s="64" t="s">
        <v>63</v>
      </c>
      <c r="K10" s="69">
        <f t="shared" si="0"/>
        <v>101504</v>
      </c>
      <c r="L10" s="69">
        <f t="shared" si="0"/>
        <v>0</v>
      </c>
      <c r="M10" s="69">
        <f t="shared" si="0"/>
        <v>38799</v>
      </c>
      <c r="N10" s="69">
        <f t="shared" si="0"/>
        <v>0</v>
      </c>
      <c r="O10" s="97">
        <f t="shared" si="0"/>
        <v>62705</v>
      </c>
      <c r="P10" s="170"/>
      <c r="Q10" s="166" t="s">
        <v>103</v>
      </c>
    </row>
    <row r="11" spans="1:17" ht="15" customHeight="1" thickBot="1" x14ac:dyDescent="0.3">
      <c r="A11" s="23" t="s">
        <v>36</v>
      </c>
      <c r="B11" s="24">
        <f>'APHIS 71'!L5</f>
        <v>54375</v>
      </c>
      <c r="C11" s="25"/>
      <c r="D11" s="71" t="s">
        <v>39</v>
      </c>
      <c r="E11" s="61">
        <f>SUMIFS('APHIS 71'!I13:I18,'APHIS 71'!F13:F18,"=P2",'APHIS 71'!G13:G18,"=?")</f>
        <v>0</v>
      </c>
      <c r="F11" s="75"/>
      <c r="G11" s="95" t="s">
        <v>71</v>
      </c>
      <c r="H11" s="70">
        <f>H20+H28+H36+H44</f>
        <v>2</v>
      </c>
      <c r="I11" s="115"/>
      <c r="J11" s="64" t="s">
        <v>72</v>
      </c>
      <c r="K11" s="69">
        <f t="shared" si="0"/>
        <v>0</v>
      </c>
      <c r="L11" s="69">
        <f t="shared" si="0"/>
        <v>0</v>
      </c>
      <c r="M11" s="69">
        <f t="shared" si="0"/>
        <v>0</v>
      </c>
      <c r="N11" s="69">
        <f t="shared" si="0"/>
        <v>0</v>
      </c>
      <c r="O11" s="69">
        <f t="shared" si="0"/>
        <v>0</v>
      </c>
      <c r="P11" s="170"/>
      <c r="Q11" s="166" t="s">
        <v>104</v>
      </c>
    </row>
    <row r="12" spans="1:17" ht="15" customHeight="1" x14ac:dyDescent="0.25">
      <c r="A12" s="23" t="s">
        <v>38</v>
      </c>
      <c r="B12" s="24">
        <f>'APHIS 71'!L8</f>
        <v>101504</v>
      </c>
      <c r="C12" s="25"/>
      <c r="D12" s="71" t="s">
        <v>40</v>
      </c>
      <c r="E12" s="61">
        <f>SUMIFS('APHIS 71'!I13:I141,'APHIS 71'!F13:F141,"=P3",'APHIS 71'!G13:G141,"=?")</f>
        <v>15</v>
      </c>
      <c r="F12" s="75"/>
      <c r="G12" s="96" t="s">
        <v>51</v>
      </c>
      <c r="H12" s="68">
        <f>SUM(H9:H11)</f>
        <v>101504</v>
      </c>
      <c r="I12" s="115"/>
      <c r="J12" s="115"/>
      <c r="K12" s="115"/>
      <c r="L12" s="115"/>
      <c r="M12" s="115"/>
      <c r="N12" s="115"/>
      <c r="O12" s="94"/>
      <c r="P12" s="170"/>
    </row>
    <row r="13" spans="1:17" ht="15" customHeight="1" thickBot="1" x14ac:dyDescent="0.3">
      <c r="A13" s="26" t="s">
        <v>41</v>
      </c>
      <c r="B13" s="27">
        <f>B12/B11</f>
        <v>1.8667402298850575</v>
      </c>
      <c r="C13" s="25"/>
      <c r="D13" s="72" t="s">
        <v>56</v>
      </c>
      <c r="E13" s="62">
        <f>SUMIFS('APHIS 71'!I13:I18,'APHIS 71'!F13:F18,"=I",'APHIS 71'!G13:G18,"=?")</f>
        <v>0</v>
      </c>
      <c r="F13" s="75"/>
      <c r="G13" s="120"/>
      <c r="H13" s="121"/>
      <c r="I13" s="122"/>
      <c r="J13" s="122"/>
      <c r="K13" s="122"/>
      <c r="L13" s="122"/>
      <c r="M13" s="122"/>
      <c r="N13" s="122"/>
      <c r="O13" s="123"/>
      <c r="P13" s="170"/>
      <c r="Q13" s="168" t="s">
        <v>91</v>
      </c>
    </row>
    <row r="14" spans="1:17" ht="15" customHeight="1" thickBot="1" x14ac:dyDescent="0.3">
      <c r="A14" s="80"/>
      <c r="B14" s="80"/>
      <c r="C14" s="80"/>
      <c r="D14" s="81"/>
      <c r="E14" s="82">
        <f>SUM(E6:E13)</f>
        <v>25806</v>
      </c>
      <c r="F14" s="153"/>
      <c r="G14" s="154"/>
      <c r="H14" s="155" t="s">
        <v>80</v>
      </c>
      <c r="I14" s="154"/>
      <c r="J14" s="154"/>
      <c r="K14" s="155" t="s">
        <v>80</v>
      </c>
      <c r="L14" s="154"/>
      <c r="M14" s="154"/>
      <c r="N14" s="154"/>
      <c r="O14" s="156"/>
      <c r="P14" s="170"/>
      <c r="Q14" s="167" t="s">
        <v>94</v>
      </c>
    </row>
    <row r="15" spans="1:17" ht="21" customHeight="1" x14ac:dyDescent="0.25">
      <c r="A15" s="28" t="s">
        <v>29</v>
      </c>
      <c r="B15" s="29" t="s">
        <v>57</v>
      </c>
      <c r="C15" s="30" t="s">
        <v>42</v>
      </c>
      <c r="D15" s="31" t="s">
        <v>43</v>
      </c>
      <c r="E15" s="32" t="s">
        <v>58</v>
      </c>
      <c r="F15" s="75"/>
      <c r="G15" s="93" t="s">
        <v>73</v>
      </c>
      <c r="H15" s="114"/>
      <c r="I15" s="114"/>
      <c r="J15" s="116" t="s">
        <v>31</v>
      </c>
      <c r="K15" s="191">
        <f>B16</f>
        <v>25660</v>
      </c>
      <c r="L15" s="116"/>
      <c r="M15" s="116"/>
      <c r="N15" s="116"/>
      <c r="O15" s="99"/>
      <c r="P15" s="170"/>
      <c r="Q15" s="167" t="s">
        <v>93</v>
      </c>
    </row>
    <row r="16" spans="1:17" ht="15" customHeight="1" x14ac:dyDescent="0.25">
      <c r="A16" s="23" t="s">
        <v>32</v>
      </c>
      <c r="B16" s="33">
        <f>E6</f>
        <v>25660</v>
      </c>
      <c r="C16" s="34"/>
      <c r="D16" s="35"/>
      <c r="E16" s="36"/>
      <c r="F16" s="75"/>
      <c r="G16" s="93"/>
      <c r="H16" s="114"/>
      <c r="I16" s="114"/>
      <c r="J16" s="116"/>
      <c r="K16" s="116"/>
      <c r="L16" s="116"/>
      <c r="M16" s="116"/>
      <c r="N16" s="116"/>
      <c r="O16" s="99"/>
      <c r="P16" s="170"/>
      <c r="Q16" s="175" t="s">
        <v>110</v>
      </c>
    </row>
    <row r="17" spans="1:17" ht="15" customHeight="1" thickBot="1" x14ac:dyDescent="0.3">
      <c r="A17" s="23" t="s">
        <v>34</v>
      </c>
      <c r="B17" s="37">
        <f>B18/B16</f>
        <v>2.1085736554949337</v>
      </c>
      <c r="C17" s="34"/>
      <c r="D17" s="35"/>
      <c r="E17" s="36"/>
      <c r="F17" s="75"/>
      <c r="G17" s="95"/>
      <c r="H17" s="165" t="s">
        <v>63</v>
      </c>
      <c r="I17" s="114"/>
      <c r="J17" s="64"/>
      <c r="K17" s="163" t="s">
        <v>64</v>
      </c>
      <c r="L17" s="163" t="s">
        <v>65</v>
      </c>
      <c r="M17" s="163" t="s">
        <v>66</v>
      </c>
      <c r="N17" s="163" t="s">
        <v>67</v>
      </c>
      <c r="O17" s="164" t="s">
        <v>68</v>
      </c>
      <c r="P17" s="170"/>
    </row>
    <row r="18" spans="1:17" ht="15" customHeight="1" x14ac:dyDescent="0.25">
      <c r="A18" s="23" t="s">
        <v>36</v>
      </c>
      <c r="B18" s="38">
        <f>SUMIF('APHIS 71'!$F$13:$F$116,"=FG",'APHIS 71'!$J$13:$J$116)</f>
        <v>54106</v>
      </c>
      <c r="C18" s="34"/>
      <c r="D18" s="35"/>
      <c r="E18" s="36"/>
      <c r="F18" s="105"/>
      <c r="G18" s="96" t="s">
        <v>42</v>
      </c>
      <c r="H18" s="68">
        <f>C19</f>
        <v>100320</v>
      </c>
      <c r="I18" s="114"/>
      <c r="J18" s="64" t="s">
        <v>69</v>
      </c>
      <c r="K18" s="69">
        <f>B18</f>
        <v>54106</v>
      </c>
      <c r="L18" s="189">
        <v>0</v>
      </c>
      <c r="M18" s="69">
        <f>K18-L18-O18</f>
        <v>54106</v>
      </c>
      <c r="N18" s="189">
        <v>0</v>
      </c>
      <c r="O18" s="176">
        <v>0</v>
      </c>
      <c r="P18" s="170"/>
    </row>
    <row r="19" spans="1:17" ht="15" customHeight="1" thickBot="1" x14ac:dyDescent="0.3">
      <c r="A19" s="26" t="s">
        <v>38</v>
      </c>
      <c r="B19" s="39">
        <f>SUMIF('APHIS 71'!$F$13:$F$116,"=FG",'APHIS 71'!$L$13:$L$116)</f>
        <v>100322</v>
      </c>
      <c r="C19" s="40">
        <f>SUMIFS('APHIS 71'!$L$13:$L$116,'APHIS 71'!$F$13:$F$116,"=FG",'APHIS 71'!$H$13:$H$116,"=I")</f>
        <v>100320</v>
      </c>
      <c r="D19" s="41">
        <f>SUMIFS('APHIS 71'!$L$13:$L$116,'APHIS 71'!$F$13:$F$116,"=FG",'APHIS 71'!$H$13:$H$116,"=R")</f>
        <v>0</v>
      </c>
      <c r="E19" s="42">
        <f>SUMIFS('APHIS 71'!$L$13:$L$116,'APHIS 71'!$F$13:$F$116,"=FG",'APHIS 71'!$H$13:$H$116,"=TP")</f>
        <v>2</v>
      </c>
      <c r="F19" s="106" t="s">
        <v>81</v>
      </c>
      <c r="G19" s="98" t="s">
        <v>70</v>
      </c>
      <c r="H19" s="69">
        <f>D19</f>
        <v>0</v>
      </c>
      <c r="I19" s="114"/>
      <c r="J19" s="64" t="s">
        <v>63</v>
      </c>
      <c r="K19" s="69">
        <f>H21</f>
        <v>100322</v>
      </c>
      <c r="L19" s="189">
        <v>0</v>
      </c>
      <c r="M19" s="69">
        <f>K19-L19-O19</f>
        <v>100322</v>
      </c>
      <c r="N19" s="189">
        <v>0</v>
      </c>
      <c r="O19" s="176">
        <v>0</v>
      </c>
      <c r="P19" s="170"/>
    </row>
    <row r="20" spans="1:17" ht="15" customHeight="1" thickBot="1" x14ac:dyDescent="0.3">
      <c r="A20" s="169" t="s">
        <v>44</v>
      </c>
      <c r="B20" s="169">
        <f>SUMIFS('APHIS 71'!$J$13:$J$116,'APHIS 71'!$F$13:$F$116,"=FG",'APHIS 71'!$E$13:$E$116,"=E")</f>
        <v>0</v>
      </c>
      <c r="C20" s="131"/>
      <c r="D20" s="132"/>
      <c r="E20" s="133"/>
      <c r="F20" s="75"/>
      <c r="G20" s="95" t="s">
        <v>71</v>
      </c>
      <c r="H20" s="70">
        <f>E19</f>
        <v>2</v>
      </c>
      <c r="I20" s="114"/>
      <c r="J20" s="64" t="s">
        <v>72</v>
      </c>
      <c r="K20" s="66">
        <v>0</v>
      </c>
      <c r="L20" s="189">
        <v>0</v>
      </c>
      <c r="M20" s="66">
        <v>0</v>
      </c>
      <c r="N20" s="189">
        <v>0</v>
      </c>
      <c r="O20" s="176">
        <v>0</v>
      </c>
      <c r="P20" s="170"/>
      <c r="Q20" s="168" t="s">
        <v>95</v>
      </c>
    </row>
    <row r="21" spans="1:17" ht="15" customHeight="1" thickBot="1" x14ac:dyDescent="0.3">
      <c r="A21" s="169" t="s">
        <v>45</v>
      </c>
      <c r="B21" s="169">
        <f>SUMIFS('APHIS 71'!$L$13:$L$116,'APHIS 71'!$F$13:$F$116,"=FG",'APHIS 71'!$E$13:$E$116,"=E")</f>
        <v>0</v>
      </c>
      <c r="C21" s="134"/>
      <c r="D21" s="135"/>
      <c r="E21" s="136"/>
      <c r="F21" s="149"/>
      <c r="G21" s="101" t="s">
        <v>51</v>
      </c>
      <c r="H21" s="102">
        <f>SUM(H18:H20)</f>
        <v>100322</v>
      </c>
      <c r="I21" s="103"/>
      <c r="J21" s="103"/>
      <c r="K21" s="103"/>
      <c r="L21" s="103"/>
      <c r="M21" s="103"/>
      <c r="N21" s="103"/>
      <c r="O21" s="104"/>
      <c r="P21" s="170"/>
      <c r="Q21" s="167" t="s">
        <v>96</v>
      </c>
    </row>
    <row r="22" spans="1:17" ht="17.100000000000001" customHeight="1" thickBot="1" x14ac:dyDescent="0.3">
      <c r="A22" s="73"/>
      <c r="B22" s="73"/>
      <c r="C22" s="74"/>
      <c r="D22" s="74"/>
      <c r="E22" s="74"/>
      <c r="F22" s="151"/>
      <c r="G22" s="157"/>
      <c r="H22" s="158"/>
      <c r="I22" s="159"/>
      <c r="J22" s="159"/>
      <c r="K22" s="159"/>
      <c r="L22" s="159"/>
      <c r="M22" s="159"/>
      <c r="N22" s="159"/>
      <c r="O22" s="160"/>
      <c r="P22" s="170"/>
    </row>
    <row r="23" spans="1:17" ht="17.100000000000001" customHeight="1" x14ac:dyDescent="0.25">
      <c r="A23" s="28" t="s">
        <v>29</v>
      </c>
      <c r="B23" s="29" t="s">
        <v>46</v>
      </c>
      <c r="C23" s="30" t="s">
        <v>42</v>
      </c>
      <c r="D23" s="31" t="s">
        <v>43</v>
      </c>
      <c r="E23" s="32" t="s">
        <v>58</v>
      </c>
      <c r="F23" s="75"/>
      <c r="G23" s="93" t="s">
        <v>46</v>
      </c>
      <c r="H23" s="114"/>
      <c r="I23" s="114"/>
      <c r="J23" s="116" t="s">
        <v>31</v>
      </c>
      <c r="K23" s="192">
        <f>B24</f>
        <v>64</v>
      </c>
      <c r="L23" s="116"/>
      <c r="M23" s="116"/>
      <c r="N23" s="116"/>
      <c r="O23" s="99"/>
      <c r="P23" s="170"/>
    </row>
    <row r="24" spans="1:17" ht="15" customHeight="1" x14ac:dyDescent="0.25">
      <c r="A24" s="23" t="s">
        <v>32</v>
      </c>
      <c r="B24" s="33">
        <f>SUM(E7:E9)</f>
        <v>64</v>
      </c>
      <c r="C24" s="34"/>
      <c r="D24" s="35"/>
      <c r="E24" s="36"/>
      <c r="F24" s="75"/>
      <c r="G24" s="93"/>
      <c r="H24" s="114"/>
      <c r="I24" s="114"/>
      <c r="J24" s="116"/>
      <c r="K24" s="116"/>
      <c r="L24" s="116"/>
      <c r="M24" s="116"/>
      <c r="N24" s="116"/>
      <c r="O24" s="99"/>
      <c r="P24" s="170"/>
    </row>
    <row r="25" spans="1:17" ht="15" customHeight="1" x14ac:dyDescent="0.25">
      <c r="A25" s="23" t="s">
        <v>34</v>
      </c>
      <c r="B25" s="37">
        <f>B26/B24</f>
        <v>1</v>
      </c>
      <c r="C25" s="34"/>
      <c r="D25" s="35"/>
      <c r="E25" s="36"/>
      <c r="F25" s="75"/>
      <c r="G25" s="98"/>
      <c r="H25" s="163" t="s">
        <v>63</v>
      </c>
      <c r="I25" s="114"/>
      <c r="J25" s="64"/>
      <c r="K25" s="163" t="s">
        <v>64</v>
      </c>
      <c r="L25" s="163" t="s">
        <v>65</v>
      </c>
      <c r="M25" s="163" t="s">
        <v>66</v>
      </c>
      <c r="N25" s="163" t="s">
        <v>67</v>
      </c>
      <c r="O25" s="164" t="s">
        <v>68</v>
      </c>
      <c r="P25" s="170"/>
    </row>
    <row r="26" spans="1:17" ht="15" customHeight="1" x14ac:dyDescent="0.25">
      <c r="A26" s="23" t="s">
        <v>36</v>
      </c>
      <c r="B26" s="38">
        <f>SUMIF('APHIS 71'!$F$13:$F$116,"=S?",'APHIS 71'!$J$13:$J$116)</f>
        <v>64</v>
      </c>
      <c r="C26" s="34"/>
      <c r="D26" s="35"/>
      <c r="E26" s="36"/>
      <c r="F26" s="75"/>
      <c r="G26" s="98" t="s">
        <v>42</v>
      </c>
      <c r="H26" s="68">
        <f>C27</f>
        <v>512</v>
      </c>
      <c r="I26" s="114"/>
      <c r="J26" s="64" t="s">
        <v>69</v>
      </c>
      <c r="K26" s="69">
        <f>B26</f>
        <v>64</v>
      </c>
      <c r="L26" s="189">
        <v>0</v>
      </c>
      <c r="M26" s="69">
        <f>K26-L26-O26</f>
        <v>-10696</v>
      </c>
      <c r="N26" s="189">
        <v>0</v>
      </c>
      <c r="O26" s="177">
        <v>10760</v>
      </c>
      <c r="P26" s="170"/>
    </row>
    <row r="27" spans="1:17" ht="15" customHeight="1" thickBot="1" x14ac:dyDescent="0.3">
      <c r="A27" s="26" t="s">
        <v>38</v>
      </c>
      <c r="B27" s="39">
        <f>SUMIF('APHIS 71'!$F$13:$F$116,"=S?",'APHIS 71'!$L$13:$L$116)</f>
        <v>512</v>
      </c>
      <c r="C27" s="40">
        <f>SUMIFS('APHIS 71'!$L$13:$L$116,'APHIS 71'!$F$13:$F$116,"=S?",'APHIS 71'!$H$13:$H$116,"=I")</f>
        <v>512</v>
      </c>
      <c r="D27" s="41">
        <f>SUMIFS('APHIS 71'!$L$13:$L$116,'APHIS 71'!$F$13:$F$116,"=S?",'APHIS 71'!$H$13:$H$116,"=R")</f>
        <v>0</v>
      </c>
      <c r="E27" s="42">
        <f>SUMIFS('APHIS 71'!$L$13:$L$116,'APHIS 71'!$F$13:$F$116,"=S?",'APHIS 71'!$H$13:$H$116,"=TP")</f>
        <v>0</v>
      </c>
      <c r="F27" s="106" t="s">
        <v>81</v>
      </c>
      <c r="G27" s="98" t="s">
        <v>70</v>
      </c>
      <c r="H27" s="69">
        <f>D27</f>
        <v>0</v>
      </c>
      <c r="I27" s="114"/>
      <c r="J27" s="64" t="s">
        <v>63</v>
      </c>
      <c r="K27" s="69">
        <f>H29</f>
        <v>512</v>
      </c>
      <c r="L27" s="189">
        <v>0</v>
      </c>
      <c r="M27" s="69">
        <f>K27-L27-O27</f>
        <v>-5993</v>
      </c>
      <c r="N27" s="189">
        <v>0</v>
      </c>
      <c r="O27" s="177">
        <v>6505</v>
      </c>
      <c r="P27" s="170"/>
    </row>
    <row r="28" spans="1:17" ht="15" customHeight="1" thickBot="1" x14ac:dyDescent="0.3">
      <c r="A28" s="169" t="s">
        <v>44</v>
      </c>
      <c r="B28" s="169">
        <f>SUMIFS('APHIS 71'!$J$13:$J$116,'APHIS 71'!$F$13:$F$116,"=S?",'APHIS 71'!$E$13:$E$116,"=E")</f>
        <v>0</v>
      </c>
      <c r="C28" s="131"/>
      <c r="D28" s="132"/>
      <c r="E28" s="133"/>
      <c r="F28" s="75"/>
      <c r="G28" s="95" t="s">
        <v>71</v>
      </c>
      <c r="H28" s="70">
        <f>E27</f>
        <v>0</v>
      </c>
      <c r="I28" s="114"/>
      <c r="J28" s="64" t="s">
        <v>72</v>
      </c>
      <c r="K28" s="66">
        <v>0</v>
      </c>
      <c r="L28" s="189">
        <v>0</v>
      </c>
      <c r="M28" s="66">
        <v>0</v>
      </c>
      <c r="N28" s="189">
        <v>0</v>
      </c>
      <c r="O28" s="177"/>
      <c r="P28" s="170"/>
    </row>
    <row r="29" spans="1:17" ht="15" customHeight="1" thickBot="1" x14ac:dyDescent="0.3">
      <c r="A29" s="169" t="s">
        <v>45</v>
      </c>
      <c r="B29" s="169">
        <f>SUMIFS('APHIS 71'!$L$13:$L$116,'APHIS 71'!$F$13:$F$116,"=S?",'APHIS 71'!$E$13:$E$116,"=E")</f>
        <v>0</v>
      </c>
      <c r="C29" s="134"/>
      <c r="D29" s="135"/>
      <c r="E29" s="136"/>
      <c r="F29" s="149"/>
      <c r="G29" s="96" t="s">
        <v>51</v>
      </c>
      <c r="H29" s="65">
        <f>SUM(H26:H28)</f>
        <v>512</v>
      </c>
      <c r="I29" s="114"/>
      <c r="J29" s="114"/>
      <c r="K29" s="114"/>
      <c r="L29" s="114"/>
      <c r="M29" s="114"/>
      <c r="N29" s="114"/>
      <c r="O29" s="100"/>
      <c r="P29" s="170"/>
    </row>
    <row r="30" spans="1:17" ht="17.100000000000001" customHeight="1" thickBot="1" x14ac:dyDescent="0.3">
      <c r="A30" s="76"/>
      <c r="B30" s="76"/>
      <c r="C30" s="77"/>
      <c r="D30" s="77"/>
      <c r="E30" s="77"/>
      <c r="F30" s="152"/>
      <c r="G30" s="161"/>
      <c r="H30" s="161"/>
      <c r="I30" s="161"/>
      <c r="J30" s="161"/>
      <c r="K30" s="161"/>
      <c r="L30" s="161"/>
      <c r="M30" s="161"/>
      <c r="N30" s="161"/>
      <c r="O30" s="162"/>
      <c r="P30" s="170"/>
    </row>
    <row r="31" spans="1:17" ht="17.100000000000001" customHeight="1" x14ac:dyDescent="0.25">
      <c r="A31" s="28" t="s">
        <v>29</v>
      </c>
      <c r="B31" s="29" t="s">
        <v>47</v>
      </c>
      <c r="C31" s="30" t="s">
        <v>42</v>
      </c>
      <c r="D31" s="31" t="s">
        <v>43</v>
      </c>
      <c r="E31" s="32" t="s">
        <v>58</v>
      </c>
      <c r="F31" s="75"/>
      <c r="G31" s="93" t="s">
        <v>47</v>
      </c>
      <c r="H31" s="114"/>
      <c r="I31" s="114"/>
      <c r="J31" s="116" t="s">
        <v>31</v>
      </c>
      <c r="K31" s="191">
        <f>B32</f>
        <v>82</v>
      </c>
      <c r="L31" s="116"/>
      <c r="M31" s="116"/>
      <c r="N31" s="116"/>
      <c r="O31" s="99"/>
      <c r="P31" s="170"/>
    </row>
    <row r="32" spans="1:17" ht="15" customHeight="1" x14ac:dyDescent="0.25">
      <c r="A32" s="23" t="s">
        <v>32</v>
      </c>
      <c r="B32" s="33">
        <f>SUM(E10:E12)</f>
        <v>82</v>
      </c>
      <c r="C32" s="34"/>
      <c r="D32" s="35"/>
      <c r="E32" s="36"/>
      <c r="F32" s="75"/>
      <c r="G32" s="93"/>
      <c r="H32" s="114"/>
      <c r="I32" s="114"/>
      <c r="J32" s="116"/>
      <c r="K32" s="116"/>
      <c r="L32" s="116"/>
      <c r="M32" s="116"/>
      <c r="N32" s="116"/>
      <c r="O32" s="99"/>
      <c r="P32" s="170"/>
    </row>
    <row r="33" spans="1:16" ht="15" customHeight="1" x14ac:dyDescent="0.25">
      <c r="A33" s="23" t="s">
        <v>34</v>
      </c>
      <c r="B33" s="37">
        <f>B34/B32</f>
        <v>2.5</v>
      </c>
      <c r="C33" s="34"/>
      <c r="D33" s="35"/>
      <c r="E33" s="36"/>
      <c r="F33" s="75"/>
      <c r="G33" s="98"/>
      <c r="H33" s="163" t="s">
        <v>63</v>
      </c>
      <c r="I33" s="114"/>
      <c r="J33" s="64"/>
      <c r="K33" s="163" t="s">
        <v>64</v>
      </c>
      <c r="L33" s="163" t="s">
        <v>65</v>
      </c>
      <c r="M33" s="163" t="s">
        <v>66</v>
      </c>
      <c r="N33" s="163" t="s">
        <v>67</v>
      </c>
      <c r="O33" s="164" t="s">
        <v>68</v>
      </c>
      <c r="P33" s="170"/>
    </row>
    <row r="34" spans="1:16" ht="15" customHeight="1" x14ac:dyDescent="0.25">
      <c r="A34" s="23" t="s">
        <v>36</v>
      </c>
      <c r="B34" s="38">
        <f>SUMIF('APHIS 71'!$F$13:$F$116,"=P?",'APHIS 71'!$J$13:$J$116)</f>
        <v>205</v>
      </c>
      <c r="C34" s="34"/>
      <c r="D34" s="35"/>
      <c r="E34" s="36"/>
      <c r="F34" s="75"/>
      <c r="G34" s="98" t="s">
        <v>42</v>
      </c>
      <c r="H34" s="68">
        <f>C35</f>
        <v>660</v>
      </c>
      <c r="I34" s="114"/>
      <c r="J34" s="64" t="s">
        <v>69</v>
      </c>
      <c r="K34" s="69">
        <f>B34</f>
        <v>205</v>
      </c>
      <c r="L34" s="189">
        <v>0</v>
      </c>
      <c r="M34" s="69">
        <f>K34-L34-O34</f>
        <v>-47895</v>
      </c>
      <c r="N34" s="189">
        <v>0</v>
      </c>
      <c r="O34" s="177">
        <v>48100</v>
      </c>
      <c r="P34" s="170"/>
    </row>
    <row r="35" spans="1:16" ht="15" customHeight="1" thickBot="1" x14ac:dyDescent="0.3">
      <c r="A35" s="26" t="s">
        <v>38</v>
      </c>
      <c r="B35" s="39">
        <f>SUMIF('APHIS 71'!$F$13:$F$116,"=P?",'APHIS 71'!$L$13:$L$116)</f>
        <v>670</v>
      </c>
      <c r="C35" s="40">
        <f>SUMIFS('APHIS 71'!$L$13:$L$116,'APHIS 71'!$F$13:$F$116,"=P?",'APHIS 71'!$H$13:$H$116,"=I")</f>
        <v>660</v>
      </c>
      <c r="D35" s="41">
        <f>SUMIFS('APHIS 71'!$L$13:$L$116,'APHIS 71'!$F$13:$F$116,"=P?",'APHIS 71'!$H$13:$H$116,"=R")</f>
        <v>10</v>
      </c>
      <c r="E35" s="42">
        <f>SUMIFS('APHIS 71'!$L$13:$L$116,'APHIS 71'!$F$13:$F$116,"=P?",'APHIS 71'!$H$13:$H$116,"=TP")</f>
        <v>0</v>
      </c>
      <c r="F35" s="106" t="s">
        <v>81</v>
      </c>
      <c r="G35" s="98" t="s">
        <v>70</v>
      </c>
      <c r="H35" s="69">
        <f>D35</f>
        <v>10</v>
      </c>
      <c r="I35" s="114"/>
      <c r="J35" s="64" t="s">
        <v>63</v>
      </c>
      <c r="K35" s="69">
        <f>H37</f>
        <v>670</v>
      </c>
      <c r="L35" s="189">
        <v>0</v>
      </c>
      <c r="M35" s="69">
        <f>K35-L35-O35</f>
        <v>-55530</v>
      </c>
      <c r="N35" s="189">
        <v>0</v>
      </c>
      <c r="O35" s="177">
        <v>56200</v>
      </c>
      <c r="P35" s="170"/>
    </row>
    <row r="36" spans="1:16" ht="15" customHeight="1" thickBot="1" x14ac:dyDescent="0.3">
      <c r="A36" s="169" t="s">
        <v>44</v>
      </c>
      <c r="B36" s="169">
        <f>SUMIFS('APHIS 71'!$J$13:$J$116,'APHIS 71'!$F$13:$F$116,"=P?",'APHIS 71'!$E$13:$E$116,"=E")</f>
        <v>0</v>
      </c>
      <c r="C36" s="131"/>
      <c r="D36" s="132"/>
      <c r="E36" s="133"/>
      <c r="F36" s="75"/>
      <c r="G36" s="95" t="s">
        <v>71</v>
      </c>
      <c r="H36" s="70">
        <f>E35</f>
        <v>0</v>
      </c>
      <c r="I36" s="114"/>
      <c r="J36" s="64" t="s">
        <v>72</v>
      </c>
      <c r="K36" s="66">
        <v>0</v>
      </c>
      <c r="L36" s="189">
        <v>0</v>
      </c>
      <c r="M36" s="67">
        <v>0</v>
      </c>
      <c r="N36" s="189">
        <v>0</v>
      </c>
      <c r="O36" s="177"/>
      <c r="P36" s="170"/>
    </row>
    <row r="37" spans="1:16" ht="15" customHeight="1" thickBot="1" x14ac:dyDescent="0.3">
      <c r="A37" s="169" t="s">
        <v>45</v>
      </c>
      <c r="B37" s="169">
        <f>SUMIFS('APHIS 71'!$L$13:$L$116,'APHIS 71'!$F$13:$F$116,"=P?",'APHIS 71'!$E$13:$E$116,"=E")</f>
        <v>0</v>
      </c>
      <c r="C37" s="134"/>
      <c r="D37" s="135"/>
      <c r="E37" s="136"/>
      <c r="F37" s="150"/>
      <c r="G37" s="96" t="s">
        <v>51</v>
      </c>
      <c r="H37" s="65">
        <f>SUM(H34:H36)</f>
        <v>670</v>
      </c>
      <c r="I37" s="114"/>
      <c r="J37" s="114" t="s">
        <v>74</v>
      </c>
      <c r="K37" s="114"/>
      <c r="L37" s="114"/>
      <c r="M37" s="117">
        <v>0</v>
      </c>
      <c r="N37" s="114"/>
      <c r="O37" s="100"/>
      <c r="P37" s="170"/>
    </row>
    <row r="38" spans="1:16" ht="17.100000000000001" customHeight="1" thickBot="1" x14ac:dyDescent="0.3">
      <c r="A38" s="78"/>
      <c r="B38" s="78"/>
      <c r="C38" s="79"/>
      <c r="D38" s="79"/>
      <c r="E38" s="79"/>
      <c r="F38" s="151"/>
      <c r="G38" s="154"/>
      <c r="H38" s="154"/>
      <c r="I38" s="154"/>
      <c r="J38" s="154"/>
      <c r="K38" s="154"/>
      <c r="L38" s="154"/>
      <c r="M38" s="154"/>
      <c r="N38" s="154"/>
      <c r="O38" s="156"/>
      <c r="P38" s="170"/>
    </row>
    <row r="39" spans="1:16" ht="17.100000000000001" customHeight="1" x14ac:dyDescent="0.25">
      <c r="A39" s="28" t="s">
        <v>29</v>
      </c>
      <c r="B39" s="29" t="s">
        <v>48</v>
      </c>
      <c r="C39" s="30" t="s">
        <v>42</v>
      </c>
      <c r="D39" s="31" t="s">
        <v>43</v>
      </c>
      <c r="E39" s="32" t="s">
        <v>58</v>
      </c>
      <c r="F39" s="75"/>
      <c r="G39" s="93" t="s">
        <v>75</v>
      </c>
      <c r="H39" s="114"/>
      <c r="I39" s="114"/>
      <c r="J39" s="116" t="s">
        <v>31</v>
      </c>
      <c r="K39" s="192">
        <f>B40</f>
        <v>0</v>
      </c>
      <c r="L39" s="116"/>
      <c r="M39" s="116"/>
      <c r="N39" s="116"/>
      <c r="O39" s="99"/>
      <c r="P39" s="170"/>
    </row>
    <row r="40" spans="1:16" ht="15" customHeight="1" x14ac:dyDescent="0.25">
      <c r="A40" s="23" t="s">
        <v>32</v>
      </c>
      <c r="B40" s="33">
        <f>E13</f>
        <v>0</v>
      </c>
      <c r="C40" s="34"/>
      <c r="D40" s="35"/>
      <c r="E40" s="36"/>
      <c r="F40" s="75"/>
      <c r="G40" s="93"/>
      <c r="H40" s="114"/>
      <c r="I40" s="114"/>
      <c r="J40" s="116"/>
      <c r="K40" s="116"/>
      <c r="L40" s="116"/>
      <c r="M40" s="116"/>
      <c r="N40" s="116"/>
      <c r="O40" s="99"/>
      <c r="P40" s="170"/>
    </row>
    <row r="41" spans="1:16" ht="15" customHeight="1" thickBot="1" x14ac:dyDescent="0.3">
      <c r="A41" s="23" t="s">
        <v>34</v>
      </c>
      <c r="B41" s="37" t="e">
        <f>B42/B40</f>
        <v>#DIV/0!</v>
      </c>
      <c r="C41" s="34"/>
      <c r="D41" s="35"/>
      <c r="E41" s="36"/>
      <c r="F41" s="75"/>
      <c r="G41" s="95"/>
      <c r="H41" s="165" t="s">
        <v>63</v>
      </c>
      <c r="I41" s="114"/>
      <c r="J41" s="64"/>
      <c r="K41" s="163" t="s">
        <v>64</v>
      </c>
      <c r="L41" s="163" t="s">
        <v>65</v>
      </c>
      <c r="M41" s="163" t="s">
        <v>66</v>
      </c>
      <c r="N41" s="163" t="s">
        <v>67</v>
      </c>
      <c r="O41" s="164" t="s">
        <v>68</v>
      </c>
      <c r="P41" s="170"/>
    </row>
    <row r="42" spans="1:16" ht="15" customHeight="1" x14ac:dyDescent="0.25">
      <c r="A42" s="23" t="s">
        <v>36</v>
      </c>
      <c r="B42" s="38">
        <f>SUMIF('APHIS 71'!$F$13:$F$116,"=I",'APHIS 71'!$J$13:$J$116)</f>
        <v>0</v>
      </c>
      <c r="C42" s="34"/>
      <c r="D42" s="35"/>
      <c r="E42" s="36"/>
      <c r="F42" s="75"/>
      <c r="G42" s="96" t="s">
        <v>42</v>
      </c>
      <c r="H42" s="68">
        <f>C43</f>
        <v>0</v>
      </c>
      <c r="I42" s="114"/>
      <c r="J42" s="64" t="s">
        <v>69</v>
      </c>
      <c r="K42" s="69">
        <f>B42</f>
        <v>0</v>
      </c>
      <c r="L42" s="189">
        <v>0</v>
      </c>
      <c r="M42" s="69">
        <f>K42-L42-O42</f>
        <v>0</v>
      </c>
      <c r="N42" s="189">
        <v>0</v>
      </c>
      <c r="O42" s="177">
        <v>0</v>
      </c>
      <c r="P42" s="170"/>
    </row>
    <row r="43" spans="1:16" ht="15" customHeight="1" thickBot="1" x14ac:dyDescent="0.3">
      <c r="A43" s="26" t="s">
        <v>38</v>
      </c>
      <c r="B43" s="39">
        <f>SUMIF('APHIS 71'!$F$13:$F$116,"=I",'APHIS 71'!$L$13:$L$116)</f>
        <v>0</v>
      </c>
      <c r="C43" s="40">
        <f>SUMIFS('APHIS 71'!$L$13:$L$116,'APHIS 71'!$F$13:$F$116,"=I",'APHIS 71'!$H$13:$H$116,"=I")</f>
        <v>0</v>
      </c>
      <c r="D43" s="41">
        <f>SUMIFS('APHIS 71'!$L$13:$L$116,'APHIS 71'!$F$13:$F$116,"=I",'APHIS 71'!$H$13:$H$116,"=R")</f>
        <v>0</v>
      </c>
      <c r="E43" s="42">
        <f>SUMIFS('APHIS 71'!$L$13:$L$116,'APHIS 71'!$F$13:$F$116,"=I",'APHIS 71'!$H$13:$H$116,"=TP")</f>
        <v>0</v>
      </c>
      <c r="F43" s="106" t="s">
        <v>81</v>
      </c>
      <c r="G43" s="98" t="s">
        <v>70</v>
      </c>
      <c r="H43" s="69">
        <f>D43</f>
        <v>0</v>
      </c>
      <c r="I43" s="114"/>
      <c r="J43" s="64" t="s">
        <v>63</v>
      </c>
      <c r="K43" s="69">
        <f>H45</f>
        <v>0</v>
      </c>
      <c r="L43" s="189">
        <v>0</v>
      </c>
      <c r="M43" s="69">
        <f>K43-L43-O43</f>
        <v>0</v>
      </c>
      <c r="N43" s="189">
        <v>0</v>
      </c>
      <c r="O43" s="177">
        <v>0</v>
      </c>
      <c r="P43" s="170"/>
    </row>
    <row r="44" spans="1:16" ht="15" customHeight="1" thickBot="1" x14ac:dyDescent="0.3">
      <c r="A44" s="169" t="s">
        <v>44</v>
      </c>
      <c r="B44" s="169">
        <f>SUMIFS('APHIS 71'!$J$13:$J$116,'APHIS 71'!$F$13:$F$116,"=I",'APHIS 71'!$E$13:$E$116,"=E")</f>
        <v>0</v>
      </c>
      <c r="C44" s="131"/>
      <c r="D44" s="132"/>
      <c r="E44" s="133"/>
      <c r="F44" s="75"/>
      <c r="G44" s="95" t="s">
        <v>71</v>
      </c>
      <c r="H44" s="70">
        <f>E43</f>
        <v>0</v>
      </c>
      <c r="I44" s="114"/>
      <c r="J44" s="64" t="s">
        <v>72</v>
      </c>
      <c r="K44" s="66">
        <v>0</v>
      </c>
      <c r="L44" s="189">
        <v>0</v>
      </c>
      <c r="M44" s="66">
        <v>0</v>
      </c>
      <c r="N44" s="189">
        <v>0</v>
      </c>
      <c r="O44" s="177"/>
      <c r="P44" s="170"/>
    </row>
    <row r="45" spans="1:16" ht="15" customHeight="1" thickBot="1" x14ac:dyDescent="0.3">
      <c r="A45" s="169" t="s">
        <v>45</v>
      </c>
      <c r="B45" s="169">
        <f>SUMIFS('APHIS 71'!$L$13:$L$116,'APHIS 71'!$F$13:$F$116,"=I",'APHIS 71'!$E$13:$E$116,"=E")</f>
        <v>0</v>
      </c>
      <c r="C45" s="134"/>
      <c r="D45" s="135"/>
      <c r="E45" s="136"/>
      <c r="F45" s="149"/>
      <c r="G45" s="101" t="s">
        <v>51</v>
      </c>
      <c r="H45" s="102">
        <f>SUM(H42:H44)</f>
        <v>0</v>
      </c>
      <c r="I45" s="103"/>
      <c r="J45" s="103"/>
      <c r="K45" s="103"/>
      <c r="L45" s="103"/>
      <c r="M45" s="103"/>
      <c r="N45" s="103"/>
      <c r="O45" s="104"/>
      <c r="P45" s="170"/>
    </row>
    <row r="46" spans="1:16" ht="17.100000000000001" customHeight="1" x14ac:dyDescent="0.25">
      <c r="A46" s="75"/>
      <c r="B46" s="75"/>
      <c r="C46" s="75"/>
      <c r="D46" s="75"/>
      <c r="E46" s="75"/>
      <c r="F46" s="75"/>
      <c r="G46" s="75"/>
      <c r="H46" s="75"/>
      <c r="I46" s="75"/>
      <c r="J46" s="75"/>
      <c r="K46" s="75"/>
      <c r="L46" s="75"/>
      <c r="M46" s="75"/>
      <c r="N46" s="75"/>
      <c r="O46" s="75"/>
      <c r="P46" s="170"/>
    </row>
    <row r="54" spans="1:1" ht="9" customHeight="1" x14ac:dyDescent="0.25">
      <c r="A54" s="2" t="s">
        <v>89</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1D37-D903-4913-BF67-88CE583C2286}">
  <dimension ref="A1:H37"/>
  <sheetViews>
    <sheetView zoomScale="85" zoomScaleNormal="85" zoomScaleSheetLayoutView="115" workbookViewId="0">
      <selection activeCell="H15" sqref="H15"/>
    </sheetView>
  </sheetViews>
  <sheetFormatPr defaultColWidth="9.140625" defaultRowHeight="9" customHeight="1" x14ac:dyDescent="0.25"/>
  <cols>
    <col min="1" max="1" width="3.85546875" style="2" customWidth="1"/>
    <col min="2" max="2" width="35.140625" style="2" customWidth="1"/>
    <col min="3" max="3" width="13.85546875" style="2" customWidth="1"/>
    <col min="4" max="4" width="90.7109375" style="2" customWidth="1"/>
    <col min="5" max="5" width="2.85546875" style="2" customWidth="1"/>
    <col min="6" max="16384" width="9.140625" style="2"/>
  </cols>
  <sheetData>
    <row r="1" spans="1:8" ht="31.5" customHeight="1" thickBot="1" x14ac:dyDescent="0.3">
      <c r="B1" s="89" t="s">
        <v>79</v>
      </c>
      <c r="C1" s="90"/>
      <c r="D1" s="91"/>
    </row>
    <row r="2" spans="1:8" ht="31.5" customHeight="1" x14ac:dyDescent="0.25">
      <c r="B2" s="128" t="s">
        <v>88</v>
      </c>
      <c r="C2" s="129"/>
      <c r="D2" s="130" t="s">
        <v>35</v>
      </c>
    </row>
    <row r="3" spans="1:8" ht="15" customHeight="1" thickBot="1" x14ac:dyDescent="0.3">
      <c r="B3" s="55"/>
    </row>
    <row r="4" spans="1:8" ht="15" customHeight="1" x14ac:dyDescent="0.25">
      <c r="B4" s="190" t="s">
        <v>109</v>
      </c>
      <c r="C4" s="46" t="s">
        <v>108</v>
      </c>
      <c r="D4" s="47" t="s">
        <v>33</v>
      </c>
      <c r="E4" s="43"/>
    </row>
    <row r="5" spans="1:8" ht="15" customHeight="1" x14ac:dyDescent="0.25">
      <c r="B5" s="244" t="s">
        <v>60</v>
      </c>
      <c r="C5" s="245">
        <v>0</v>
      </c>
      <c r="D5" s="246" t="s">
        <v>35</v>
      </c>
    </row>
    <row r="6" spans="1:8" ht="23.25" customHeight="1" x14ac:dyDescent="0.25">
      <c r="A6" s="44"/>
      <c r="B6" s="248" t="s">
        <v>173</v>
      </c>
      <c r="C6" s="249">
        <v>14.82</v>
      </c>
      <c r="D6" s="250" t="s">
        <v>174</v>
      </c>
      <c r="F6" s="55"/>
    </row>
    <row r="7" spans="1:8" ht="23.25" customHeight="1" x14ac:dyDescent="0.25">
      <c r="B7" s="248" t="s">
        <v>173</v>
      </c>
      <c r="C7" s="249">
        <v>25.86</v>
      </c>
      <c r="D7" s="250" t="s">
        <v>175</v>
      </c>
    </row>
    <row r="8" spans="1:8" ht="23.25" customHeight="1" x14ac:dyDescent="0.25">
      <c r="B8" s="248" t="s">
        <v>173</v>
      </c>
      <c r="C8" s="249">
        <v>64.45</v>
      </c>
      <c r="D8" s="250" t="s">
        <v>176</v>
      </c>
    </row>
    <row r="9" spans="1:8" ht="23.25" customHeight="1" x14ac:dyDescent="0.25">
      <c r="B9" s="248" t="s">
        <v>177</v>
      </c>
      <c r="C9" s="249">
        <v>30.46</v>
      </c>
      <c r="D9" s="250" t="s">
        <v>178</v>
      </c>
    </row>
    <row r="10" spans="1:8" ht="23.25" customHeight="1" x14ac:dyDescent="0.25">
      <c r="B10" s="248" t="s">
        <v>173</v>
      </c>
      <c r="C10" s="249">
        <v>12.3</v>
      </c>
      <c r="D10" s="250" t="s">
        <v>179</v>
      </c>
    </row>
    <row r="11" spans="1:8" ht="23.25" customHeight="1" x14ac:dyDescent="0.25">
      <c r="B11" s="248" t="s">
        <v>180</v>
      </c>
      <c r="C11" s="249">
        <v>23.44</v>
      </c>
      <c r="D11" s="250" t="s">
        <v>181</v>
      </c>
    </row>
    <row r="12" spans="1:8" ht="23.25" customHeight="1" x14ac:dyDescent="0.25">
      <c r="B12" s="247"/>
      <c r="C12" s="92"/>
      <c r="D12" s="247"/>
    </row>
    <row r="13" spans="1:8" ht="23.25" customHeight="1" x14ac:dyDescent="0.25">
      <c r="B13" s="247"/>
      <c r="C13" s="92"/>
      <c r="D13" s="247"/>
    </row>
    <row r="14" spans="1:8" ht="23.25" customHeight="1" x14ac:dyDescent="0.25">
      <c r="B14" s="247"/>
      <c r="C14" s="92"/>
      <c r="D14" s="247"/>
    </row>
    <row r="15" spans="1:8" ht="23.25" customHeight="1" x14ac:dyDescent="0.25">
      <c r="B15" s="247"/>
      <c r="C15" s="92"/>
      <c r="D15" s="247"/>
    </row>
    <row r="16" spans="1:8" ht="23.25" customHeight="1" x14ac:dyDescent="0.25">
      <c r="A16" s="45"/>
      <c r="B16" s="247"/>
      <c r="C16" s="92"/>
      <c r="D16" s="247"/>
      <c r="H16" s="60"/>
    </row>
    <row r="17" spans="1:8" ht="23.25" customHeight="1" x14ac:dyDescent="0.25">
      <c r="A17" s="45"/>
      <c r="B17" s="247"/>
      <c r="C17" s="92"/>
      <c r="D17" s="247"/>
    </row>
    <row r="18" spans="1:8" ht="23.25" customHeight="1" x14ac:dyDescent="0.25">
      <c r="A18" s="45"/>
      <c r="B18" s="247"/>
      <c r="C18" s="92"/>
      <c r="D18" s="247"/>
      <c r="H18" s="60"/>
    </row>
    <row r="19" spans="1:8" ht="23.25" customHeight="1" x14ac:dyDescent="0.25">
      <c r="B19" s="247"/>
      <c r="C19" s="92"/>
      <c r="D19" s="247"/>
    </row>
    <row r="20" spans="1:8" ht="15" customHeight="1" thickBot="1" x14ac:dyDescent="0.3">
      <c r="B20" s="86"/>
      <c r="C20" s="127">
        <f>AVERAGE(C6:C19)</f>
        <v>28.555000000000003</v>
      </c>
      <c r="D20" s="87" t="s">
        <v>107</v>
      </c>
    </row>
    <row r="21" spans="1:8" ht="15" customHeight="1" x14ac:dyDescent="0.25"/>
    <row r="22" spans="1:8" ht="15" customHeight="1" x14ac:dyDescent="0.25"/>
    <row r="23" spans="1:8" ht="17.100000000000001" customHeight="1" x14ac:dyDescent="0.25">
      <c r="B23" s="88" t="s">
        <v>76</v>
      </c>
      <c r="C23" s="110">
        <f>'APHIS 71'!L8</f>
        <v>101504</v>
      </c>
    </row>
    <row r="24" spans="1:8" ht="15" customHeight="1" x14ac:dyDescent="0.25">
      <c r="B24" s="88" t="s">
        <v>77</v>
      </c>
      <c r="C24" s="193">
        <f>C20</f>
        <v>28.555000000000003</v>
      </c>
      <c r="D24" s="124" t="s">
        <v>85</v>
      </c>
    </row>
    <row r="25" spans="1:8" ht="15" customHeight="1" x14ac:dyDescent="0.25">
      <c r="B25" s="88"/>
      <c r="C25" s="196">
        <f>62705*42.43</f>
        <v>2660573.15</v>
      </c>
      <c r="D25" s="124" t="s">
        <v>86</v>
      </c>
    </row>
    <row r="26" spans="1:8" ht="15" customHeight="1" x14ac:dyDescent="0.25">
      <c r="B26" s="88" t="s">
        <v>78</v>
      </c>
      <c r="C26" s="108"/>
      <c r="D26" s="125"/>
    </row>
    <row r="27" spans="1:8" ht="15" customHeight="1" x14ac:dyDescent="0.25">
      <c r="A27" s="174" t="s">
        <v>105</v>
      </c>
      <c r="B27" s="197">
        <v>1.429</v>
      </c>
      <c r="C27" s="109">
        <f>C25*B27</f>
        <v>3801959.0313499998</v>
      </c>
      <c r="D27" s="124" t="s">
        <v>111</v>
      </c>
    </row>
    <row r="28" spans="1:8" ht="15" customHeight="1" x14ac:dyDescent="0.25"/>
    <row r="29" spans="1:8" ht="15" customHeight="1" x14ac:dyDescent="0.25">
      <c r="B29" s="52"/>
      <c r="C29" s="53"/>
      <c r="D29" s="53"/>
    </row>
    <row r="30" spans="1:8" ht="17.100000000000001" customHeight="1" x14ac:dyDescent="0.25"/>
    <row r="31" spans="1:8" ht="17.100000000000001" customHeight="1" x14ac:dyDescent="0.25"/>
    <row r="32" spans="1:8" ht="15" customHeight="1" x14ac:dyDescent="0.25"/>
    <row r="33" ht="15" customHeight="1" x14ac:dyDescent="0.25"/>
    <row r="34" ht="15" customHeight="1" x14ac:dyDescent="0.25"/>
    <row r="35" ht="15" customHeight="1" x14ac:dyDescent="0.25"/>
    <row r="36" ht="15" customHeight="1" x14ac:dyDescent="0.25"/>
    <row r="37" ht="15" customHeight="1" x14ac:dyDescent="0.25"/>
  </sheetData>
  <hyperlinks>
    <hyperlink ref="D5" r:id="rId1" location="00-0000" xr:uid="{AD4835AC-703B-4E70-AB88-AC6EF1732A35}"/>
    <hyperlink ref="D2" r:id="rId2" location="00-0000" xr:uid="{1300C7B6-5054-4770-8B87-A7470033C053}"/>
  </hyperlinks>
  <pageMargins left="0.7" right="0.7" top="0.75" bottom="0.75" header="0.3" footer="0.3"/>
  <pageSetup scale="95" orientation="landscape" r:id="rId3"/>
  <colBreaks count="1" manualBreakCount="1">
    <brk id="1" min="3" max="44"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APHIS 71</vt:lpstr>
      <vt:lpstr>IMB ROCIS Calcs</vt:lpstr>
      <vt:lpstr>IMB SS Q12-SOCC</vt:lpstr>
      <vt:lpstr>'IMB ROCIS Calcs'!Print_Area</vt:lpstr>
      <vt:lpstr>'IMB SS Q12-SOCC'!Print_Area</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 MRP-APHIS</cp:lastModifiedBy>
  <cp:lastPrinted>2022-04-25T18:52:28Z</cp:lastPrinted>
  <dcterms:created xsi:type="dcterms:W3CDTF">2021-07-01T18:06:57Z</dcterms:created>
  <dcterms:modified xsi:type="dcterms:W3CDTF">2026-04-15T17:12:04Z</dcterms:modified>
</cp:coreProperties>
</file>