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vyas_peggy_epa_gov/Documents/Desktop/"/>
    </mc:Choice>
  </mc:AlternateContent>
  <xr:revisionPtr revIDLastSave="79" documentId="8_{ABFFF75A-90C2-4F88-AB94-5512B0C117C8}" xr6:coauthVersionLast="47" xr6:coauthVersionMax="47" xr10:uidLastSave="{3171B18E-01B2-4AF8-A691-B8ADF05E8D8F}"/>
  <bookViews>
    <workbookView minimized="1" xWindow="2715" yWindow="0" windowWidth="14400" windowHeight="10170" tabRatio="877" firstSheet="1" activeTab="1" xr2:uid="{00000000-000D-0000-FFFF-FFFF00000000}"/>
  </bookViews>
  <sheets>
    <sheet name="Respondents Univ_Assumptions" sheetId="10" r:id="rId1"/>
    <sheet name="Labor Rates and O&amp;M Costs" sheetId="15" r:id="rId2"/>
    <sheet name="Exhibit 1" sheetId="16" r:id="rId3"/>
    <sheet name="Exhibit 2" sheetId="2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5" l="1"/>
  <c r="B31" i="15"/>
  <c r="B30" i="15"/>
  <c r="B29" i="15"/>
  <c r="B28" i="15"/>
  <c r="B27" i="15"/>
  <c r="B26" i="15"/>
  <c r="B25" i="15" l="1"/>
  <c r="B24" i="15"/>
  <c r="H46" i="22"/>
  <c r="I46" i="22"/>
  <c r="H188" i="16"/>
  <c r="J145" i="16"/>
  <c r="J160" i="16" s="1"/>
  <c r="J161" i="16" s="1"/>
  <c r="J162" i="16" s="1"/>
  <c r="J163" i="16" s="1"/>
  <c r="J155" i="16"/>
  <c r="J157" i="16" s="1"/>
  <c r="J167" i="16"/>
  <c r="J153" i="16"/>
  <c r="J150" i="16"/>
  <c r="J165" i="16" s="1"/>
  <c r="J140" i="16"/>
  <c r="J42" i="22" s="1"/>
  <c r="J128" i="16"/>
  <c r="J34" i="22" s="1"/>
  <c r="J124" i="16"/>
  <c r="J126" i="16" s="1"/>
  <c r="J119" i="16"/>
  <c r="J113" i="16"/>
  <c r="J26" i="22" s="1"/>
  <c r="J67" i="16"/>
  <c r="J65" i="16"/>
  <c r="J64" i="16"/>
  <c r="J63" i="16"/>
  <c r="J33" i="16"/>
  <c r="J29" i="22"/>
  <c r="F45" i="22"/>
  <c r="F44" i="22"/>
  <c r="F42" i="22"/>
  <c r="F41" i="22"/>
  <c r="F40" i="22"/>
  <c r="F39" i="22"/>
  <c r="F38" i="22"/>
  <c r="F37" i="22"/>
  <c r="F27" i="22"/>
  <c r="F26" i="22"/>
  <c r="F25" i="22"/>
  <c r="F24" i="22"/>
  <c r="F23" i="22"/>
  <c r="F34" i="22"/>
  <c r="F32" i="22"/>
  <c r="F30" i="22"/>
  <c r="F29" i="22"/>
  <c r="F20" i="22"/>
  <c r="F19" i="22"/>
  <c r="F18" i="22"/>
  <c r="F15" i="22"/>
  <c r="F13" i="22"/>
  <c r="F12" i="22"/>
  <c r="F11" i="22"/>
  <c r="F187" i="16"/>
  <c r="F186" i="16"/>
  <c r="F185" i="16"/>
  <c r="F183" i="16"/>
  <c r="F182" i="16"/>
  <c r="F181" i="16"/>
  <c r="F180" i="16"/>
  <c r="F179" i="16"/>
  <c r="F178" i="16"/>
  <c r="F167" i="16"/>
  <c r="F165" i="16"/>
  <c r="F163" i="16"/>
  <c r="F162" i="16"/>
  <c r="F161" i="16"/>
  <c r="F160" i="16"/>
  <c r="F157" i="16"/>
  <c r="F156" i="16"/>
  <c r="F155" i="16"/>
  <c r="F153" i="16"/>
  <c r="F151" i="16"/>
  <c r="F150" i="16"/>
  <c r="F148" i="16"/>
  <c r="F147" i="16"/>
  <c r="F146" i="16"/>
  <c r="F145" i="16"/>
  <c r="F141" i="16"/>
  <c r="F140" i="16"/>
  <c r="F128" i="16"/>
  <c r="F126" i="16"/>
  <c r="F124" i="16"/>
  <c r="F121" i="16"/>
  <c r="F119" i="16"/>
  <c r="F117" i="16"/>
  <c r="F116" i="16"/>
  <c r="F115" i="16"/>
  <c r="F114" i="16"/>
  <c r="F113" i="16"/>
  <c r="F100" i="16"/>
  <c r="F98" i="16"/>
  <c r="F97" i="16"/>
  <c r="F96" i="16"/>
  <c r="F94" i="16"/>
  <c r="F93" i="16"/>
  <c r="F92" i="16"/>
  <c r="F91" i="16"/>
  <c r="F90" i="16"/>
  <c r="F89" i="16"/>
  <c r="F86" i="16"/>
  <c r="F85" i="16"/>
  <c r="F84" i="16"/>
  <c r="F83" i="16"/>
  <c r="F81" i="16"/>
  <c r="F80" i="16"/>
  <c r="F67" i="16"/>
  <c r="F66" i="16"/>
  <c r="F65" i="16"/>
  <c r="F64" i="16"/>
  <c r="F63" i="16"/>
  <c r="F62" i="16"/>
  <c r="F61" i="16"/>
  <c r="F60" i="16"/>
  <c r="F58" i="16"/>
  <c r="F57" i="16"/>
  <c r="F54" i="16"/>
  <c r="F52" i="16"/>
  <c r="F51" i="16"/>
  <c r="F48" i="16"/>
  <c r="F47" i="16"/>
  <c r="F46" i="16"/>
  <c r="F34" i="16"/>
  <c r="F33" i="16"/>
  <c r="F32" i="16"/>
  <c r="F29" i="16"/>
  <c r="F28" i="16"/>
  <c r="F27" i="16"/>
  <c r="F25" i="16"/>
  <c r="F24" i="16"/>
  <c r="F23" i="16"/>
  <c r="F22" i="16"/>
  <c r="F21" i="16"/>
  <c r="F20" i="16"/>
  <c r="F17" i="16"/>
  <c r="F16" i="16"/>
  <c r="F15" i="16"/>
  <c r="F14" i="16"/>
  <c r="F12" i="16"/>
  <c r="F11" i="16"/>
  <c r="J185" i="16"/>
  <c r="J186" i="16" s="1"/>
  <c r="J179" i="16"/>
  <c r="J181" i="16" s="1"/>
  <c r="I141" i="16"/>
  <c r="I140" i="16"/>
  <c r="I128" i="16"/>
  <c r="I124" i="16"/>
  <c r="I113" i="16"/>
  <c r="I121" i="16"/>
  <c r="I119" i="16"/>
  <c r="I98" i="16"/>
  <c r="I93" i="16"/>
  <c r="I84" i="16"/>
  <c r="J89" i="16"/>
  <c r="J96" i="16" s="1"/>
  <c r="J20" i="22" s="1"/>
  <c r="I67" i="16"/>
  <c r="I64" i="16"/>
  <c r="I61" i="16"/>
  <c r="I63" i="16"/>
  <c r="I60" i="16"/>
  <c r="I33" i="16"/>
  <c r="I32" i="16"/>
  <c r="I29" i="16"/>
  <c r="I25" i="16"/>
  <c r="I24" i="16"/>
  <c r="J46" i="16"/>
  <c r="J48" i="16" s="1"/>
  <c r="J187" i="16" l="1"/>
  <c r="J94" i="16"/>
  <c r="J15" i="22"/>
  <c r="K15" i="22" s="1"/>
  <c r="J182" i="16"/>
  <c r="J183" i="16"/>
  <c r="J44" i="22"/>
  <c r="J45" i="22"/>
  <c r="J114" i="16"/>
  <c r="J141" i="16"/>
  <c r="J146" i="16"/>
  <c r="J27" i="22"/>
  <c r="J115" i="16"/>
  <c r="J116" i="16"/>
  <c r="J117" i="16"/>
  <c r="J32" i="22"/>
  <c r="J147" i="16"/>
  <c r="J148" i="16"/>
  <c r="J97" i="16"/>
  <c r="J151" i="16"/>
  <c r="J98" i="16"/>
  <c r="J156" i="16"/>
  <c r="J37" i="22"/>
  <c r="J39" i="22"/>
  <c r="J38" i="22"/>
  <c r="K40" i="22"/>
  <c r="J40" i="22"/>
  <c r="J41" i="22"/>
  <c r="K42" i="22"/>
  <c r="K29" i="22"/>
  <c r="J24" i="22"/>
  <c r="J25" i="22"/>
  <c r="J23" i="22"/>
  <c r="J18" i="22"/>
  <c r="J19" i="22"/>
  <c r="K19" i="22" s="1"/>
  <c r="K34" i="22"/>
  <c r="K26" i="22"/>
  <c r="K27" i="22"/>
  <c r="K23" i="22"/>
  <c r="K37" i="22"/>
  <c r="K39" i="22"/>
  <c r="K41" i="22"/>
  <c r="K44" i="22"/>
  <c r="K20" i="22"/>
  <c r="J178" i="16"/>
  <c r="J180" i="16" s="1"/>
  <c r="J93" i="16"/>
  <c r="J90" i="16"/>
  <c r="J92" i="16"/>
  <c r="J91" i="16"/>
  <c r="J80" i="16"/>
  <c r="J83" i="16" s="1"/>
  <c r="J86" i="16" s="1"/>
  <c r="J47" i="16"/>
  <c r="K47" i="16" s="1"/>
  <c r="K33" i="16"/>
  <c r="K48" i="16"/>
  <c r="K46" i="16"/>
  <c r="I15" i="16"/>
  <c r="I188" i="16" s="1"/>
  <c r="J20" i="16"/>
  <c r="J11" i="16"/>
  <c r="J14" i="16" s="1"/>
  <c r="J16" i="16" s="1"/>
  <c r="K38" i="22" l="1"/>
  <c r="J85" i="16"/>
  <c r="J27" i="16"/>
  <c r="J25" i="16"/>
  <c r="K45" i="22"/>
  <c r="J84" i="16"/>
  <c r="J17" i="16"/>
  <c r="J15" i="16"/>
  <c r="K32" i="22"/>
  <c r="K25" i="22"/>
  <c r="K24" i="22"/>
  <c r="K18" i="22"/>
  <c r="J81" i="16"/>
  <c r="K20" i="16"/>
  <c r="K11" i="16"/>
  <c r="J12" i="16"/>
  <c r="J23" i="16"/>
  <c r="J22" i="16"/>
  <c r="J21" i="16"/>
  <c r="J24" i="16"/>
  <c r="M10" i="15"/>
  <c r="M9" i="15"/>
  <c r="M8" i="15"/>
  <c r="M7" i="15"/>
  <c r="O7" i="15" s="1"/>
  <c r="B7" i="22" s="1"/>
  <c r="L10" i="15"/>
  <c r="L9" i="15"/>
  <c r="L8" i="15"/>
  <c r="L7" i="15"/>
  <c r="J12" i="22" l="1"/>
  <c r="J13" i="22"/>
  <c r="J11" i="22"/>
  <c r="J46" i="22" s="1"/>
  <c r="J28" i="16"/>
  <c r="K28" i="16" s="1"/>
  <c r="J29" i="16"/>
  <c r="K24" i="16"/>
  <c r="K12" i="16"/>
  <c r="K27" i="16"/>
  <c r="K25" i="16"/>
  <c r="K23" i="16"/>
  <c r="K16" i="16"/>
  <c r="K17" i="16"/>
  <c r="K14" i="16"/>
  <c r="K21" i="16"/>
  <c r="K22" i="16"/>
  <c r="K15" i="16"/>
  <c r="O9" i="15"/>
  <c r="D7" i="22" s="1"/>
  <c r="O8" i="15"/>
  <c r="O10" i="15"/>
  <c r="E7" i="22" s="1"/>
  <c r="E10" i="15"/>
  <c r="E9" i="15"/>
  <c r="E8" i="15"/>
  <c r="E7" i="15"/>
  <c r="D10" i="15"/>
  <c r="D9" i="15"/>
  <c r="D8" i="15"/>
  <c r="G8" i="15" s="1"/>
  <c r="D7" i="15"/>
  <c r="G7" i="15" s="1"/>
  <c r="J57" i="16"/>
  <c r="J58" i="16" s="1"/>
  <c r="J100" i="16"/>
  <c r="J121" i="16"/>
  <c r="J30" i="22" s="1"/>
  <c r="J32" i="16"/>
  <c r="J51" i="16"/>
  <c r="B109" i="16" l="1"/>
  <c r="B176" i="16"/>
  <c r="B76" i="16"/>
  <c r="B43" i="16"/>
  <c r="B6" i="16"/>
  <c r="B137" i="16"/>
  <c r="C43" i="16"/>
  <c r="C137" i="16"/>
  <c r="C76" i="16"/>
  <c r="C6" i="16"/>
  <c r="C109" i="16"/>
  <c r="C176" i="16"/>
  <c r="G38" i="22"/>
  <c r="L38" i="22" s="1"/>
  <c r="G15" i="22"/>
  <c r="L15" i="22" s="1"/>
  <c r="G13" i="22"/>
  <c r="C7" i="22"/>
  <c r="G12" i="22"/>
  <c r="L12" i="22" s="1"/>
  <c r="G11" i="22"/>
  <c r="G25" i="22"/>
  <c r="L25" i="22" s="1"/>
  <c r="G34" i="22"/>
  <c r="L34" i="22" s="1"/>
  <c r="G45" i="22"/>
  <c r="L45" i="22" s="1"/>
  <c r="G32" i="22"/>
  <c r="L32" i="22" s="1"/>
  <c r="G30" i="22"/>
  <c r="G29" i="22"/>
  <c r="L29" i="22" s="1"/>
  <c r="G41" i="22"/>
  <c r="L41" i="22" s="1"/>
  <c r="G20" i="22"/>
  <c r="L20" i="22" s="1"/>
  <c r="G40" i="22"/>
  <c r="L40" i="22" s="1"/>
  <c r="G19" i="22"/>
  <c r="L19" i="22" s="1"/>
  <c r="G39" i="22"/>
  <c r="L39" i="22" s="1"/>
  <c r="G18" i="22"/>
  <c r="L18" i="22" s="1"/>
  <c r="G37" i="22"/>
  <c r="L37" i="22" s="1"/>
  <c r="G27" i="22"/>
  <c r="L27" i="22" s="1"/>
  <c r="G26" i="22"/>
  <c r="L26" i="22" s="1"/>
  <c r="G24" i="22"/>
  <c r="L24" i="22" s="1"/>
  <c r="G23" i="22"/>
  <c r="L23" i="22" s="1"/>
  <c r="G44" i="22"/>
  <c r="L44" i="22" s="1"/>
  <c r="G42" i="22"/>
  <c r="L42" i="22" s="1"/>
  <c r="K29" i="16"/>
  <c r="L30" i="22"/>
  <c r="K30" i="22"/>
  <c r="K12" i="22"/>
  <c r="K11" i="22"/>
  <c r="K13" i="22"/>
  <c r="L13" i="22"/>
  <c r="J66" i="16"/>
  <c r="J61" i="16" s="1"/>
  <c r="J54" i="16"/>
  <c r="K51" i="16"/>
  <c r="J52" i="16"/>
  <c r="J34" i="16"/>
  <c r="K32" i="16"/>
  <c r="G10" i="15"/>
  <c r="G9" i="15"/>
  <c r="G160" i="16" s="1"/>
  <c r="E6" i="16" l="1"/>
  <c r="E109" i="16"/>
  <c r="E76" i="16"/>
  <c r="E43" i="16"/>
  <c r="E176" i="16"/>
  <c r="E137" i="16"/>
  <c r="G146" i="16"/>
  <c r="G90" i="16"/>
  <c r="G147" i="16"/>
  <c r="G20" i="16"/>
  <c r="L20" i="16" s="1"/>
  <c r="G94" i="16"/>
  <c r="G181" i="16"/>
  <c r="G126" i="16"/>
  <c r="G81" i="16"/>
  <c r="G116" i="16"/>
  <c r="G167" i="16"/>
  <c r="G141" i="16"/>
  <c r="G84" i="16"/>
  <c r="G155" i="16"/>
  <c r="G180" i="16"/>
  <c r="G156" i="16"/>
  <c r="D109" i="16"/>
  <c r="D6" i="16"/>
  <c r="D76" i="16"/>
  <c r="D43" i="16"/>
  <c r="D137" i="16"/>
  <c r="D176" i="16"/>
  <c r="G83" i="16"/>
  <c r="G24" i="16"/>
  <c r="L24" i="16" s="1"/>
  <c r="G89" i="16"/>
  <c r="G21" i="16"/>
  <c r="L21" i="16" s="1"/>
  <c r="G57" i="16"/>
  <c r="G33" i="16"/>
  <c r="L33" i="16" s="1"/>
  <c r="G17" i="16"/>
  <c r="L17" i="16" s="1"/>
  <c r="G92" i="16"/>
  <c r="G179" i="16"/>
  <c r="G93" i="16"/>
  <c r="G183" i="16"/>
  <c r="G86" i="16"/>
  <c r="G66" i="16"/>
  <c r="G15" i="16"/>
  <c r="L15" i="16" s="1"/>
  <c r="G51" i="16"/>
  <c r="L51" i="16" s="1"/>
  <c r="G186" i="16"/>
  <c r="G178" i="16"/>
  <c r="G62" i="16"/>
  <c r="G46" i="16"/>
  <c r="L46" i="16" s="1"/>
  <c r="G162" i="16"/>
  <c r="G23" i="16"/>
  <c r="L23" i="16" s="1"/>
  <c r="G187" i="16"/>
  <c r="G151" i="16"/>
  <c r="G85" i="16"/>
  <c r="G119" i="16"/>
  <c r="G100" i="16"/>
  <c r="G25" i="16"/>
  <c r="L25" i="16" s="1"/>
  <c r="G60" i="16"/>
  <c r="G63" i="16"/>
  <c r="G97" i="16"/>
  <c r="G150" i="16"/>
  <c r="G52" i="16"/>
  <c r="L52" i="16" s="1"/>
  <c r="G96" i="16"/>
  <c r="G61" i="16"/>
  <c r="G128" i="16"/>
  <c r="G58" i="16"/>
  <c r="G161" i="16"/>
  <c r="G54" i="16"/>
  <c r="L54" i="16" s="1"/>
  <c r="G29" i="16"/>
  <c r="L29" i="16" s="1"/>
  <c r="G11" i="16"/>
  <c r="G115" i="16"/>
  <c r="G34" i="16"/>
  <c r="L34" i="16" s="1"/>
  <c r="G153" i="16"/>
  <c r="G124" i="16"/>
  <c r="G113" i="16"/>
  <c r="G14" i="16"/>
  <c r="L14" i="16" s="1"/>
  <c r="G22" i="16"/>
  <c r="L22" i="16" s="1"/>
  <c r="G114" i="16"/>
  <c r="G182" i="16"/>
  <c r="G64" i="16"/>
  <c r="G98" i="16"/>
  <c r="G65" i="16"/>
  <c r="G117" i="16"/>
  <c r="G47" i="16"/>
  <c r="L47" i="16" s="1"/>
  <c r="G185" i="16"/>
  <c r="G32" i="16"/>
  <c r="L32" i="16" s="1"/>
  <c r="G163" i="16"/>
  <c r="G140" i="16"/>
  <c r="G48" i="16"/>
  <c r="L48" i="16" s="1"/>
  <c r="G91" i="16"/>
  <c r="G67" i="16"/>
  <c r="G80" i="16"/>
  <c r="G145" i="16"/>
  <c r="G121" i="16"/>
  <c r="G27" i="16"/>
  <c r="L27" i="16" s="1"/>
  <c r="G28" i="16"/>
  <c r="L28" i="16" s="1"/>
  <c r="G12" i="16"/>
  <c r="L12" i="16" s="1"/>
  <c r="G148" i="16"/>
  <c r="G165" i="16"/>
  <c r="G16" i="16"/>
  <c r="L16" i="16" s="1"/>
  <c r="G157" i="16"/>
  <c r="G46" i="22"/>
  <c r="L11" i="22"/>
  <c r="L46" i="22" s="1"/>
  <c r="K46" i="22"/>
  <c r="J62" i="16"/>
  <c r="J60" i="16"/>
  <c r="K54" i="16"/>
  <c r="K34" i="16"/>
  <c r="K52" i="16"/>
  <c r="G188" i="16" l="1"/>
  <c r="L11" i="16"/>
  <c r="L188" i="16"/>
  <c r="K188" i="16"/>
</calcChain>
</file>

<file path=xl/sharedStrings.xml><?xml version="1.0" encoding="utf-8"?>
<sst xmlns="http://schemas.openxmlformats.org/spreadsheetml/2006/main" count="493" uniqueCount="251">
  <si>
    <t>Respondent Universe Estimates</t>
  </si>
  <si>
    <t>Assumptions</t>
  </si>
  <si>
    <t>Respondent Universe</t>
  </si>
  <si>
    <t>Facility Code(s)</t>
  </si>
  <si>
    <t>Respondent Universe Estimate for ICR</t>
  </si>
  <si>
    <t>Notes</t>
  </si>
  <si>
    <t>Assumption</t>
  </si>
  <si>
    <t>Value</t>
  </si>
  <si>
    <t>Generators that will participate in the transfer-based exclusion in 40 CFR 261.4(a)(24)</t>
  </si>
  <si>
    <t>06</t>
  </si>
  <si>
    <t>Data current as of Feb 20, 2026</t>
  </si>
  <si>
    <t>Percent of generators that will have an emergency incident</t>
  </si>
  <si>
    <t>Generators that accumulate more than 6,000 kg of hazardous secondary material</t>
  </si>
  <si>
    <t>Percent of generators that will amend their contingency plans</t>
  </si>
  <si>
    <t>Generators that accumulate less than 6,000 kg of hazardous secondary material</t>
  </si>
  <si>
    <t>Generators that will repeat reasonable efforts at least every three years using and outside vendor</t>
  </si>
  <si>
    <t>Reclaimers and Intermediate Facilities expected to report as reclaimers receiving hazardous secondary material from off-site</t>
  </si>
  <si>
    <t>07, 08</t>
  </si>
  <si>
    <t>Generators that will repeat preparation of legitimacy documentation at least every three years - using in-house employee audit</t>
  </si>
  <si>
    <t>Reclaimers and intermediate facilities WITH permitted and interim status units</t>
  </si>
  <si>
    <t>Generators that will repeat preparation of legitimacy documentation at least every three years - using outside vendor</t>
  </si>
  <si>
    <t>Reclaimers and intermediate facilities WITHOUT permitted and interim status units</t>
  </si>
  <si>
    <t>Generators that will repeat preparation of legitimacy documentation at least every three years - using readily available information</t>
  </si>
  <si>
    <t>Generators expected to reclaim hazardous secondary material on-site or transfer hazardous secondary material to a reclaimer within the same company</t>
  </si>
  <si>
    <t>01, 02</t>
  </si>
  <si>
    <t>Generators that will make documentation available upon request by a regulatory authority within 72 hours, or within a longer period of time as specified by the regulatory authority</t>
  </si>
  <si>
    <t>Variance applications under 40 CFR 260.31(c)</t>
  </si>
  <si>
    <t>Re-Application for a Variance in the Event of a Change</t>
  </si>
  <si>
    <t>Generators expected to manage hazardous secondary material under a tolling arrangement</t>
  </si>
  <si>
    <t>05</t>
  </si>
  <si>
    <t>Applications for Non-Waste Determination</t>
  </si>
  <si>
    <t>Re-Application for Non-Waste Determination</t>
  </si>
  <si>
    <t>Remanufacturing exclusion petition process</t>
  </si>
  <si>
    <t>Facilities that will re-submit a non-waste determination petition as a result of the provision at 40 CFR 260.33(d) that non-waste determination should be effective for a fixed term not to exceed ten years</t>
  </si>
  <si>
    <t>20, 21</t>
  </si>
  <si>
    <t>Maintain records of shipments</t>
  </si>
  <si>
    <t>Facilities that will re-submit a variance petition as a result of the provision at 40 CFR 260.33(d) that variances should be effective for a fixed term not to exceed ten years</t>
  </si>
  <si>
    <t>14, 15, 16, 17, 18, 19</t>
  </si>
  <si>
    <t>Generators that will label or record in a log materials being stored in tanks and containers prior to re-manufacturing</t>
  </si>
  <si>
    <t>Generators expected to generate and reclaim their hazardous secondary materials under the remanufacturing exclusion</t>
  </si>
  <si>
    <t>13</t>
  </si>
  <si>
    <t>Generators no speculative accumulation</t>
  </si>
  <si>
    <t>Facilities expected to conduct recycling/reuse activities under the six pre-2008 DSW exclusions</t>
  </si>
  <si>
    <t>Not Applicable</t>
  </si>
  <si>
    <t>Reclaimers that will label or record in a log materials being stored in tanks and containers prior to re-manufacturing</t>
  </si>
  <si>
    <t>Exporters will complete a notification to EPA prior to shipment, keep copies of notifications and Acknowledgements of Consent to Export, and submit an annual report</t>
  </si>
  <si>
    <t>09</t>
  </si>
  <si>
    <t>Labor Rates</t>
  </si>
  <si>
    <t>Private Sector</t>
  </si>
  <si>
    <t>Federal, State, and Local Government</t>
  </si>
  <si>
    <t>Labor Category</t>
  </si>
  <si>
    <t>U.S. Bureau of Labor Statistics Standard Occupational Code</t>
  </si>
  <si>
    <r>
      <t xml:space="preserve">Hourly Mean Wage </t>
    </r>
    <r>
      <rPr>
        <b/>
        <vertAlign val="superscript"/>
        <sz val="10"/>
        <color rgb="FF000000"/>
        <rFont val="Calibri"/>
        <family val="2"/>
        <scheme val="minor"/>
      </rPr>
      <t>a</t>
    </r>
  </si>
  <si>
    <r>
      <t xml:space="preserve">Adjustment Factor </t>
    </r>
    <r>
      <rPr>
        <b/>
        <vertAlign val="superscript"/>
        <sz val="10"/>
        <color rgb="FF000000"/>
        <rFont val="Calibri"/>
        <family val="2"/>
        <scheme val="minor"/>
      </rPr>
      <t>b</t>
    </r>
  </si>
  <si>
    <r>
      <t>Fringe Benefits Cost Factor</t>
    </r>
    <r>
      <rPr>
        <b/>
        <vertAlign val="superscript"/>
        <sz val="10"/>
        <color rgb="FF000000"/>
        <rFont val="Calibri"/>
        <family val="2"/>
        <scheme val="minor"/>
      </rPr>
      <t>c</t>
    </r>
  </si>
  <si>
    <r>
      <t>Overhead Cost Factor</t>
    </r>
    <r>
      <rPr>
        <b/>
        <vertAlign val="superscript"/>
        <sz val="10"/>
        <color rgb="FF000000"/>
        <rFont val="Calibri"/>
        <family val="2"/>
        <scheme val="minor"/>
      </rPr>
      <t>d</t>
    </r>
  </si>
  <si>
    <t xml:space="preserve">Loaded Average (Mean) Hourly Wage Rate </t>
  </si>
  <si>
    <t>A</t>
  </si>
  <si>
    <t>B</t>
  </si>
  <si>
    <t>C</t>
  </si>
  <si>
    <t>D</t>
  </si>
  <si>
    <t>E</t>
  </si>
  <si>
    <t>F</t>
  </si>
  <si>
    <t>G = [C x D x E x F]</t>
  </si>
  <si>
    <t>1. Legal</t>
  </si>
  <si>
    <t>23-1011 Lawyers</t>
  </si>
  <si>
    <t>2. Managerial</t>
  </si>
  <si>
    <t>11-1021 General &amp; Operations Managers</t>
  </si>
  <si>
    <t>3. Technical</t>
  </si>
  <si>
    <t>17-2081 Environmental Engineers</t>
  </si>
  <si>
    <t>4. Clerical</t>
  </si>
  <si>
    <t>43-9061 Office Clerks, General</t>
  </si>
  <si>
    <r>
      <rPr>
        <vertAlign val="superscript"/>
        <sz val="9"/>
        <color rgb="FF000000"/>
        <rFont val="Calibri"/>
        <family val="2"/>
        <scheme val="minor"/>
      </rPr>
      <t>a</t>
    </r>
    <r>
      <rPr>
        <sz val="9"/>
        <color rgb="FF000000"/>
        <rFont val="Calibri"/>
        <family val="2"/>
        <scheme val="minor"/>
      </rPr>
      <t xml:space="preserve"> U.S. Bureau of Labor Statistics, “May 2024 National Occupational Employment and Wage Estimates,”.</t>
    </r>
  </si>
  <si>
    <r>
      <rPr>
        <vertAlign val="superscript"/>
        <sz val="9"/>
        <color rgb="FF000000"/>
        <rFont val="Calibri"/>
        <family val="2"/>
        <scheme val="minor"/>
      </rPr>
      <t>a</t>
    </r>
    <r>
      <rPr>
        <sz val="9"/>
        <color rgb="FF000000"/>
        <rFont val="Calibri"/>
        <family val="2"/>
        <scheme val="minor"/>
      </rPr>
      <t xml:space="preserve"> U.S. Bureau of Labor Statistics, “May 2024 National Industry-Specific Occupational Employment and Wage Estimates; NAICS 999000 - Federal, State, and Local Government.</t>
    </r>
  </si>
  <si>
    <r>
      <rPr>
        <vertAlign val="superscript"/>
        <sz val="9"/>
        <color rgb="FF000000"/>
        <rFont val="Calibri"/>
        <family val="2"/>
        <scheme val="minor"/>
      </rPr>
      <t>b</t>
    </r>
    <r>
      <rPr>
        <sz val="9"/>
        <color rgb="FF000000"/>
        <rFont val="Calibri"/>
        <family val="2"/>
        <scheme val="minor"/>
      </rPr>
      <t xml:space="preserve"> U.S. Bureau of Labor Statistics, “Table 5. Employment Cost Index for total compensation, for private industry workers, by occupation and industry, continuous occupational and industry series (not seasonally adjusted)”.</t>
    </r>
  </si>
  <si>
    <r>
      <rPr>
        <vertAlign val="superscript"/>
        <sz val="9"/>
        <color rgb="FF000000"/>
        <rFont val="Calibri"/>
        <family val="2"/>
        <scheme val="minor"/>
      </rPr>
      <t>b</t>
    </r>
    <r>
      <rPr>
        <sz val="9"/>
        <color rgb="FF000000"/>
        <rFont val="Calibri"/>
        <family val="2"/>
        <scheme val="minor"/>
      </rPr>
      <t xml:space="preserve"> U.S. Bureau of Labor Statistics, “Table 7. Employment Cost Index for total compensation, for State and local government workers, by occupation and industry, continuous occupational and industry series (not seasonally adjusted)”.</t>
    </r>
  </si>
  <si>
    <r>
      <rPr>
        <vertAlign val="superscript"/>
        <sz val="9"/>
        <color rgb="FF000000"/>
        <rFont val="Calibri"/>
        <family val="2"/>
        <scheme val="minor"/>
      </rPr>
      <t>c</t>
    </r>
    <r>
      <rPr>
        <sz val="9"/>
        <color rgb="FF000000"/>
        <rFont val="Calibri"/>
        <family val="2"/>
        <scheme val="minor"/>
      </rPr>
      <t xml:space="preserve"> U.S. Bureau of Labor Statistics, “Table 9. Private industry workers, by major occupational group: employer costs per hour worked for employee compensation and costs as a percentage of total compensation”.</t>
    </r>
  </si>
  <si>
    <r>
      <rPr>
        <vertAlign val="superscript"/>
        <sz val="9"/>
        <color rgb="FF000000"/>
        <rFont val="Calibri"/>
        <family val="2"/>
        <scheme val="minor"/>
      </rPr>
      <t>c</t>
    </r>
    <r>
      <rPr>
        <sz val="9"/>
        <color rgb="FF000000"/>
        <rFont val="Calibri"/>
        <family val="2"/>
        <scheme val="minor"/>
      </rPr>
      <t xml:space="preserve"> U.S. Bureau of Labor Statistics, “Table 5. State and local government workers, by major occupational group: employer costs per hour worked for employee compensation and costs as a percentage of total compensation”.</t>
    </r>
  </si>
  <si>
    <r>
      <rPr>
        <vertAlign val="superscript"/>
        <sz val="9"/>
        <color rgb="FF000000"/>
        <rFont val="Calibri"/>
        <family val="2"/>
        <scheme val="minor"/>
      </rPr>
      <t>d</t>
    </r>
    <r>
      <rPr>
        <sz val="9"/>
        <color rgb="FF000000"/>
        <rFont val="Calibri"/>
        <family val="2"/>
        <scheme val="minor"/>
      </rPr>
      <t xml:space="preserve"> The overhead cost factor was obtained from the previously approved ICR.</t>
    </r>
  </si>
  <si>
    <t>Operation and Maintenance Costs</t>
  </si>
  <si>
    <t>Item</t>
  </si>
  <si>
    <t>Cost</t>
  </si>
  <si>
    <t>Data Source</t>
  </si>
  <si>
    <t>Postage</t>
  </si>
  <si>
    <t>Regular mail</t>
  </si>
  <si>
    <t>https://pe.usps.com/text/dmm300/Notice123.htm?_gl=1*1h1rbud*_ga*MTgzODQzMDI5NC4xNjM3NTQyMDc1*_ga_3NXP3C8S9V*MTYzNzU0MjA3NS4xLjEuMTYzNzU0MjUwOS4w#_c191</t>
  </si>
  <si>
    <t>Certified mail</t>
  </si>
  <si>
    <t>Registered mail</t>
  </si>
  <si>
    <t>Sampling and analytical costs for a hazardous secondary material characterization</t>
  </si>
  <si>
    <t>Cost in previously approved ICR ($369) adjusted to 2025 dollars using BLS Consumer Price Indices.</t>
  </si>
  <si>
    <t>Making copies of plans</t>
  </si>
  <si>
    <t xml:space="preserve">Cost in previously approved ICR ($0.13) adjusted to 2025 dollars using BLS Consumer Price Indices.
</t>
  </si>
  <si>
    <t>Long distance phone call</t>
  </si>
  <si>
    <t xml:space="preserve">Cost in previously approved ICR ($6.26) adjusted to 2025 dollars using BLS Consumer Price Indices.
</t>
  </si>
  <si>
    <t>Prepare and submit a re-application and to provide additional information on whether partial reclamation is substantial</t>
  </si>
  <si>
    <t xml:space="preserve">Cost in previously approved ICR ($31.20) adjusted to 2021 dollars using BLS Consumer Price Indices.
</t>
  </si>
  <si>
    <t xml:space="preserve">Preparation of an initial variance application </t>
  </si>
  <si>
    <t xml:space="preserve">Cost in previously approved ICR ($31.11) adjusted to 2021 dollars using BLS Consumer Price Indices.
</t>
  </si>
  <si>
    <t>Re-application or renewal of the variance</t>
  </si>
  <si>
    <t xml:space="preserve">Cost in previously approved ICR ($15.56) adjusted to 2021 dollars using BLS Consumer Price Indices.
</t>
  </si>
  <si>
    <t>Hiring an outside auditor to conduct a reasonable efforts audit (for generators using the transfer-based exclusion)</t>
  </si>
  <si>
    <t xml:space="preserve">Cost in previously approved ICR ($4,217) adjusted to 2021 dollars using BLS Consumer Price Indices.
</t>
  </si>
  <si>
    <t>In-house employee audit (for generator-controlled exclusion)</t>
  </si>
  <si>
    <t xml:space="preserve">Cost in previously approved ICR ($780) adjusted to 2021 dollars using BLS Consumer Price Indices.
</t>
  </si>
  <si>
    <t>Hiring an outside vendor for preparation of legitimacy documentation</t>
  </si>
  <si>
    <t xml:space="preserve">Cost in previously approved ICR ($3,900) adjusted to 2021 dollars using BLS Consumer Price Indices.
</t>
  </si>
  <si>
    <t>EXHIBIT 1</t>
  </si>
  <si>
    <r>
      <t xml:space="preserve">ESTIMATED ANNUAL RESPONDENT HOUR AND COST BURDEN </t>
    </r>
    <r>
      <rPr>
        <b/>
        <vertAlign val="superscript"/>
        <sz val="9"/>
        <rFont val="Calibri"/>
        <family val="2"/>
        <scheme val="minor"/>
      </rPr>
      <t>a</t>
    </r>
  </si>
  <si>
    <t>Hours per Respondent Activity</t>
  </si>
  <si>
    <t xml:space="preserve"> </t>
  </si>
  <si>
    <t xml:space="preserve"> Legal</t>
  </si>
  <si>
    <t>Managerial</t>
  </si>
  <si>
    <t>Technical</t>
  </si>
  <si>
    <t>Clerical</t>
  </si>
  <si>
    <t>Hours/</t>
  </si>
  <si>
    <t>Labor Cost/</t>
  </si>
  <si>
    <t>Capital Costs/</t>
  </si>
  <si>
    <t>O&amp;M Costs/</t>
  </si>
  <si>
    <t xml:space="preserve"> Number of</t>
  </si>
  <si>
    <t>Total Hours/</t>
  </si>
  <si>
    <t>Total Cost/</t>
  </si>
  <si>
    <t>Respondent</t>
  </si>
  <si>
    <t>Respondents</t>
  </si>
  <si>
    <t>Year</t>
  </si>
  <si>
    <t>OFF-SITE TRANSFER BASED EXCLUSION FOR HAZARDOUS SECONDARY MATERIAL</t>
  </si>
  <si>
    <t>Emergency Preparedness and Response</t>
  </si>
  <si>
    <t>Personnel Training</t>
  </si>
  <si>
    <t>Collect job-related data</t>
  </si>
  <si>
    <t>Maintain information at facility</t>
  </si>
  <si>
    <t>Emergency Procedures</t>
  </si>
  <si>
    <t>Observe scene of hazardous waste discharge</t>
  </si>
  <si>
    <t>Report by phone requested data items to NRC</t>
  </si>
  <si>
    <t>Document that local officials decline to enter into arrangements for coordinating response</t>
  </si>
  <si>
    <t>Post emergency information by phone</t>
  </si>
  <si>
    <t>Contingency Planning</t>
  </si>
  <si>
    <t>Collect data required in contingency plan</t>
  </si>
  <si>
    <t>Document whether authorities decline arrangement</t>
  </si>
  <si>
    <t>Write contingency plan</t>
  </si>
  <si>
    <t>Maintain contingency plan</t>
  </si>
  <si>
    <t>Submit contingency plan to relevant emergency centers</t>
  </si>
  <si>
    <t>Amend contingency plan when appropriate</t>
  </si>
  <si>
    <t>Collect information</t>
  </si>
  <si>
    <t>Emergency reporting</t>
  </si>
  <si>
    <t>Notifying/coordination with authorities</t>
  </si>
  <si>
    <t>Reasonable Efforts Environmental Audit For Generators Under 40 CFR 261.4(a)(24)</t>
  </si>
  <si>
    <t>Generators</t>
  </si>
  <si>
    <t>Conduct reasonable efforts for intermediate facilities and reclaimers and prepare certification statement using outside vendor</t>
  </si>
  <si>
    <t>Repeat reasonable efforts at least every three years using and outside vendor</t>
  </si>
  <si>
    <t>Maintain documentation and certification available upon request by a regulatory authority</t>
  </si>
  <si>
    <t>EXHIBIT 1 (CONTINUED)</t>
  </si>
  <si>
    <t>Financial Assurance (40 CFR Part 261, Subpart H) under the Transfer-Based Exclusion</t>
  </si>
  <si>
    <t>Reclaimers</t>
  </si>
  <si>
    <t>Collect data for cost estimate</t>
  </si>
  <si>
    <t>Prepare cost estimate</t>
  </si>
  <si>
    <t>Obtain and submit documentation of financial assurance</t>
  </si>
  <si>
    <t>Receipt Confirmations</t>
  </si>
  <si>
    <t>Maintain at the generating facility for no less than three (3) years records of all off-site shipments of hazardous secondary materials</t>
  </si>
  <si>
    <t>Maintain at the generating facility for no less than three (3) years confirmations of receipt</t>
  </si>
  <si>
    <t>Send to the hazardous secondary material generator confirmations of receipt for all off-site shipments of hazardous secondary materials</t>
  </si>
  <si>
    <t>HAZARDOUS SECONDARY MATERIAL GENERATED AND RECLAIMED UNDER THE CONTROL OF THE GENERATOR</t>
  </si>
  <si>
    <t>Recordkeeping for the Tolling Provision</t>
  </si>
  <si>
    <t>Tolling contractor must maintain at its facility for no less than three years records of all hazardous secondary materials received pursuant to the written contract with the tolling manufacturer.</t>
  </si>
  <si>
    <t>Tolling manufacturer must maintain at its facility for no less than three years records of hazardous secondary materials shipped pursuant to its written contract with the tolling contractor.</t>
  </si>
  <si>
    <t>Legitimacy documentation</t>
  </si>
  <si>
    <t>Prepare documentation statement - using in-house employee audit</t>
  </si>
  <si>
    <t>Prepare documentation statement - using outside vendor</t>
  </si>
  <si>
    <t>Prepare documentation statement - using readily available information</t>
  </si>
  <si>
    <t>Repeat at least every three years - using in-house employee audit</t>
  </si>
  <si>
    <t>Repeat at least every three years - using outside vendor</t>
  </si>
  <si>
    <t>Repeat at least every three years - using readily available information</t>
  </si>
  <si>
    <t>Maintain for a minimum of three years documentation</t>
  </si>
  <si>
    <t>Make documentation available upon request by a regulatory authority within 72 hours, or within a longer period of time as specified by the regulatory authority</t>
  </si>
  <si>
    <t>Certifications for Hazardous Secondary Material Generated and Reclaimed Under the Control of the Generator</t>
  </si>
  <si>
    <t>Prepare the certification</t>
  </si>
  <si>
    <t xml:space="preserve">SOLID WASTE VARIANCES AND NON-WASTE DETERMINATIONS </t>
  </si>
  <si>
    <t>Variances</t>
  </si>
  <si>
    <t>Variance from Classification as a Solid Waste (260.31(c) and 260.33(a))</t>
  </si>
  <si>
    <t>Provide information on whether the degree of partial reclamation the material has undergone is substantial.</t>
  </si>
  <si>
    <t>Provide information on whether the partially-reclaimed material has sufficient economic value that it will be purchased for final reclamation</t>
  </si>
  <si>
    <t>Describe whether the partially-reclaimed material is a viable substitute for a product or intermediate, produced from virgin or raw materials, which feeds subsequent production steps.</t>
  </si>
  <si>
    <t>Examine whether there is a guaranteed end market for the partially-reclaimed material</t>
  </si>
  <si>
    <t>Describe whether the partially-reclaimed material is handled to minimize loss</t>
  </si>
  <si>
    <t>Notice and Potential Re-Application for a Variance in the Event of a Change</t>
  </si>
  <si>
    <t>Prepare and submit a re-application</t>
  </si>
  <si>
    <t>Submit a Re-Application at Least Every 10 Years</t>
  </si>
  <si>
    <t>Re-apply for a variance every 10 years</t>
  </si>
  <si>
    <t>Non-Waste Determinations</t>
  </si>
  <si>
    <t>Application for Non-Waste Determination</t>
  </si>
  <si>
    <t>Prepare and submit an application</t>
  </si>
  <si>
    <t>Change to Non-Waste Determination Process</t>
  </si>
  <si>
    <t>Demonstrate respondent cannot or should not meet the existing DSW exclusions</t>
  </si>
  <si>
    <t>REMANUFACTURING EXCLUSION</t>
  </si>
  <si>
    <t>Petition Process</t>
  </si>
  <si>
    <t>Prepare and submit petition to add certain chemicals, industries, and/or chemical function uses to the re-manufacturing criteria</t>
  </si>
  <si>
    <t>Sampling and analytical costs for hazardous secondary material characterization</t>
  </si>
  <si>
    <t xml:space="preserve"> Exclusion Conditions</t>
  </si>
  <si>
    <t>Generator</t>
  </si>
  <si>
    <t>Re-manufacturing Plan</t>
  </si>
  <si>
    <t>Make advance arrangements with re-manufacturer</t>
  </si>
  <si>
    <t>Prepare re-manufacturing plan jointly with re-manufacturer</t>
  </si>
  <si>
    <t>Maintain re-manufacturing plan</t>
  </si>
  <si>
    <t>Submit re-manufacturing plan upon request</t>
  </si>
  <si>
    <t>Record of Shipments and Confirmations of Receipts</t>
  </si>
  <si>
    <t>Maintain records of shipments for a period of three years from the dates of shipments.</t>
  </si>
  <si>
    <t>Maintain records of confirmations of receipts for a period of three years from the dates of shipments.</t>
  </si>
  <si>
    <t>Management in Tanks and Containers</t>
  </si>
  <si>
    <t>Label or record in a log materials being stored in tanks and containers prior to re-manufacturing</t>
  </si>
  <si>
    <t>No Speculative Accumulation</t>
  </si>
  <si>
    <t>Label containers in satellite accumulation area with start date</t>
  </si>
  <si>
    <t>Label containers in accumulation area with start date</t>
  </si>
  <si>
    <t>Inventory logs must demonstrate that at least 75% by weight or volume of material being recycled is transferred to a different site for recycling in a calendar year.</t>
  </si>
  <si>
    <t>Re-Manufacturer</t>
  </si>
  <si>
    <t>Make advance arrangements with hazardous secondary material generator</t>
  </si>
  <si>
    <t>Prepare re-manufacturing plan jointly with generator</t>
  </si>
  <si>
    <t>RECORDKEEPING FOR SPECULATIVE ACCUMULATION</t>
  </si>
  <si>
    <t>Prepare procedures ensuring waste is stored no more than one year</t>
  </si>
  <si>
    <t>Document that storage procedures are satisfied</t>
  </si>
  <si>
    <t>Prepare a description of waste generation and waste management practices</t>
  </si>
  <si>
    <t>Document that the unit is emptied at least once a year</t>
  </si>
  <si>
    <t>EXPORT REQUIREMENTS</t>
  </si>
  <si>
    <t>Submit notification electronically</t>
  </si>
  <si>
    <t>Maintain copy of consent document</t>
  </si>
  <si>
    <t>Develop and submit annual report</t>
  </si>
  <si>
    <t>Total</t>
  </si>
  <si>
    <t>Varies</t>
  </si>
  <si>
    <r>
      <rPr>
        <vertAlign val="superscript"/>
        <sz val="12"/>
        <color rgb="FF000000"/>
        <rFont val="Times New Roman"/>
        <family val="1"/>
      </rPr>
      <t>a</t>
    </r>
    <r>
      <rPr>
        <sz val="12"/>
        <color indexed="8"/>
        <rFont val="Times New Roman"/>
        <family val="1"/>
      </rPr>
      <t xml:space="preserve"> Exhibit contains rounding error.</t>
    </r>
  </si>
  <si>
    <t>EXHIBIT 2</t>
  </si>
  <si>
    <t>ESTIMATED ANNUAL STATE AGENCY HOUR AND COST BURDEN</t>
  </si>
  <si>
    <t>Hours per Agency Activity</t>
  </si>
  <si>
    <t>Activity</t>
  </si>
  <si>
    <t>Agency Activities</t>
  </si>
  <si>
    <t>Review submitted release report information</t>
  </si>
  <si>
    <t>Enter information into database tracking all releases</t>
  </si>
  <si>
    <t>Transmit information to respective response authorities</t>
  </si>
  <si>
    <t>Financial Assurance (40 CFR part 261 subpart H) under the Transfer Based Exclusion</t>
  </si>
  <si>
    <t>Review financial estimates and instruments</t>
  </si>
  <si>
    <t>Review the variance demonstration</t>
  </si>
  <si>
    <t>Request additional information if necessary</t>
  </si>
  <si>
    <t>Deliberate and issue draft determination</t>
  </si>
  <si>
    <t>Publicize draft determination</t>
  </si>
  <si>
    <t>Hold hearing, if required</t>
  </si>
  <si>
    <t xml:space="preserve">Re-Application for a Variance </t>
  </si>
  <si>
    <t>Receive, Review and File Re-Application in the Event of a Change</t>
  </si>
  <si>
    <t>Receive, Review and File Re-Application for a Variance Every 10 Years</t>
  </si>
  <si>
    <t>Evaluate and approve/deny application</t>
  </si>
  <si>
    <t>Receive, Review and File Re-Application for Non-Waste Determination Every 10 Years</t>
  </si>
  <si>
    <t>Rulemaking Petition Process</t>
  </si>
  <si>
    <t>Review the petition</t>
  </si>
  <si>
    <t>Review comments and make final determination</t>
  </si>
  <si>
    <t>Review export notification</t>
  </si>
  <si>
    <t>Review annual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</si>
</sst>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"/>
    <numFmt numFmtId="166" formatCode="General_)"/>
    <numFmt numFmtId="167" formatCode="0.0%"/>
  </numFmts>
  <fonts count="2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rgb="FF000000"/>
      <name val="Times New Roman"/>
      <family val="1"/>
    </font>
    <font>
      <sz val="12"/>
      <color indexed="8"/>
      <name val="Times New Roman"/>
      <family val="1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vertAlign val="superscript"/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0" fillId="8" borderId="1" xfId="0" quotePrefix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0" borderId="1" xfId="0" quotePrefix="1" applyFill="1" applyBorder="1" applyAlignment="1">
      <alignment horizontal="center" vertical="center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0" fontId="0" fillId="11" borderId="1" xfId="0" quotePrefix="1" applyFill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10" fillId="12" borderId="2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3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left" vertical="center" wrapText="1" indent="3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vertical="center" wrapText="1"/>
    </xf>
    <xf numFmtId="39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7" fontId="18" fillId="0" borderId="0" xfId="0" applyNumberFormat="1" applyFont="1" applyAlignment="1">
      <alignment vertical="center"/>
    </xf>
    <xf numFmtId="37" fontId="18" fillId="0" borderId="0" xfId="0" applyNumberFormat="1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6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0" fillId="4" borderId="1" xfId="0" applyFill="1" applyBorder="1" applyAlignment="1">
      <alignment horizontal="left" vertical="center" wrapText="1" indent="4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39" fontId="20" fillId="0" borderId="0" xfId="0" applyNumberFormat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166" fontId="20" fillId="0" borderId="0" xfId="0" applyNumberFormat="1" applyFont="1" applyAlignment="1">
      <alignment horizontal="center" vertical="center"/>
    </xf>
    <xf numFmtId="37" fontId="20" fillId="0" borderId="0" xfId="0" applyNumberFormat="1" applyFont="1" applyAlignment="1">
      <alignment vertical="center"/>
    </xf>
    <xf numFmtId="39" fontId="20" fillId="0" borderId="0" xfId="0" applyNumberFormat="1" applyFont="1" applyAlignment="1">
      <alignment horizontal="center" vertical="center"/>
    </xf>
    <xf numFmtId="37" fontId="20" fillId="0" borderId="0" xfId="0" applyNumberFormat="1" applyFont="1" applyAlignment="1">
      <alignment horizontal="center" vertical="center"/>
    </xf>
    <xf numFmtId="39" fontId="20" fillId="0" borderId="0" xfId="0" quotePrefix="1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 indent="4"/>
    </xf>
    <xf numFmtId="0" fontId="0" fillId="0" borderId="1" xfId="0" applyBorder="1"/>
    <xf numFmtId="0" fontId="0" fillId="5" borderId="1" xfId="0" applyFill="1" applyBorder="1" applyAlignment="1">
      <alignment horizontal="left" vertical="center" wrapText="1" indent="4"/>
    </xf>
    <xf numFmtId="0" fontId="0" fillId="6" borderId="1" xfId="0" applyFill="1" applyBorder="1" applyAlignment="1">
      <alignment horizontal="left" vertical="center" wrapText="1" indent="4"/>
    </xf>
    <xf numFmtId="0" fontId="5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2" applyFon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4" borderId="2" xfId="0" quotePrefix="1" applyFill="1" applyBorder="1" applyAlignment="1">
      <alignment horizontal="center" vertical="center"/>
    </xf>
    <xf numFmtId="0" fontId="0" fillId="4" borderId="8" xfId="0" quotePrefix="1" applyFill="1" applyBorder="1" applyAlignment="1">
      <alignment horizontal="center" vertical="center"/>
    </xf>
    <xf numFmtId="0" fontId="0" fillId="4" borderId="3" xfId="0" quotePrefix="1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3" borderId="8" xfId="0" quotePrefix="1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8" xfId="0" quotePrefix="1" applyFill="1" applyBorder="1" applyAlignment="1">
      <alignment horizontal="center" vertical="center"/>
    </xf>
    <xf numFmtId="0" fontId="0" fillId="5" borderId="3" xfId="0" quotePrefix="1" applyFill="1" applyBorder="1" applyAlignment="1">
      <alignment horizontal="center" vertical="center"/>
    </xf>
    <xf numFmtId="0" fontId="0" fillId="6" borderId="2" xfId="0" quotePrefix="1" applyFill="1" applyBorder="1" applyAlignment="1">
      <alignment horizontal="center" vertical="center"/>
    </xf>
    <xf numFmtId="0" fontId="0" fillId="6" borderId="8" xfId="0" quotePrefix="1" applyFill="1" applyBorder="1" applyAlignment="1">
      <alignment horizontal="center" vertical="center"/>
    </xf>
    <xf numFmtId="0" fontId="0" fillId="6" borderId="3" xfId="0" quotePrefix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7" fillId="0" borderId="8" xfId="1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3" xfId="1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vertical="center"/>
    </xf>
    <xf numFmtId="39" fontId="20" fillId="0" borderId="9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/>
    </xf>
    <xf numFmtId="0" fontId="5" fillId="13" borderId="4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e.usps.com/text/dmm300/Notice123.htm?_gl=1*1h1rbud*_ga*MTgzODQzMDI5NC4xNjM3NTQyMDc1*_ga_3NXP3C8S9V*MTYzNzU0MjA3NS4xLjEuMTYzNzU0MjUwOS4w" TargetMode="External"/><Relationship Id="rId2" Type="http://schemas.openxmlformats.org/officeDocument/2006/relationships/hyperlink" Target="https://pe.usps.com/text/dmm300/Notice123.htm?_gl=1*1h1rbud*_ga*MTgzODQzMDI5NC4xNjM3NTQyMDc1*_ga_3NXP3C8S9V*MTYzNzU0MjA3NS4xLjEuMTYzNzU0MjUwOS4w" TargetMode="External"/><Relationship Id="rId1" Type="http://schemas.openxmlformats.org/officeDocument/2006/relationships/hyperlink" Target="https://pe.usps.com/text/dmm300/Notice123.htm?_gl=1*1h1rbud*_ga*MTgzODQzMDI5NC4xNjM3NTQyMDc1*_ga_3NXP3C8S9V*MTYzNzU0MjA3NS4xLjEuMTYzNzU0MjUwOS4w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F270-3AF7-4EFE-9EB7-7A98EFCE93B3}">
  <dimension ref="A1:G24"/>
  <sheetViews>
    <sheetView showGridLines="0" topLeftCell="A6" zoomScale="75" zoomScaleNormal="75" workbookViewId="0">
      <selection activeCell="C14" sqref="C14"/>
    </sheetView>
  </sheetViews>
  <sheetFormatPr defaultColWidth="8.7109375" defaultRowHeight="15"/>
  <cols>
    <col min="1" max="1" width="56.28515625" style="3" customWidth="1"/>
    <col min="2" max="2" width="15.5703125" style="3" customWidth="1"/>
    <col min="3" max="3" width="17.5703125" style="3" customWidth="1"/>
    <col min="4" max="4" width="44.5703125" style="3" customWidth="1"/>
    <col min="5" max="5" width="8.7109375" style="3"/>
    <col min="6" max="6" width="53.7109375" style="3" customWidth="1"/>
    <col min="7" max="7" width="17.5703125" style="2" customWidth="1"/>
    <col min="8" max="16384" width="8.7109375" style="3"/>
  </cols>
  <sheetData>
    <row r="1" spans="1:7" ht="18.75">
      <c r="A1" s="1" t="s">
        <v>0</v>
      </c>
      <c r="F1" s="1" t="s">
        <v>1</v>
      </c>
    </row>
    <row r="2" spans="1:7">
      <c r="A2" s="4"/>
    </row>
    <row r="4" spans="1:7" ht="54.95" customHeight="1">
      <c r="A4" s="5" t="s">
        <v>2</v>
      </c>
      <c r="B4" s="5" t="s">
        <v>3</v>
      </c>
      <c r="C4" s="7" t="s">
        <v>4</v>
      </c>
      <c r="D4" s="5" t="s">
        <v>5</v>
      </c>
      <c r="F4" s="5" t="s">
        <v>6</v>
      </c>
      <c r="G4" s="5" t="s">
        <v>7</v>
      </c>
    </row>
    <row r="5" spans="1:7" ht="30">
      <c r="A5" s="24" t="s">
        <v>8</v>
      </c>
      <c r="B5" s="105" t="s">
        <v>9</v>
      </c>
      <c r="C5" s="11">
        <v>160</v>
      </c>
      <c r="D5" s="10" t="s">
        <v>10</v>
      </c>
      <c r="F5" s="100" t="s">
        <v>11</v>
      </c>
      <c r="G5" s="102">
        <v>1.7000000000000001E-2</v>
      </c>
    </row>
    <row r="6" spans="1:7" ht="30">
      <c r="A6" s="67" t="s">
        <v>12</v>
      </c>
      <c r="B6" s="106"/>
      <c r="C6" s="11">
        <v>134</v>
      </c>
      <c r="D6" s="10" t="s">
        <v>10</v>
      </c>
      <c r="F6" s="100" t="s">
        <v>13</v>
      </c>
      <c r="G6" s="101">
        <v>0.1</v>
      </c>
    </row>
    <row r="7" spans="1:7" ht="30">
      <c r="A7" s="67" t="s">
        <v>14</v>
      </c>
      <c r="B7" s="107"/>
      <c r="C7" s="11">
        <v>26</v>
      </c>
      <c r="D7" s="10" t="s">
        <v>10</v>
      </c>
      <c r="F7" s="100" t="s">
        <v>15</v>
      </c>
      <c r="G7" s="6">
        <v>0</v>
      </c>
    </row>
    <row r="8" spans="1:7" ht="45">
      <c r="A8" s="8" t="s">
        <v>16</v>
      </c>
      <c r="B8" s="108" t="s">
        <v>17</v>
      </c>
      <c r="C8" s="9">
        <v>33</v>
      </c>
      <c r="D8" s="8" t="s">
        <v>10</v>
      </c>
      <c r="F8" s="64" t="s">
        <v>18</v>
      </c>
      <c r="G8" s="6">
        <v>0</v>
      </c>
    </row>
    <row r="9" spans="1:7" ht="30">
      <c r="A9" s="80" t="s">
        <v>19</v>
      </c>
      <c r="B9" s="109"/>
      <c r="C9" s="9">
        <v>21</v>
      </c>
      <c r="D9" s="8" t="s">
        <v>10</v>
      </c>
      <c r="F9" s="64" t="s">
        <v>20</v>
      </c>
      <c r="G9" s="6">
        <v>0</v>
      </c>
    </row>
    <row r="10" spans="1:7" ht="30">
      <c r="A10" s="80" t="s">
        <v>21</v>
      </c>
      <c r="B10" s="110"/>
      <c r="C10" s="9">
        <v>12</v>
      </c>
      <c r="D10" s="8" t="s">
        <v>10</v>
      </c>
      <c r="F10" s="64" t="s">
        <v>22</v>
      </c>
      <c r="G10" s="6">
        <v>0</v>
      </c>
    </row>
    <row r="11" spans="1:7" ht="60">
      <c r="A11" s="12" t="s">
        <v>23</v>
      </c>
      <c r="B11" s="111" t="s">
        <v>24</v>
      </c>
      <c r="C11" s="13">
        <v>192</v>
      </c>
      <c r="D11" s="12" t="s">
        <v>10</v>
      </c>
      <c r="F11" s="100" t="s">
        <v>25</v>
      </c>
      <c r="G11" s="6">
        <v>5</v>
      </c>
    </row>
    <row r="12" spans="1:7" ht="30">
      <c r="A12" s="82" t="s">
        <v>12</v>
      </c>
      <c r="B12" s="112"/>
      <c r="C12" s="13">
        <v>176</v>
      </c>
      <c r="D12" s="12" t="s">
        <v>10</v>
      </c>
      <c r="F12" s="99" t="s">
        <v>26</v>
      </c>
      <c r="G12" s="6">
        <v>4</v>
      </c>
    </row>
    <row r="13" spans="1:7" ht="30">
      <c r="A13" s="82" t="s">
        <v>14</v>
      </c>
      <c r="B13" s="113"/>
      <c r="C13" s="13">
        <v>16</v>
      </c>
      <c r="D13" s="12" t="s">
        <v>10</v>
      </c>
      <c r="F13" s="99" t="s">
        <v>27</v>
      </c>
      <c r="G13" s="6">
        <v>1</v>
      </c>
    </row>
    <row r="14" spans="1:7" ht="30">
      <c r="A14" s="25" t="s">
        <v>28</v>
      </c>
      <c r="B14" s="114" t="s">
        <v>29</v>
      </c>
      <c r="C14" s="15">
        <v>1</v>
      </c>
      <c r="D14" s="14" t="s">
        <v>10</v>
      </c>
      <c r="F14" s="99" t="s">
        <v>30</v>
      </c>
      <c r="G14" s="6">
        <v>7</v>
      </c>
    </row>
    <row r="15" spans="1:7" ht="30">
      <c r="A15" s="83" t="s">
        <v>12</v>
      </c>
      <c r="B15" s="115"/>
      <c r="C15" s="15">
        <v>1</v>
      </c>
      <c r="D15" s="14" t="s">
        <v>10</v>
      </c>
      <c r="F15" s="99" t="s">
        <v>31</v>
      </c>
      <c r="G15" s="6">
        <v>0</v>
      </c>
    </row>
    <row r="16" spans="1:7" ht="30">
      <c r="A16" s="83" t="s">
        <v>14</v>
      </c>
      <c r="B16" s="116"/>
      <c r="C16" s="15">
        <v>0</v>
      </c>
      <c r="D16" s="14" t="s">
        <v>10</v>
      </c>
      <c r="F16" s="99" t="s">
        <v>32</v>
      </c>
      <c r="G16" s="6">
        <v>0.04</v>
      </c>
    </row>
    <row r="17" spans="1:7" ht="60">
      <c r="A17" s="18" t="s">
        <v>33</v>
      </c>
      <c r="B17" s="16" t="s">
        <v>34</v>
      </c>
      <c r="C17" s="17">
        <v>0</v>
      </c>
      <c r="D17" s="18" t="s">
        <v>10</v>
      </c>
      <c r="F17" s="99" t="s">
        <v>35</v>
      </c>
      <c r="G17" s="6">
        <v>3.5</v>
      </c>
    </row>
    <row r="18" spans="1:7" ht="45">
      <c r="A18" s="26" t="s">
        <v>36</v>
      </c>
      <c r="B18" s="20" t="s">
        <v>37</v>
      </c>
      <c r="C18" s="21">
        <v>1</v>
      </c>
      <c r="D18" s="19" t="s">
        <v>10</v>
      </c>
      <c r="F18" s="100" t="s">
        <v>38</v>
      </c>
      <c r="G18" s="6">
        <v>1</v>
      </c>
    </row>
    <row r="19" spans="1:7" ht="45">
      <c r="A19" s="22" t="s">
        <v>39</v>
      </c>
      <c r="B19" s="30" t="s">
        <v>40</v>
      </c>
      <c r="C19" s="23">
        <v>0</v>
      </c>
      <c r="D19" s="22" t="s">
        <v>10</v>
      </c>
      <c r="F19" s="99" t="s">
        <v>41</v>
      </c>
      <c r="G19" s="6">
        <v>0</v>
      </c>
    </row>
    <row r="20" spans="1:7" ht="45">
      <c r="A20" s="31" t="s">
        <v>42</v>
      </c>
      <c r="B20" s="32" t="s">
        <v>43</v>
      </c>
      <c r="C20" s="33">
        <v>4300</v>
      </c>
      <c r="D20" s="31" t="s">
        <v>10</v>
      </c>
      <c r="F20" s="100" t="s">
        <v>44</v>
      </c>
      <c r="G20" s="6">
        <v>1</v>
      </c>
    </row>
    <row r="21" spans="1:7" ht="60">
      <c r="A21" s="27" t="s">
        <v>45</v>
      </c>
      <c r="B21" s="34" t="s">
        <v>46</v>
      </c>
      <c r="C21" s="28">
        <v>9</v>
      </c>
      <c r="D21" s="29" t="s">
        <v>10</v>
      </c>
    </row>
    <row r="22" spans="1:7">
      <c r="B22" s="2"/>
      <c r="C22" s="2"/>
    </row>
    <row r="23" spans="1:7">
      <c r="B23" s="2"/>
      <c r="C23" s="2"/>
    </row>
    <row r="24" spans="1:7">
      <c r="B24" s="2"/>
      <c r="C24" s="2"/>
    </row>
  </sheetData>
  <mergeCells count="4">
    <mergeCell ref="B5:B7"/>
    <mergeCell ref="B8:B10"/>
    <mergeCell ref="B11:B13"/>
    <mergeCell ref="B14: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54F9F-0D0E-4A21-AB96-C03A975189CE}">
  <dimension ref="A1:R36"/>
  <sheetViews>
    <sheetView showGridLines="0" tabSelected="1" zoomScale="75" zoomScaleNormal="75" workbookViewId="0">
      <selection activeCell="O5" sqref="O5"/>
    </sheetView>
  </sheetViews>
  <sheetFormatPr defaultColWidth="8.7109375" defaultRowHeight="15"/>
  <cols>
    <col min="1" max="1" width="22.42578125" customWidth="1"/>
    <col min="2" max="2" width="31.140625" bestFit="1" customWidth="1"/>
    <col min="3" max="3" width="11.140625" customWidth="1"/>
    <col min="4" max="4" width="11.85546875" customWidth="1"/>
    <col min="5" max="6" width="13.28515625" customWidth="1"/>
    <col min="7" max="7" width="15.7109375" bestFit="1" customWidth="1"/>
    <col min="9" max="9" width="22.42578125" customWidth="1"/>
    <col min="10" max="10" width="31.140625" bestFit="1" customWidth="1"/>
    <col min="11" max="11" width="11.140625" customWidth="1"/>
    <col min="12" max="12" width="11.85546875" customWidth="1"/>
    <col min="13" max="14" width="13.28515625" customWidth="1"/>
    <col min="15" max="15" width="15.7109375" bestFit="1" customWidth="1"/>
  </cols>
  <sheetData>
    <row r="1" spans="1:15" ht="18.75">
      <c r="A1" s="1" t="s">
        <v>47</v>
      </c>
      <c r="I1" s="1"/>
    </row>
    <row r="2" spans="1:15" ht="18.75">
      <c r="A2" s="1"/>
      <c r="I2" s="1"/>
    </row>
    <row r="3" spans="1:15">
      <c r="A3" s="37" t="s">
        <v>48</v>
      </c>
      <c r="I3" s="37" t="s">
        <v>49</v>
      </c>
    </row>
    <row r="5" spans="1:15" ht="42" customHeight="1">
      <c r="A5" s="38" t="s">
        <v>50</v>
      </c>
      <c r="B5" s="38" t="s">
        <v>51</v>
      </c>
      <c r="C5" s="38" t="s">
        <v>52</v>
      </c>
      <c r="D5" s="38" t="s">
        <v>53</v>
      </c>
      <c r="E5" s="38" t="s">
        <v>54</v>
      </c>
      <c r="F5" s="38" t="s">
        <v>55</v>
      </c>
      <c r="G5" s="38" t="s">
        <v>56</v>
      </c>
      <c r="I5" s="38" t="s">
        <v>50</v>
      </c>
      <c r="J5" s="38" t="s">
        <v>51</v>
      </c>
      <c r="K5" s="38" t="s">
        <v>52</v>
      </c>
      <c r="L5" s="38" t="s">
        <v>53</v>
      </c>
      <c r="M5" s="38" t="s">
        <v>54</v>
      </c>
      <c r="N5" s="38" t="s">
        <v>55</v>
      </c>
      <c r="O5" s="38" t="s">
        <v>56</v>
      </c>
    </row>
    <row r="6" spans="1:15">
      <c r="A6" s="39" t="s">
        <v>57</v>
      </c>
      <c r="B6" s="39" t="s">
        <v>58</v>
      </c>
      <c r="C6" s="39" t="s">
        <v>59</v>
      </c>
      <c r="D6" s="39" t="s">
        <v>60</v>
      </c>
      <c r="E6" s="39" t="s">
        <v>61</v>
      </c>
      <c r="F6" s="39" t="s">
        <v>62</v>
      </c>
      <c r="G6" s="39" t="s">
        <v>63</v>
      </c>
      <c r="I6" s="39" t="s">
        <v>57</v>
      </c>
      <c r="J6" s="39" t="s">
        <v>58</v>
      </c>
      <c r="K6" s="39" t="s">
        <v>59</v>
      </c>
      <c r="L6" s="39" t="s">
        <v>60</v>
      </c>
      <c r="M6" s="39" t="s">
        <v>61</v>
      </c>
      <c r="N6" s="39" t="s">
        <v>62</v>
      </c>
      <c r="O6" s="39" t="s">
        <v>63</v>
      </c>
    </row>
    <row r="7" spans="1:15">
      <c r="A7" s="40" t="s">
        <v>64</v>
      </c>
      <c r="B7" s="40" t="s">
        <v>65</v>
      </c>
      <c r="C7" s="41">
        <v>93.72</v>
      </c>
      <c r="D7" s="42">
        <f>ROUND(146.4/140.1,3)</f>
        <v>1.0449999999999999</v>
      </c>
      <c r="E7" s="42">
        <f>ROUND(10.76/36.64,3)+1</f>
        <v>1.294</v>
      </c>
      <c r="F7" s="42">
        <v>1.3360000000000001</v>
      </c>
      <c r="G7" s="41">
        <f>ROUND(C7*D7*E7*F7,2)</f>
        <v>169.31</v>
      </c>
      <c r="I7" s="40" t="s">
        <v>64</v>
      </c>
      <c r="J7" s="40" t="s">
        <v>65</v>
      </c>
      <c r="K7" s="41">
        <v>66</v>
      </c>
      <c r="L7" s="42">
        <f>ROUND(147.6/142.9,3)</f>
        <v>1.0329999999999999</v>
      </c>
      <c r="M7" s="42">
        <f>ROUND(20.5/53.59,3)+1</f>
        <v>1.383</v>
      </c>
      <c r="N7" s="42">
        <v>1.3360000000000001</v>
      </c>
      <c r="O7" s="41">
        <f>ROUND(K7*L7*M7*N7,2)</f>
        <v>125.97</v>
      </c>
    </row>
    <row r="8" spans="1:15">
      <c r="A8" s="40" t="s">
        <v>66</v>
      </c>
      <c r="B8" s="40" t="s">
        <v>67</v>
      </c>
      <c r="C8" s="41">
        <v>63.9</v>
      </c>
      <c r="D8" s="42">
        <f t="shared" ref="D8:D10" si="0">ROUND(146.4/140.1,3)</f>
        <v>1.0449999999999999</v>
      </c>
      <c r="E8" s="42">
        <f t="shared" ref="E8:E10" si="1">ROUND(10.76/36.64,3)+1</f>
        <v>1.294</v>
      </c>
      <c r="F8" s="42">
        <v>1.3360000000000001</v>
      </c>
      <c r="G8" s="41">
        <f t="shared" ref="G8:G10" si="2">ROUND(C8*D8*E8*F8,2)</f>
        <v>115.44</v>
      </c>
      <c r="I8" s="40" t="s">
        <v>66</v>
      </c>
      <c r="J8" s="40" t="s">
        <v>67</v>
      </c>
      <c r="K8" s="41">
        <v>65.44</v>
      </c>
      <c r="L8" s="42">
        <f t="shared" ref="L8:L10" si="3">ROUND(147.6/142.9,3)</f>
        <v>1.0329999999999999</v>
      </c>
      <c r="M8" s="42">
        <f t="shared" ref="M8:M10" si="4">ROUND(20.5/53.59,3)+1</f>
        <v>1.383</v>
      </c>
      <c r="N8" s="42">
        <v>1.3360000000000001</v>
      </c>
      <c r="O8" s="41">
        <f t="shared" ref="O8:O10" si="5">ROUND(K8*L8*M8*N8,2)</f>
        <v>124.9</v>
      </c>
    </row>
    <row r="9" spans="1:15">
      <c r="A9" s="40" t="s">
        <v>68</v>
      </c>
      <c r="B9" s="40" t="s">
        <v>69</v>
      </c>
      <c r="C9" s="41">
        <v>54.44</v>
      </c>
      <c r="D9" s="42">
        <f t="shared" si="0"/>
        <v>1.0449999999999999</v>
      </c>
      <c r="E9" s="42">
        <f t="shared" si="1"/>
        <v>1.294</v>
      </c>
      <c r="F9" s="42">
        <v>1.3360000000000001</v>
      </c>
      <c r="G9" s="41">
        <f t="shared" si="2"/>
        <v>98.35</v>
      </c>
      <c r="I9" s="40" t="s">
        <v>68</v>
      </c>
      <c r="J9" s="40" t="s">
        <v>69</v>
      </c>
      <c r="K9" s="41">
        <v>50.59</v>
      </c>
      <c r="L9" s="42">
        <f t="shared" si="3"/>
        <v>1.0329999999999999</v>
      </c>
      <c r="M9" s="42">
        <f t="shared" si="4"/>
        <v>1.383</v>
      </c>
      <c r="N9" s="42">
        <v>1.3360000000000001</v>
      </c>
      <c r="O9" s="41">
        <f t="shared" si="5"/>
        <v>96.56</v>
      </c>
    </row>
    <row r="10" spans="1:15">
      <c r="A10" s="40" t="s">
        <v>70</v>
      </c>
      <c r="B10" s="40" t="s">
        <v>71</v>
      </c>
      <c r="C10" s="41">
        <v>21.83</v>
      </c>
      <c r="D10" s="42">
        <f t="shared" si="0"/>
        <v>1.0449999999999999</v>
      </c>
      <c r="E10" s="42">
        <f t="shared" si="1"/>
        <v>1.294</v>
      </c>
      <c r="F10" s="42">
        <v>1.3360000000000001</v>
      </c>
      <c r="G10" s="41">
        <f t="shared" si="2"/>
        <v>39.44</v>
      </c>
      <c r="I10" s="40" t="s">
        <v>70</v>
      </c>
      <c r="J10" s="40" t="s">
        <v>71</v>
      </c>
      <c r="K10" s="41">
        <v>23.17</v>
      </c>
      <c r="L10" s="42">
        <f t="shared" si="3"/>
        <v>1.0329999999999999</v>
      </c>
      <c r="M10" s="42">
        <f t="shared" si="4"/>
        <v>1.383</v>
      </c>
      <c r="N10" s="42">
        <v>1.3360000000000001</v>
      </c>
      <c r="O10" s="41">
        <f t="shared" si="5"/>
        <v>44.22</v>
      </c>
    </row>
    <row r="11" spans="1:15" ht="26.1" customHeight="1">
      <c r="A11" s="121" t="s">
        <v>72</v>
      </c>
      <c r="B11" s="121"/>
      <c r="C11" s="121"/>
      <c r="D11" s="121"/>
      <c r="E11" s="121"/>
      <c r="F11" s="121"/>
      <c r="G11" s="121"/>
      <c r="I11" s="121" t="s">
        <v>73</v>
      </c>
      <c r="J11" s="121"/>
      <c r="K11" s="121"/>
      <c r="L11" s="121"/>
      <c r="M11" s="121"/>
      <c r="N11" s="121"/>
      <c r="O11" s="121"/>
    </row>
    <row r="12" spans="1:15" ht="39" customHeight="1">
      <c r="A12" s="122" t="s">
        <v>74</v>
      </c>
      <c r="B12" s="122"/>
      <c r="C12" s="122"/>
      <c r="D12" s="122"/>
      <c r="E12" s="122"/>
      <c r="F12" s="122"/>
      <c r="G12" s="122"/>
      <c r="I12" s="122" t="s">
        <v>75</v>
      </c>
      <c r="J12" s="122"/>
      <c r="K12" s="122"/>
      <c r="L12" s="122"/>
      <c r="M12" s="122"/>
      <c r="N12" s="122"/>
      <c r="O12" s="122"/>
    </row>
    <row r="13" spans="1:15" ht="33" customHeight="1">
      <c r="A13" s="122" t="s">
        <v>76</v>
      </c>
      <c r="B13" s="122"/>
      <c r="C13" s="122"/>
      <c r="D13" s="122"/>
      <c r="E13" s="122"/>
      <c r="F13" s="122"/>
      <c r="G13" s="122"/>
      <c r="I13" s="122" t="s">
        <v>77</v>
      </c>
      <c r="J13" s="122"/>
      <c r="K13" s="122"/>
      <c r="L13" s="122"/>
      <c r="M13" s="122"/>
      <c r="N13" s="122"/>
      <c r="O13" s="122"/>
    </row>
    <row r="14" spans="1:15">
      <c r="A14" s="123" t="s">
        <v>78</v>
      </c>
      <c r="B14" s="123"/>
      <c r="C14" s="123"/>
      <c r="D14" s="123"/>
      <c r="E14" s="123"/>
      <c r="F14" s="123"/>
      <c r="G14" s="123"/>
      <c r="I14" s="123" t="s">
        <v>78</v>
      </c>
      <c r="J14" s="123"/>
      <c r="K14" s="123"/>
      <c r="L14" s="123"/>
      <c r="M14" s="123"/>
      <c r="N14" s="123"/>
      <c r="O14" s="123"/>
    </row>
    <row r="17" spans="1:18" ht="18.75">
      <c r="A17" s="1" t="s">
        <v>79</v>
      </c>
    </row>
    <row r="19" spans="1:18">
      <c r="A19" s="104" t="s">
        <v>80</v>
      </c>
      <c r="B19" s="104" t="s">
        <v>81</v>
      </c>
      <c r="C19" s="118" t="s">
        <v>82</v>
      </c>
      <c r="D19" s="118"/>
      <c r="E19" s="118"/>
      <c r="F19" s="118"/>
      <c r="G19" s="118"/>
    </row>
    <row r="20" spans="1:18">
      <c r="A20" s="43" t="s">
        <v>83</v>
      </c>
      <c r="B20" s="44"/>
      <c r="C20" s="119"/>
      <c r="D20" s="119"/>
      <c r="E20" s="119"/>
      <c r="F20" s="119"/>
      <c r="G20" s="119"/>
    </row>
    <row r="21" spans="1:18" s="47" customFormat="1" ht="36" customHeight="1">
      <c r="A21" s="45" t="s">
        <v>84</v>
      </c>
      <c r="B21" s="46">
        <v>0.74</v>
      </c>
      <c r="C21" s="120" t="s">
        <v>85</v>
      </c>
      <c r="D21" s="120"/>
      <c r="E21" s="120"/>
      <c r="F21" s="120"/>
      <c r="G21" s="120"/>
      <c r="I21"/>
      <c r="J21"/>
      <c r="K21"/>
      <c r="L21"/>
      <c r="M21"/>
      <c r="N21"/>
      <c r="O21"/>
      <c r="P21"/>
      <c r="Q21"/>
      <c r="R21"/>
    </row>
    <row r="22" spans="1:18" s="47" customFormat="1" ht="41.45" customHeight="1">
      <c r="A22" s="45" t="s">
        <v>86</v>
      </c>
      <c r="B22" s="46">
        <v>5.3</v>
      </c>
      <c r="C22" s="120" t="s">
        <v>85</v>
      </c>
      <c r="D22" s="120"/>
      <c r="E22" s="120"/>
      <c r="F22" s="120"/>
      <c r="G22" s="120"/>
      <c r="I22"/>
      <c r="J22"/>
      <c r="K22"/>
      <c r="L22"/>
      <c r="M22"/>
      <c r="N22"/>
      <c r="O22"/>
      <c r="P22"/>
      <c r="Q22"/>
      <c r="R22"/>
    </row>
    <row r="23" spans="1:18" s="47" customFormat="1" ht="42.95" customHeight="1">
      <c r="A23" s="48" t="s">
        <v>87</v>
      </c>
      <c r="B23" s="49">
        <v>19.7</v>
      </c>
      <c r="C23" s="124" t="s">
        <v>85</v>
      </c>
      <c r="D23" s="124"/>
      <c r="E23" s="124"/>
      <c r="F23" s="124"/>
      <c r="G23" s="124"/>
      <c r="I23"/>
      <c r="J23"/>
      <c r="K23"/>
      <c r="L23"/>
      <c r="M23"/>
      <c r="N23"/>
      <c r="O23"/>
      <c r="P23"/>
      <c r="Q23"/>
      <c r="R23"/>
    </row>
    <row r="24" spans="1:18" ht="81.599999999999994" customHeight="1">
      <c r="A24" s="50" t="s">
        <v>88</v>
      </c>
      <c r="B24" s="51">
        <f>ROUND(369*ROUND(276.589/250.546,3),0)</f>
        <v>407</v>
      </c>
      <c r="C24" s="125" t="s">
        <v>89</v>
      </c>
      <c r="D24" s="125"/>
      <c r="E24" s="125"/>
      <c r="F24" s="125"/>
      <c r="G24" s="125"/>
    </row>
    <row r="25" spans="1:18" ht="80.45" customHeight="1">
      <c r="A25" s="50" t="s">
        <v>90</v>
      </c>
      <c r="B25" s="52">
        <f>ROUND(0.13*ROUND(276.589/250.546,3),2)</f>
        <v>0.14000000000000001</v>
      </c>
      <c r="C25" s="117" t="s">
        <v>91</v>
      </c>
      <c r="D25" s="117"/>
      <c r="E25" s="117"/>
      <c r="F25" s="117"/>
      <c r="G25" s="117"/>
    </row>
    <row r="26" spans="1:18" ht="82.5" customHeight="1">
      <c r="A26" s="50" t="s">
        <v>92</v>
      </c>
      <c r="B26" s="52">
        <f>ROUND(6.62*ROUND(276.589/250.546,3),2)</f>
        <v>7.31</v>
      </c>
      <c r="C26" s="117" t="s">
        <v>93</v>
      </c>
      <c r="D26" s="117"/>
      <c r="E26" s="117"/>
      <c r="F26" s="117"/>
      <c r="G26" s="117"/>
    </row>
    <row r="27" spans="1:18" ht="82.5" customHeight="1">
      <c r="A27" s="50" t="s">
        <v>94</v>
      </c>
      <c r="B27" s="52">
        <f>ROUND(31.2*ROUND(276.589/250.546,3),2)</f>
        <v>34.44</v>
      </c>
      <c r="C27" s="117" t="s">
        <v>95</v>
      </c>
      <c r="D27" s="117"/>
      <c r="E27" s="117"/>
      <c r="F27" s="117"/>
      <c r="G27" s="117"/>
    </row>
    <row r="28" spans="1:18" ht="82.5" customHeight="1">
      <c r="A28" s="50" t="s">
        <v>96</v>
      </c>
      <c r="B28" s="52">
        <f>ROUND(31.11*ROUND(276.589/250.546,3),2)</f>
        <v>34.35</v>
      </c>
      <c r="C28" s="117" t="s">
        <v>97</v>
      </c>
      <c r="D28" s="117"/>
      <c r="E28" s="117"/>
      <c r="F28" s="117"/>
      <c r="G28" s="117"/>
    </row>
    <row r="29" spans="1:18" ht="82.5" customHeight="1">
      <c r="A29" s="50" t="s">
        <v>98</v>
      </c>
      <c r="B29" s="52">
        <f>ROUND(15.56*ROUND(276.589/250.546,3),2)</f>
        <v>17.18</v>
      </c>
      <c r="C29" s="117" t="s">
        <v>99</v>
      </c>
      <c r="D29" s="117"/>
      <c r="E29" s="117"/>
      <c r="F29" s="117"/>
      <c r="G29" s="117"/>
    </row>
    <row r="30" spans="1:18" ht="82.5" customHeight="1">
      <c r="A30" s="50" t="s">
        <v>100</v>
      </c>
      <c r="B30" s="51">
        <f>ROUND(4217*ROUND(276.589/250.546,3),0)</f>
        <v>4656</v>
      </c>
      <c r="C30" s="117" t="s">
        <v>101</v>
      </c>
      <c r="D30" s="117"/>
      <c r="E30" s="117"/>
      <c r="F30" s="117"/>
      <c r="G30" s="117"/>
    </row>
    <row r="31" spans="1:18" ht="82.5" customHeight="1">
      <c r="A31" s="50" t="s">
        <v>102</v>
      </c>
      <c r="B31" s="51">
        <f>ROUND(780*ROUND(276.589/250.546,3),0)</f>
        <v>861</v>
      </c>
      <c r="C31" s="117" t="s">
        <v>103</v>
      </c>
      <c r="D31" s="117"/>
      <c r="E31" s="117"/>
      <c r="F31" s="117"/>
      <c r="G31" s="117"/>
    </row>
    <row r="32" spans="1:18" ht="82.5" customHeight="1">
      <c r="A32" s="50" t="s">
        <v>104</v>
      </c>
      <c r="B32" s="51">
        <f>ROUND(3900*ROUND(276.589/250.546,3),0)</f>
        <v>4306</v>
      </c>
      <c r="C32" s="117" t="s">
        <v>105</v>
      </c>
      <c r="D32" s="117"/>
      <c r="E32" s="117"/>
      <c r="F32" s="117"/>
      <c r="G32" s="117"/>
    </row>
    <row r="33" spans="1:7">
      <c r="A33" s="81"/>
      <c r="B33" s="81"/>
      <c r="C33" s="81"/>
      <c r="D33" s="81"/>
      <c r="E33" s="81"/>
      <c r="F33" s="81"/>
      <c r="G33" s="81"/>
    </row>
    <row r="34" spans="1:7">
      <c r="A34" s="81"/>
      <c r="B34" s="81"/>
      <c r="C34" s="81"/>
      <c r="D34" s="81"/>
      <c r="E34" s="81"/>
      <c r="F34" s="81"/>
      <c r="G34" s="81"/>
    </row>
    <row r="35" spans="1:7">
      <c r="A35" s="81"/>
      <c r="B35" s="81"/>
      <c r="C35" s="81"/>
      <c r="D35" s="81"/>
      <c r="E35" s="81"/>
      <c r="F35" s="81"/>
      <c r="G35" s="81"/>
    </row>
    <row r="36" spans="1:7">
      <c r="A36" s="81"/>
      <c r="B36" s="81"/>
      <c r="C36" s="81"/>
      <c r="D36" s="81"/>
      <c r="E36" s="81"/>
      <c r="F36" s="81"/>
      <c r="G36" s="81"/>
    </row>
  </sheetData>
  <mergeCells count="22">
    <mergeCell ref="I11:O11"/>
    <mergeCell ref="I12:O12"/>
    <mergeCell ref="I13:O13"/>
    <mergeCell ref="I14:O14"/>
    <mergeCell ref="C28:G28"/>
    <mergeCell ref="A12:G12"/>
    <mergeCell ref="A13:G13"/>
    <mergeCell ref="A11:G11"/>
    <mergeCell ref="A14:G14"/>
    <mergeCell ref="C22:G22"/>
    <mergeCell ref="C23:G23"/>
    <mergeCell ref="C24:G24"/>
    <mergeCell ref="C25:G25"/>
    <mergeCell ref="C26:G26"/>
    <mergeCell ref="C32:G32"/>
    <mergeCell ref="C27:G27"/>
    <mergeCell ref="C19:G19"/>
    <mergeCell ref="C20:G20"/>
    <mergeCell ref="C21:G21"/>
    <mergeCell ref="C31:G31"/>
    <mergeCell ref="C30:G30"/>
    <mergeCell ref="C29:G29"/>
  </mergeCells>
  <hyperlinks>
    <hyperlink ref="C21" r:id="rId1" location="_c191" xr:uid="{7EDBE48C-41E8-47D7-B450-D1A9E345EE42}"/>
    <hyperlink ref="C22" r:id="rId2" location="_c191" xr:uid="{1ED74F57-0644-436B-86D3-6709DD3EFFFC}"/>
    <hyperlink ref="C23" r:id="rId3" location="_c191" xr:uid="{394403E6-6324-4270-B509-758A43364AEB}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7769-3B9E-4C11-9DF7-6A894147E7F7}">
  <dimension ref="A1:L189"/>
  <sheetViews>
    <sheetView showGridLines="0" topLeftCell="A169" zoomScale="75" zoomScaleNormal="75" workbookViewId="0">
      <selection activeCell="A197" sqref="A197"/>
    </sheetView>
  </sheetViews>
  <sheetFormatPr defaultColWidth="8.7109375" defaultRowHeight="12"/>
  <cols>
    <col min="1" max="1" width="53.28515625" style="63" customWidth="1"/>
    <col min="2" max="2" width="12.140625" style="55" customWidth="1"/>
    <col min="3" max="4" width="12.5703125" style="55" customWidth="1"/>
    <col min="5" max="5" width="13.85546875" style="55" customWidth="1"/>
    <col min="6" max="6" width="13.5703125" style="55" customWidth="1"/>
    <col min="7" max="7" width="15.5703125" style="56" customWidth="1"/>
    <col min="8" max="8" width="16.85546875" style="56" customWidth="1"/>
    <col min="9" max="9" width="16.42578125" style="57" customWidth="1"/>
    <col min="10" max="10" width="16" style="57" customWidth="1"/>
    <col min="11" max="11" width="12.85546875" style="86" customWidth="1"/>
    <col min="12" max="12" width="17.140625" style="90" customWidth="1"/>
    <col min="13" max="13" width="8.7109375" style="66"/>
    <col min="14" max="14" width="11.5703125" style="66" customWidth="1"/>
    <col min="15" max="15" width="15.85546875" style="66" customWidth="1"/>
    <col min="16" max="16384" width="8.7109375" style="66"/>
  </cols>
  <sheetData>
    <row r="1" spans="1:12" ht="11.1" customHeight="1">
      <c r="A1" s="79" t="s">
        <v>106</v>
      </c>
    </row>
    <row r="2" spans="1:12" ht="11.1" customHeight="1">
      <c r="A2" s="79" t="s">
        <v>107</v>
      </c>
    </row>
    <row r="3" spans="1:12" ht="11.1" customHeight="1">
      <c r="I3" s="58"/>
    </row>
    <row r="4" spans="1:12" ht="11.1" customHeight="1">
      <c r="B4" s="128" t="s">
        <v>108</v>
      </c>
      <c r="C4" s="128"/>
      <c r="D4" s="128"/>
      <c r="E4" s="128"/>
      <c r="F4" s="71"/>
      <c r="G4" s="72"/>
      <c r="H4" s="73"/>
      <c r="I4" s="74"/>
      <c r="J4" s="74"/>
      <c r="K4" s="87"/>
      <c r="L4" s="91"/>
    </row>
    <row r="5" spans="1:12" ht="11.1" customHeight="1">
      <c r="A5" s="62" t="s">
        <v>109</v>
      </c>
      <c r="B5" s="75" t="s">
        <v>110</v>
      </c>
      <c r="C5" s="75" t="s">
        <v>111</v>
      </c>
      <c r="D5" s="75" t="s">
        <v>112</v>
      </c>
      <c r="E5" s="75" t="s">
        <v>113</v>
      </c>
      <c r="F5" s="75" t="s">
        <v>114</v>
      </c>
      <c r="G5" s="73" t="s">
        <v>115</v>
      </c>
      <c r="H5" s="73" t="s">
        <v>116</v>
      </c>
      <c r="I5" s="73" t="s">
        <v>117</v>
      </c>
      <c r="J5" s="76" t="s">
        <v>118</v>
      </c>
      <c r="K5" s="88" t="s">
        <v>119</v>
      </c>
      <c r="L5" s="92" t="s">
        <v>120</v>
      </c>
    </row>
    <row r="6" spans="1:12" ht="11.1" customHeight="1">
      <c r="B6" s="77" t="str">
        <f>"@ $"&amp;FIXED('Labor Rates and O&amp;M Costs'!$G$7,2,TRUE)&amp;"/hr"</f>
        <v>@ $169.31/hr</v>
      </c>
      <c r="C6" s="77" t="str">
        <f>"@ $"&amp;FIXED('Labor Rates and O&amp;M Costs'!$G$8,2,TRUE)&amp;"/hr"</f>
        <v>@ $115.44/hr</v>
      </c>
      <c r="D6" s="77" t="str">
        <f>"@ $"&amp;FIXED('Labor Rates and O&amp;M Costs'!$G$9,2,TRUE)&amp;"/hr"</f>
        <v>@ $98.35/hr</v>
      </c>
      <c r="E6" s="77" t="str">
        <f>"@ $"&amp;FIXED('Labor Rates and O&amp;M Costs'!$G$10,2,TRUE)&amp;"/hr"</f>
        <v>@ $39.44/hr</v>
      </c>
      <c r="F6" s="75" t="s">
        <v>121</v>
      </c>
      <c r="G6" s="78" t="s">
        <v>121</v>
      </c>
      <c r="H6" s="78" t="s">
        <v>121</v>
      </c>
      <c r="I6" s="78" t="s">
        <v>121</v>
      </c>
      <c r="J6" s="76" t="s">
        <v>122</v>
      </c>
      <c r="K6" s="88" t="s">
        <v>123</v>
      </c>
      <c r="L6" s="92" t="s">
        <v>123</v>
      </c>
    </row>
    <row r="7" spans="1:12" ht="14.1" customHeight="1">
      <c r="A7" s="135" t="s">
        <v>124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/>
    </row>
    <row r="8" spans="1:12" ht="14.1" customHeight="1">
      <c r="A8" s="138" t="s">
        <v>125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40"/>
    </row>
    <row r="9" spans="1:12" s="3" customFormat="1" ht="14.1" customHeight="1">
      <c r="A9" s="141" t="s">
        <v>14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1:12" s="3" customFormat="1" ht="14.1" customHeight="1">
      <c r="A10" s="129" t="s">
        <v>126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s="3" customFormat="1" ht="15">
      <c r="A11" s="64" t="s">
        <v>127</v>
      </c>
      <c r="B11" s="36">
        <v>0</v>
      </c>
      <c r="C11" s="36">
        <v>0</v>
      </c>
      <c r="D11" s="36">
        <v>0.5</v>
      </c>
      <c r="E11" s="36">
        <v>0</v>
      </c>
      <c r="F11" s="36">
        <f>SUM(B11:E11)</f>
        <v>0.5</v>
      </c>
      <c r="G11" s="35">
        <f>(B11*'Labor Rates and O&amp;M Costs'!$G$7)+(C11*'Labor Rates and O&amp;M Costs'!$G$8)+(D11*'Labor Rates and O&amp;M Costs'!$G$9)+(E11*'Labor Rates and O&amp;M Costs'!$G$10)</f>
        <v>49.174999999999997</v>
      </c>
      <c r="H11" s="35">
        <v>0</v>
      </c>
      <c r="I11" s="35">
        <v>0</v>
      </c>
      <c r="J11" s="36">
        <f>'Respondents Univ_Assumptions'!C7</f>
        <v>26</v>
      </c>
      <c r="K11" s="85">
        <f>ROUND(F11*J11,2)</f>
        <v>13</v>
      </c>
      <c r="L11" s="93">
        <f>ROUND((G11+H11+I11)*J11,2)</f>
        <v>1278.55</v>
      </c>
    </row>
    <row r="12" spans="1:12" s="3" customFormat="1" ht="15">
      <c r="A12" s="64" t="s">
        <v>128</v>
      </c>
      <c r="B12" s="36">
        <v>0</v>
      </c>
      <c r="C12" s="36">
        <v>0</v>
      </c>
      <c r="D12" s="36">
        <v>0</v>
      </c>
      <c r="E12" s="36">
        <v>0.1</v>
      </c>
      <c r="F12" s="36">
        <f>SUM(B12:E12)</f>
        <v>0.1</v>
      </c>
      <c r="G12" s="35">
        <f>(B12*'Labor Rates and O&amp;M Costs'!$G$7)+(C12*'Labor Rates and O&amp;M Costs'!$G$8)+(D12*'Labor Rates and O&amp;M Costs'!$G$9)+(E12*'Labor Rates and O&amp;M Costs'!$G$10)</f>
        <v>3.944</v>
      </c>
      <c r="H12" s="35">
        <v>0</v>
      </c>
      <c r="I12" s="35">
        <v>0</v>
      </c>
      <c r="J12" s="36">
        <f>J11</f>
        <v>26</v>
      </c>
      <c r="K12" s="85">
        <f>ROUND(F12*J12,2)</f>
        <v>2.6</v>
      </c>
      <c r="L12" s="93">
        <f>ROUND((G12+H12+I12)*J12,2)</f>
        <v>102.54</v>
      </c>
    </row>
    <row r="13" spans="1:12" s="3" customFormat="1" ht="14.1" customHeight="1">
      <c r="A13" s="129" t="s">
        <v>129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 s="3" customFormat="1" ht="15">
      <c r="A14" s="64" t="s">
        <v>130</v>
      </c>
      <c r="B14" s="36">
        <v>0</v>
      </c>
      <c r="C14" s="36">
        <v>0</v>
      </c>
      <c r="D14" s="36">
        <v>0.5</v>
      </c>
      <c r="E14" s="36">
        <v>0</v>
      </c>
      <c r="F14" s="36">
        <f>SUM(B14:E14)</f>
        <v>0.5</v>
      </c>
      <c r="G14" s="35">
        <f>(B14*'Labor Rates and O&amp;M Costs'!$G$7)+(C14*'Labor Rates and O&amp;M Costs'!$G$8)+(D14*'Labor Rates and O&amp;M Costs'!$G$9)+(E14*'Labor Rates and O&amp;M Costs'!$G$10)</f>
        <v>49.174999999999997</v>
      </c>
      <c r="H14" s="35">
        <v>0</v>
      </c>
      <c r="I14" s="35">
        <v>0</v>
      </c>
      <c r="J14" s="36">
        <f>ROUND($J$11*'Respondents Univ_Assumptions'!$G$5,0)</f>
        <v>0</v>
      </c>
      <c r="K14" s="85">
        <f t="shared" ref="K14:K17" si="0">ROUND(F14*J14,2)</f>
        <v>0</v>
      </c>
      <c r="L14" s="93">
        <f t="shared" ref="L14:L17" si="1">ROUND((G14+H14+I14)*J14,2)</f>
        <v>0</v>
      </c>
    </row>
    <row r="15" spans="1:12" s="3" customFormat="1" ht="15">
      <c r="A15" s="64" t="s">
        <v>131</v>
      </c>
      <c r="B15" s="36">
        <v>0</v>
      </c>
      <c r="C15" s="36">
        <v>0</v>
      </c>
      <c r="D15" s="36">
        <v>0.5</v>
      </c>
      <c r="E15" s="36">
        <v>0</v>
      </c>
      <c r="F15" s="36">
        <f t="shared" ref="F15:F17" si="2">SUM(B15:E15)</f>
        <v>0.5</v>
      </c>
      <c r="G15" s="35">
        <f>(B15*'Labor Rates and O&amp;M Costs'!$G$7)+(C15*'Labor Rates and O&amp;M Costs'!$G$8)+(D15*'Labor Rates and O&amp;M Costs'!$G$9)+(E15*'Labor Rates and O&amp;M Costs'!$G$10)</f>
        <v>49.174999999999997</v>
      </c>
      <c r="H15" s="35">
        <v>0</v>
      </c>
      <c r="I15" s="35">
        <f>'Labor Rates and O&amp;M Costs'!B26</f>
        <v>7.31</v>
      </c>
      <c r="J15" s="36">
        <f>$J$14</f>
        <v>0</v>
      </c>
      <c r="K15" s="85">
        <f t="shared" si="0"/>
        <v>0</v>
      </c>
      <c r="L15" s="93">
        <f t="shared" si="1"/>
        <v>0</v>
      </c>
    </row>
    <row r="16" spans="1:12" s="3" customFormat="1" ht="25.5">
      <c r="A16" s="64" t="s">
        <v>132</v>
      </c>
      <c r="B16" s="36">
        <v>0</v>
      </c>
      <c r="C16" s="36">
        <v>0</v>
      </c>
      <c r="D16" s="36">
        <v>0.1</v>
      </c>
      <c r="E16" s="36">
        <v>0</v>
      </c>
      <c r="F16" s="36">
        <f t="shared" si="2"/>
        <v>0.1</v>
      </c>
      <c r="G16" s="35">
        <f>(B16*'Labor Rates and O&amp;M Costs'!$G$7)+(C16*'Labor Rates and O&amp;M Costs'!$G$8)+(D16*'Labor Rates and O&amp;M Costs'!$G$9)+(E16*'Labor Rates and O&amp;M Costs'!$G$10)</f>
        <v>9.8350000000000009</v>
      </c>
      <c r="H16" s="35">
        <v>0</v>
      </c>
      <c r="I16" s="35">
        <v>0</v>
      </c>
      <c r="J16" s="36">
        <f>$J$14</f>
        <v>0</v>
      </c>
      <c r="K16" s="85">
        <f t="shared" si="0"/>
        <v>0</v>
      </c>
      <c r="L16" s="93">
        <f t="shared" si="1"/>
        <v>0</v>
      </c>
    </row>
    <row r="17" spans="1:12" s="3" customFormat="1" ht="15">
      <c r="A17" s="64" t="s">
        <v>133</v>
      </c>
      <c r="B17" s="36">
        <v>0</v>
      </c>
      <c r="C17" s="36">
        <v>0</v>
      </c>
      <c r="D17" s="36">
        <v>0</v>
      </c>
      <c r="E17" s="36">
        <v>0.1</v>
      </c>
      <c r="F17" s="36">
        <f t="shared" si="2"/>
        <v>0.1</v>
      </c>
      <c r="G17" s="35">
        <f>(B17*'Labor Rates and O&amp;M Costs'!$G$7)+(C17*'Labor Rates and O&amp;M Costs'!$G$8)+(D17*'Labor Rates and O&amp;M Costs'!$G$9)+(E17*'Labor Rates and O&amp;M Costs'!$G$10)</f>
        <v>3.944</v>
      </c>
      <c r="H17" s="35">
        <v>0</v>
      </c>
      <c r="I17" s="35">
        <v>0</v>
      </c>
      <c r="J17" s="36">
        <f>$J$14</f>
        <v>0</v>
      </c>
      <c r="K17" s="85">
        <f t="shared" si="0"/>
        <v>0</v>
      </c>
      <c r="L17" s="93">
        <f t="shared" si="1"/>
        <v>0</v>
      </c>
    </row>
    <row r="18" spans="1:12" s="3" customFormat="1" ht="14.1" customHeight="1">
      <c r="A18" s="141" t="s">
        <v>12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3"/>
    </row>
    <row r="19" spans="1:12" s="3" customFormat="1" ht="14.1" customHeight="1">
      <c r="A19" s="129" t="s">
        <v>134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s="3" customFormat="1" ht="15">
      <c r="A20" s="64" t="s">
        <v>135</v>
      </c>
      <c r="B20" s="36">
        <v>0</v>
      </c>
      <c r="C20" s="36">
        <v>0</v>
      </c>
      <c r="D20" s="36">
        <v>3.35</v>
      </c>
      <c r="E20" s="36">
        <v>1.65</v>
      </c>
      <c r="F20" s="36">
        <f t="shared" ref="F20:F25" si="3">SUM(B20:E20)</f>
        <v>5</v>
      </c>
      <c r="G20" s="35">
        <f>(B20*'Labor Rates and O&amp;M Costs'!$G$7)+(C20*'Labor Rates and O&amp;M Costs'!$G$8)+(D20*'Labor Rates and O&amp;M Costs'!$G$9)+(E20*'Labor Rates and O&amp;M Costs'!$G$10)</f>
        <v>394.54849999999999</v>
      </c>
      <c r="H20" s="35">
        <v>0</v>
      </c>
      <c r="I20" s="35">
        <v>0</v>
      </c>
      <c r="J20" s="36">
        <f>'Respondents Univ_Assumptions'!C6</f>
        <v>134</v>
      </c>
      <c r="K20" s="85">
        <f t="shared" ref="K20:K25" si="4">ROUND(F20*J20,2)</f>
        <v>670</v>
      </c>
      <c r="L20" s="93">
        <f t="shared" ref="L20:L25" si="5">ROUND((G20+H20+I20)*J20,2)</f>
        <v>52869.5</v>
      </c>
    </row>
    <row r="21" spans="1:12" s="3" customFormat="1" ht="15">
      <c r="A21" s="64" t="s">
        <v>136</v>
      </c>
      <c r="B21" s="36">
        <v>0</v>
      </c>
      <c r="C21" s="36">
        <v>0</v>
      </c>
      <c r="D21" s="36">
        <v>0</v>
      </c>
      <c r="E21" s="36">
        <v>0.5</v>
      </c>
      <c r="F21" s="36">
        <f t="shared" si="3"/>
        <v>0.5</v>
      </c>
      <c r="G21" s="35">
        <f>(B21*'Labor Rates and O&amp;M Costs'!$G$7)+(C21*'Labor Rates and O&amp;M Costs'!$G$8)+(D21*'Labor Rates and O&amp;M Costs'!$G$9)+(E21*'Labor Rates and O&amp;M Costs'!$G$10)</f>
        <v>19.72</v>
      </c>
      <c r="H21" s="35">
        <v>0</v>
      </c>
      <c r="I21" s="35">
        <v>0</v>
      </c>
      <c r="J21" s="36">
        <f>$J$20</f>
        <v>134</v>
      </c>
      <c r="K21" s="85">
        <f t="shared" si="4"/>
        <v>67</v>
      </c>
      <c r="L21" s="93">
        <f t="shared" si="5"/>
        <v>2642.48</v>
      </c>
    </row>
    <row r="22" spans="1:12" s="3" customFormat="1" ht="15">
      <c r="A22" s="64" t="s">
        <v>137</v>
      </c>
      <c r="B22" s="36">
        <v>0</v>
      </c>
      <c r="C22" s="36">
        <v>0</v>
      </c>
      <c r="D22" s="36">
        <v>7.5</v>
      </c>
      <c r="E22" s="36">
        <v>2.5</v>
      </c>
      <c r="F22" s="36">
        <f t="shared" si="3"/>
        <v>10</v>
      </c>
      <c r="G22" s="35">
        <f>(B22*'Labor Rates and O&amp;M Costs'!$G$7)+(C22*'Labor Rates and O&amp;M Costs'!$G$8)+(D22*'Labor Rates and O&amp;M Costs'!$G$9)+(E22*'Labor Rates and O&amp;M Costs'!$G$10)</f>
        <v>836.22500000000002</v>
      </c>
      <c r="H22" s="35">
        <v>0</v>
      </c>
      <c r="I22" s="35">
        <v>0</v>
      </c>
      <c r="J22" s="36">
        <f>$J$20</f>
        <v>134</v>
      </c>
      <c r="K22" s="85">
        <f t="shared" si="4"/>
        <v>1340</v>
      </c>
      <c r="L22" s="93">
        <f t="shared" si="5"/>
        <v>112054.15</v>
      </c>
    </row>
    <row r="23" spans="1:12" s="3" customFormat="1" ht="15">
      <c r="A23" s="64" t="s">
        <v>138</v>
      </c>
      <c r="B23" s="36">
        <v>0</v>
      </c>
      <c r="C23" s="36">
        <v>0</v>
      </c>
      <c r="D23" s="36">
        <v>0</v>
      </c>
      <c r="E23" s="36">
        <v>1</v>
      </c>
      <c r="F23" s="36">
        <f t="shared" si="3"/>
        <v>1</v>
      </c>
      <c r="G23" s="35">
        <f>(B23*'Labor Rates and O&amp;M Costs'!$G$7)+(C23*'Labor Rates and O&amp;M Costs'!$G$8)+(D23*'Labor Rates and O&amp;M Costs'!$G$9)+(E23*'Labor Rates and O&amp;M Costs'!$G$10)</f>
        <v>39.44</v>
      </c>
      <c r="H23" s="35">
        <v>0</v>
      </c>
      <c r="I23" s="35">
        <v>0</v>
      </c>
      <c r="J23" s="36">
        <f>$J$20</f>
        <v>134</v>
      </c>
      <c r="K23" s="85">
        <f t="shared" si="4"/>
        <v>134</v>
      </c>
      <c r="L23" s="93">
        <f t="shared" si="5"/>
        <v>5284.96</v>
      </c>
    </row>
    <row r="24" spans="1:12" s="3" customFormat="1" ht="15">
      <c r="A24" s="64" t="s">
        <v>139</v>
      </c>
      <c r="B24" s="36">
        <v>0</v>
      </c>
      <c r="C24" s="36">
        <v>0</v>
      </c>
      <c r="D24" s="36">
        <v>0</v>
      </c>
      <c r="E24" s="36">
        <v>0.5</v>
      </c>
      <c r="F24" s="36">
        <f t="shared" si="3"/>
        <v>0.5</v>
      </c>
      <c r="G24" s="35">
        <f>(B24*'Labor Rates and O&amp;M Costs'!$G$7)+(C24*'Labor Rates and O&amp;M Costs'!$G$8)+(D24*'Labor Rates and O&amp;M Costs'!$G$9)+(E24*'Labor Rates and O&amp;M Costs'!$G$10)</f>
        <v>19.72</v>
      </c>
      <c r="H24" s="35">
        <v>0</v>
      </c>
      <c r="I24" s="35">
        <f>'Labor Rates and O&amp;M Costs'!B21+'Labor Rates and O&amp;M Costs'!B22</f>
        <v>6.04</v>
      </c>
      <c r="J24" s="36">
        <f>$J$20</f>
        <v>134</v>
      </c>
      <c r="K24" s="85">
        <f t="shared" si="4"/>
        <v>67</v>
      </c>
      <c r="L24" s="93">
        <f t="shared" si="5"/>
        <v>3451.84</v>
      </c>
    </row>
    <row r="25" spans="1:12" s="3" customFormat="1" ht="15">
      <c r="A25" s="64" t="s">
        <v>140</v>
      </c>
      <c r="B25" s="36">
        <v>0</v>
      </c>
      <c r="C25" s="36">
        <v>0</v>
      </c>
      <c r="D25" s="36">
        <v>5</v>
      </c>
      <c r="E25" s="36">
        <v>0</v>
      </c>
      <c r="F25" s="36">
        <f t="shared" si="3"/>
        <v>5</v>
      </c>
      <c r="G25" s="35">
        <f>(B25*'Labor Rates and O&amp;M Costs'!$G$7)+(C25*'Labor Rates and O&amp;M Costs'!$G$8)+(D25*'Labor Rates and O&amp;M Costs'!$G$9)+(E25*'Labor Rates and O&amp;M Costs'!$G$10)</f>
        <v>491.75</v>
      </c>
      <c r="H25" s="35">
        <v>0</v>
      </c>
      <c r="I25" s="35">
        <f>'Labor Rates and O&amp;M Costs'!B25</f>
        <v>0.14000000000000001</v>
      </c>
      <c r="J25" s="36">
        <f>ROUND(J20*'Respondents Univ_Assumptions'!G6,0)</f>
        <v>13</v>
      </c>
      <c r="K25" s="85">
        <f t="shared" si="4"/>
        <v>65</v>
      </c>
      <c r="L25" s="93">
        <f t="shared" si="5"/>
        <v>6394.57</v>
      </c>
    </row>
    <row r="26" spans="1:12" s="3" customFormat="1" ht="14.1" customHeight="1">
      <c r="A26" s="129" t="s">
        <v>129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2" s="3" customFormat="1" ht="15">
      <c r="A27" s="64" t="s">
        <v>141</v>
      </c>
      <c r="B27" s="36">
        <v>0</v>
      </c>
      <c r="C27" s="36">
        <v>0</v>
      </c>
      <c r="D27" s="36">
        <v>0.22</v>
      </c>
      <c r="E27" s="36">
        <v>1.5</v>
      </c>
      <c r="F27" s="36">
        <f t="shared" ref="F27:F29" si="6">SUM(B27:E27)</f>
        <v>1.72</v>
      </c>
      <c r="G27" s="35">
        <f>(B27*'Labor Rates and O&amp;M Costs'!$G$7)+(C27*'Labor Rates and O&amp;M Costs'!$G$8)+(D27*'Labor Rates and O&amp;M Costs'!$G$9)+(E27*'Labor Rates and O&amp;M Costs'!$G$10)</f>
        <v>80.796999999999997</v>
      </c>
      <c r="H27" s="35">
        <v>0</v>
      </c>
      <c r="I27" s="35">
        <v>0</v>
      </c>
      <c r="J27" s="36">
        <f>ROUND($J$20*'Respondents Univ_Assumptions'!G5,0)</f>
        <v>2</v>
      </c>
      <c r="K27" s="85">
        <f t="shared" ref="K27:K29" si="7">ROUND(F27*J27,2)</f>
        <v>3.44</v>
      </c>
      <c r="L27" s="93">
        <f t="shared" ref="L27:L29" si="8">ROUND((G27+H27+I27)*J27,2)</f>
        <v>161.59</v>
      </c>
    </row>
    <row r="28" spans="1:12" s="3" customFormat="1" ht="15">
      <c r="A28" s="64" t="s">
        <v>142</v>
      </c>
      <c r="B28" s="36">
        <v>1.28</v>
      </c>
      <c r="C28" s="36">
        <v>0</v>
      </c>
      <c r="D28" s="36">
        <v>0.9</v>
      </c>
      <c r="E28" s="36">
        <v>0</v>
      </c>
      <c r="F28" s="36">
        <f t="shared" si="6"/>
        <v>2.1800000000000002</v>
      </c>
      <c r="G28" s="35">
        <f>(B28*'Labor Rates and O&amp;M Costs'!$G$7)+(C28*'Labor Rates and O&amp;M Costs'!$G$8)+(D28*'Labor Rates and O&amp;M Costs'!$G$9)+(E28*'Labor Rates and O&amp;M Costs'!$G$10)</f>
        <v>305.23180000000002</v>
      </c>
      <c r="H28" s="35">
        <v>0</v>
      </c>
      <c r="I28" s="35">
        <v>0</v>
      </c>
      <c r="J28" s="36">
        <f>$J$27</f>
        <v>2</v>
      </c>
      <c r="K28" s="85">
        <f t="shared" si="7"/>
        <v>4.3600000000000003</v>
      </c>
      <c r="L28" s="93">
        <f t="shared" si="8"/>
        <v>610.46</v>
      </c>
    </row>
    <row r="29" spans="1:12" s="3" customFormat="1" ht="15">
      <c r="A29" s="64" t="s">
        <v>143</v>
      </c>
      <c r="B29" s="36">
        <v>0</v>
      </c>
      <c r="C29" s="36">
        <v>0.1</v>
      </c>
      <c r="D29" s="36">
        <v>0.9</v>
      </c>
      <c r="E29" s="36">
        <v>0</v>
      </c>
      <c r="F29" s="36">
        <f t="shared" si="6"/>
        <v>1</v>
      </c>
      <c r="G29" s="35">
        <f>(B29*'Labor Rates and O&amp;M Costs'!$G$7)+(C29*'Labor Rates and O&amp;M Costs'!$G$8)+(D29*'Labor Rates and O&amp;M Costs'!$G$9)+(E29*'Labor Rates and O&amp;M Costs'!$G$10)</f>
        <v>100.059</v>
      </c>
      <c r="H29" s="35">
        <v>0</v>
      </c>
      <c r="I29" s="35">
        <f>'Labor Rates and O&amp;M Costs'!B21+'Labor Rates and O&amp;M Costs'!B23</f>
        <v>20.439999999999998</v>
      </c>
      <c r="J29" s="36">
        <f>$J$27</f>
        <v>2</v>
      </c>
      <c r="K29" s="85">
        <f t="shared" si="7"/>
        <v>2</v>
      </c>
      <c r="L29" s="93">
        <f t="shared" si="8"/>
        <v>241</v>
      </c>
    </row>
    <row r="30" spans="1:12" s="3" customFormat="1" ht="14.1" customHeight="1">
      <c r="A30" s="126" t="s">
        <v>144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1:12" ht="14.1" customHeight="1">
      <c r="A31" s="131" t="s">
        <v>145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3"/>
    </row>
    <row r="32" spans="1:12" s="3" customFormat="1" ht="38.25">
      <c r="A32" s="64" t="s">
        <v>146</v>
      </c>
      <c r="B32" s="36">
        <v>0</v>
      </c>
      <c r="C32" s="36">
        <v>2</v>
      </c>
      <c r="D32" s="36">
        <v>4</v>
      </c>
      <c r="E32" s="36">
        <v>0</v>
      </c>
      <c r="F32" s="36">
        <f t="shared" ref="F32:F34" si="9">SUM(B32:E32)</f>
        <v>6</v>
      </c>
      <c r="G32" s="35">
        <f>(B32*'Labor Rates and O&amp;M Costs'!$G$7)+(C32*'Labor Rates and O&amp;M Costs'!$G$8)+(D32*'Labor Rates and O&amp;M Costs'!$G$9)+(E32*'Labor Rates and O&amp;M Costs'!$G$10)</f>
        <v>624.28</v>
      </c>
      <c r="H32" s="35">
        <v>0</v>
      </c>
      <c r="I32" s="35">
        <f>'Labor Rates and O&amp;M Costs'!B30</f>
        <v>4656</v>
      </c>
      <c r="J32" s="36">
        <f>'Respondents Univ_Assumptions'!C8</f>
        <v>33</v>
      </c>
      <c r="K32" s="85">
        <f t="shared" ref="K32:K34" si="10">ROUND(F32*J32,2)</f>
        <v>198</v>
      </c>
      <c r="L32" s="93">
        <f t="shared" ref="L32:L34" si="11">ROUND((G32+H32+I32)*J32,2)</f>
        <v>174249.24</v>
      </c>
    </row>
    <row r="33" spans="1:12" s="3" customFormat="1" ht="25.5">
      <c r="A33" s="64" t="s">
        <v>147</v>
      </c>
      <c r="B33" s="36">
        <v>0</v>
      </c>
      <c r="C33" s="36">
        <v>2</v>
      </c>
      <c r="D33" s="36">
        <v>4</v>
      </c>
      <c r="E33" s="36">
        <v>0</v>
      </c>
      <c r="F33" s="36">
        <f t="shared" si="9"/>
        <v>6</v>
      </c>
      <c r="G33" s="35">
        <f>(B33*'Labor Rates and O&amp;M Costs'!$G$7)+(C33*'Labor Rates and O&amp;M Costs'!$G$8)+(D33*'Labor Rates and O&amp;M Costs'!$G$9)+(E33*'Labor Rates and O&amp;M Costs'!$G$10)</f>
        <v>624.28</v>
      </c>
      <c r="H33" s="35">
        <v>0</v>
      </c>
      <c r="I33" s="35">
        <f>'Labor Rates and O&amp;M Costs'!B30</f>
        <v>4656</v>
      </c>
      <c r="J33" s="36">
        <f>'Respondents Univ_Assumptions'!G7</f>
        <v>0</v>
      </c>
      <c r="K33" s="85">
        <f t="shared" si="10"/>
        <v>0</v>
      </c>
      <c r="L33" s="93">
        <f t="shared" si="11"/>
        <v>0</v>
      </c>
    </row>
    <row r="34" spans="1:12" s="3" customFormat="1" ht="25.5">
      <c r="A34" s="64" t="s">
        <v>148</v>
      </c>
      <c r="B34" s="36">
        <v>0</v>
      </c>
      <c r="C34" s="36">
        <v>0</v>
      </c>
      <c r="D34" s="36">
        <v>0</v>
      </c>
      <c r="E34" s="36">
        <v>0.5</v>
      </c>
      <c r="F34" s="36">
        <f t="shared" si="9"/>
        <v>0.5</v>
      </c>
      <c r="G34" s="35">
        <f>(B34*'Labor Rates and O&amp;M Costs'!$G$7)+(C34*'Labor Rates and O&amp;M Costs'!$G$8)+(D34*'Labor Rates and O&amp;M Costs'!$G$9)+(E34*'Labor Rates and O&amp;M Costs'!$G$10)</f>
        <v>19.72</v>
      </c>
      <c r="H34" s="35">
        <v>0</v>
      </c>
      <c r="I34" s="35">
        <v>0</v>
      </c>
      <c r="J34" s="36">
        <f>J32</f>
        <v>33</v>
      </c>
      <c r="K34" s="85">
        <f t="shared" si="10"/>
        <v>16.5</v>
      </c>
      <c r="L34" s="93">
        <f t="shared" si="11"/>
        <v>650.76</v>
      </c>
    </row>
    <row r="35" spans="1:12" s="3" customFormat="1" ht="15">
      <c r="A35" s="68"/>
      <c r="B35" s="69"/>
      <c r="C35" s="69"/>
      <c r="D35" s="69"/>
      <c r="E35" s="69"/>
      <c r="F35" s="69"/>
      <c r="G35" s="70"/>
      <c r="H35" s="70"/>
      <c r="I35" s="70"/>
      <c r="J35" s="69"/>
      <c r="K35" s="96"/>
      <c r="L35" s="97"/>
    </row>
    <row r="36" spans="1:12" customFormat="1" ht="15">
      <c r="K36" s="53"/>
      <c r="L36" s="98"/>
    </row>
    <row r="37" spans="1:12" customFormat="1" ht="15">
      <c r="K37" s="53"/>
      <c r="L37" s="98"/>
    </row>
    <row r="38" spans="1:12" ht="11.1" customHeight="1">
      <c r="A38" s="79" t="s">
        <v>149</v>
      </c>
    </row>
    <row r="39" spans="1:12" ht="11.1" customHeight="1">
      <c r="A39" s="79" t="s">
        <v>107</v>
      </c>
    </row>
    <row r="40" spans="1:12" ht="11.1" customHeight="1">
      <c r="I40" s="58"/>
    </row>
    <row r="41" spans="1:12" ht="11.1" customHeight="1">
      <c r="B41" s="128" t="s">
        <v>108</v>
      </c>
      <c r="C41" s="128"/>
      <c r="D41" s="128"/>
      <c r="E41" s="128"/>
      <c r="F41" s="71"/>
      <c r="G41" s="72"/>
      <c r="H41" s="73"/>
      <c r="I41" s="74"/>
      <c r="J41" s="74"/>
      <c r="K41" s="87"/>
      <c r="L41" s="91"/>
    </row>
    <row r="42" spans="1:12" ht="11.1" customHeight="1">
      <c r="A42" s="62" t="s">
        <v>109</v>
      </c>
      <c r="B42" s="75" t="s">
        <v>110</v>
      </c>
      <c r="C42" s="75" t="s">
        <v>111</v>
      </c>
      <c r="D42" s="75" t="s">
        <v>112</v>
      </c>
      <c r="E42" s="75" t="s">
        <v>113</v>
      </c>
      <c r="F42" s="75" t="s">
        <v>114</v>
      </c>
      <c r="G42" s="73" t="s">
        <v>115</v>
      </c>
      <c r="H42" s="73" t="s">
        <v>116</v>
      </c>
      <c r="I42" s="73" t="s">
        <v>117</v>
      </c>
      <c r="J42" s="76" t="s">
        <v>118</v>
      </c>
      <c r="K42" s="88" t="s">
        <v>119</v>
      </c>
      <c r="L42" s="92" t="s">
        <v>120</v>
      </c>
    </row>
    <row r="43" spans="1:12" ht="11.1" customHeight="1">
      <c r="B43" s="77" t="str">
        <f>"@ $"&amp;FIXED('Labor Rates and O&amp;M Costs'!$G$7,2,TRUE)&amp;"/hr"</f>
        <v>@ $169.31/hr</v>
      </c>
      <c r="C43" s="77" t="str">
        <f>"@ $"&amp;FIXED('Labor Rates and O&amp;M Costs'!$G$8,2,TRUE)&amp;"/hr"</f>
        <v>@ $115.44/hr</v>
      </c>
      <c r="D43" s="77" t="str">
        <f>"@ $"&amp;FIXED('Labor Rates and O&amp;M Costs'!$G$9,2,TRUE)&amp;"/hr"</f>
        <v>@ $98.35/hr</v>
      </c>
      <c r="E43" s="77" t="str">
        <f>"@ $"&amp;FIXED('Labor Rates and O&amp;M Costs'!$G$10,2,TRUE)&amp;"/hr"</f>
        <v>@ $39.44/hr</v>
      </c>
      <c r="F43" s="75" t="s">
        <v>121</v>
      </c>
      <c r="G43" s="78" t="s">
        <v>121</v>
      </c>
      <c r="H43" s="78" t="s">
        <v>121</v>
      </c>
      <c r="I43" s="78" t="s">
        <v>121</v>
      </c>
      <c r="J43" s="76" t="s">
        <v>122</v>
      </c>
      <c r="K43" s="88" t="s">
        <v>123</v>
      </c>
      <c r="L43" s="92" t="s">
        <v>123</v>
      </c>
    </row>
    <row r="44" spans="1:12" s="3" customFormat="1" ht="14.1" customHeight="1">
      <c r="A44" s="126" t="s">
        <v>150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</row>
    <row r="45" spans="1:12" ht="14.1" customHeight="1">
      <c r="A45" s="131" t="s">
        <v>151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3"/>
    </row>
    <row r="46" spans="1:12" s="3" customFormat="1" ht="15">
      <c r="A46" s="64" t="s">
        <v>152</v>
      </c>
      <c r="B46" s="36">
        <v>0</v>
      </c>
      <c r="C46" s="36">
        <v>0</v>
      </c>
      <c r="D46" s="36">
        <v>5</v>
      </c>
      <c r="E46" s="36">
        <v>1</v>
      </c>
      <c r="F46" s="36">
        <f t="shared" ref="F46:F48" si="12">SUM(B46:E46)</f>
        <v>6</v>
      </c>
      <c r="G46" s="35">
        <f>(B46*'Labor Rates and O&amp;M Costs'!$G$7)+(C46*'Labor Rates and O&amp;M Costs'!$G$8)+(D46*'Labor Rates and O&amp;M Costs'!$G$9)+(E46*'Labor Rates and O&amp;M Costs'!$G$10)</f>
        <v>531.19000000000005</v>
      </c>
      <c r="H46" s="35">
        <v>0</v>
      </c>
      <c r="I46" s="35">
        <v>0</v>
      </c>
      <c r="J46" s="36">
        <f>'Respondents Univ_Assumptions'!C10</f>
        <v>12</v>
      </c>
      <c r="K46" s="85">
        <f t="shared" ref="K46:K48" si="13">ROUND(F46*J46,2)</f>
        <v>72</v>
      </c>
      <c r="L46" s="93">
        <f t="shared" ref="L46:L48" si="14">ROUND((G46+H46+I46)*J46,2)</f>
        <v>6374.28</v>
      </c>
    </row>
    <row r="47" spans="1:12" s="3" customFormat="1" ht="15">
      <c r="A47" s="64" t="s">
        <v>153</v>
      </c>
      <c r="B47" s="36">
        <v>0</v>
      </c>
      <c r="C47" s="36">
        <v>0</v>
      </c>
      <c r="D47" s="36">
        <v>5</v>
      </c>
      <c r="E47" s="36">
        <v>2</v>
      </c>
      <c r="F47" s="36">
        <f t="shared" si="12"/>
        <v>7</v>
      </c>
      <c r="G47" s="35">
        <f>(B47*'Labor Rates and O&amp;M Costs'!$G$7)+(C47*'Labor Rates and O&amp;M Costs'!$G$8)+(D47*'Labor Rates and O&amp;M Costs'!$G$9)+(E47*'Labor Rates and O&amp;M Costs'!$G$10)</f>
        <v>570.63</v>
      </c>
      <c r="H47" s="35">
        <v>0</v>
      </c>
      <c r="I47" s="35">
        <v>0</v>
      </c>
      <c r="J47" s="36">
        <f>$J$46</f>
        <v>12</v>
      </c>
      <c r="K47" s="85">
        <f t="shared" si="13"/>
        <v>84</v>
      </c>
      <c r="L47" s="93">
        <f t="shared" si="14"/>
        <v>6847.56</v>
      </c>
    </row>
    <row r="48" spans="1:12" s="3" customFormat="1" ht="15">
      <c r="A48" s="64" t="s">
        <v>154</v>
      </c>
      <c r="B48" s="36">
        <v>0</v>
      </c>
      <c r="C48" s="36">
        <v>0</v>
      </c>
      <c r="D48" s="36">
        <v>2</v>
      </c>
      <c r="E48" s="36">
        <v>1</v>
      </c>
      <c r="F48" s="36">
        <f t="shared" si="12"/>
        <v>3</v>
      </c>
      <c r="G48" s="35">
        <f>(B48*'Labor Rates and O&amp;M Costs'!$G$7)+(C48*'Labor Rates and O&amp;M Costs'!$G$8)+(D48*'Labor Rates and O&amp;M Costs'!$G$9)+(E48*'Labor Rates and O&amp;M Costs'!$G$10)</f>
        <v>236.14</v>
      </c>
      <c r="H48" s="35">
        <v>0</v>
      </c>
      <c r="I48" s="35">
        <v>0</v>
      </c>
      <c r="J48" s="36">
        <f>$J$46</f>
        <v>12</v>
      </c>
      <c r="K48" s="85">
        <f t="shared" si="13"/>
        <v>36</v>
      </c>
      <c r="L48" s="93">
        <f t="shared" si="14"/>
        <v>2833.68</v>
      </c>
    </row>
    <row r="49" spans="1:12" s="3" customFormat="1" ht="14.1" customHeight="1">
      <c r="A49" s="126" t="s">
        <v>155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</row>
    <row r="50" spans="1:12" ht="14.1" customHeight="1">
      <c r="A50" s="131" t="s">
        <v>145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3"/>
    </row>
    <row r="51" spans="1:12" s="3" customFormat="1" ht="25.5">
      <c r="A51" s="64" t="s">
        <v>156</v>
      </c>
      <c r="B51" s="36">
        <v>0</v>
      </c>
      <c r="C51" s="36">
        <v>0</v>
      </c>
      <c r="D51" s="36">
        <v>0</v>
      </c>
      <c r="E51" s="36">
        <v>0.05</v>
      </c>
      <c r="F51" s="36">
        <f t="shared" ref="F51:F52" si="15">SUM(B51:E51)</f>
        <v>0.05</v>
      </c>
      <c r="G51" s="35">
        <f>(B51*'Labor Rates and O&amp;M Costs'!$G$7)+(C51*'Labor Rates and O&amp;M Costs'!$G$8)+(D51*'Labor Rates and O&amp;M Costs'!$G$9)+(E51*'Labor Rates and O&amp;M Costs'!$G$10)</f>
        <v>1.972</v>
      </c>
      <c r="H51" s="35">
        <v>0</v>
      </c>
      <c r="I51" s="35">
        <v>0</v>
      </c>
      <c r="J51" s="36">
        <f>'Respondents Univ_Assumptions'!C5</f>
        <v>160</v>
      </c>
      <c r="K51" s="85">
        <f t="shared" ref="K51:K52" si="16">ROUND(F51*J51,2)</f>
        <v>8</v>
      </c>
      <c r="L51" s="93">
        <f t="shared" ref="L51:L52" si="17">ROUND((G51+H51+I51)*J51,2)</f>
        <v>315.52</v>
      </c>
    </row>
    <row r="52" spans="1:12" s="3" customFormat="1" ht="25.5">
      <c r="A52" s="64" t="s">
        <v>157</v>
      </c>
      <c r="B52" s="36">
        <v>0</v>
      </c>
      <c r="C52" s="36">
        <v>0</v>
      </c>
      <c r="D52" s="36">
        <v>0</v>
      </c>
      <c r="E52" s="36">
        <v>0.05</v>
      </c>
      <c r="F52" s="36">
        <f t="shared" si="15"/>
        <v>0.05</v>
      </c>
      <c r="G52" s="35">
        <f>(B52*'Labor Rates and O&amp;M Costs'!$G$7)+(C52*'Labor Rates and O&amp;M Costs'!$G$8)+(D52*'Labor Rates and O&amp;M Costs'!$G$9)+(E52*'Labor Rates and O&amp;M Costs'!$G$10)</f>
        <v>1.972</v>
      </c>
      <c r="H52" s="35">
        <v>0</v>
      </c>
      <c r="I52" s="35">
        <v>0</v>
      </c>
      <c r="J52" s="36">
        <f>$J$51</f>
        <v>160</v>
      </c>
      <c r="K52" s="85">
        <f t="shared" si="16"/>
        <v>8</v>
      </c>
      <c r="L52" s="93">
        <f t="shared" si="17"/>
        <v>315.52</v>
      </c>
    </row>
    <row r="53" spans="1:12" ht="14.1" customHeight="1">
      <c r="A53" s="131" t="s">
        <v>151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1:12" s="3" customFormat="1" ht="38.25">
      <c r="A54" s="64" t="s">
        <v>158</v>
      </c>
      <c r="B54" s="36">
        <v>0</v>
      </c>
      <c r="C54" s="36">
        <v>0</v>
      </c>
      <c r="D54" s="36">
        <v>0</v>
      </c>
      <c r="E54" s="36">
        <v>0.05</v>
      </c>
      <c r="F54" s="36">
        <f>SUM(B54:E54)</f>
        <v>0.05</v>
      </c>
      <c r="G54" s="35">
        <f>(B54*'Labor Rates and O&amp;M Costs'!$G$7)+(C54*'Labor Rates and O&amp;M Costs'!$G$8)+(D54*'Labor Rates and O&amp;M Costs'!$G$9)+(E54*'Labor Rates and O&amp;M Costs'!$G$10)</f>
        <v>1.972</v>
      </c>
      <c r="H54" s="35">
        <v>0</v>
      </c>
      <c r="I54" s="35">
        <v>0</v>
      </c>
      <c r="J54" s="36">
        <f>$J$51</f>
        <v>160</v>
      </c>
      <c r="K54" s="85">
        <f t="shared" ref="K54" si="18">ROUND(F54*J54,2)</f>
        <v>8</v>
      </c>
      <c r="L54" s="93">
        <f t="shared" ref="L54" si="19">ROUND((G54+H54+I54)*J54,2)</f>
        <v>315.52</v>
      </c>
    </row>
    <row r="55" spans="1:12" s="3" customFormat="1" ht="14.1" customHeight="1">
      <c r="A55" s="127" t="s">
        <v>159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</row>
    <row r="56" spans="1:12" s="3" customFormat="1" ht="14.1" customHeight="1">
      <c r="A56" s="126" t="s">
        <v>160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</row>
    <row r="57" spans="1:12" s="3" customFormat="1" ht="38.25">
      <c r="A57" s="64" t="s">
        <v>161</v>
      </c>
      <c r="B57" s="36">
        <v>0</v>
      </c>
      <c r="C57" s="36">
        <v>0</v>
      </c>
      <c r="D57" s="36">
        <v>0</v>
      </c>
      <c r="E57" s="36">
        <v>0.05</v>
      </c>
      <c r="F57" s="36">
        <f t="shared" ref="F57:F58" si="20">SUM(B57:E57)</f>
        <v>0.05</v>
      </c>
      <c r="G57" s="35">
        <f>(B57*'Labor Rates and O&amp;M Costs'!$G$7)+(C57*'Labor Rates and O&amp;M Costs'!$G$8)+(D57*'Labor Rates and O&amp;M Costs'!$G$9)+(E57*'Labor Rates and O&amp;M Costs'!$G$10)</f>
        <v>1.972</v>
      </c>
      <c r="H57" s="35">
        <v>0</v>
      </c>
      <c r="I57" s="35">
        <v>0</v>
      </c>
      <c r="J57" s="36">
        <f>'Respondents Univ_Assumptions'!C14</f>
        <v>1</v>
      </c>
      <c r="K57" s="85">
        <v>0.15</v>
      </c>
      <c r="L57" s="93">
        <v>4.67</v>
      </c>
    </row>
    <row r="58" spans="1:12" s="3" customFormat="1" ht="38.25">
      <c r="A58" s="64" t="s">
        <v>162</v>
      </c>
      <c r="B58" s="36">
        <v>0</v>
      </c>
      <c r="C58" s="36">
        <v>0</v>
      </c>
      <c r="D58" s="36">
        <v>0</v>
      </c>
      <c r="E58" s="36">
        <v>0.05</v>
      </c>
      <c r="F58" s="36">
        <f t="shared" si="20"/>
        <v>0.05</v>
      </c>
      <c r="G58" s="35">
        <f>(B58*'Labor Rates and O&amp;M Costs'!$G$7)+(C58*'Labor Rates and O&amp;M Costs'!$G$8)+(D58*'Labor Rates and O&amp;M Costs'!$G$9)+(E58*'Labor Rates and O&amp;M Costs'!$G$10)</f>
        <v>1.972</v>
      </c>
      <c r="H58" s="35">
        <v>0</v>
      </c>
      <c r="I58" s="35">
        <v>0</v>
      </c>
      <c r="J58" s="36">
        <f>J57</f>
        <v>1</v>
      </c>
      <c r="K58" s="85">
        <v>0.15</v>
      </c>
      <c r="L58" s="93">
        <v>4.67</v>
      </c>
    </row>
    <row r="59" spans="1:12" s="3" customFormat="1" ht="14.1" customHeight="1">
      <c r="A59" s="126" t="s">
        <v>163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</row>
    <row r="60" spans="1:12" s="3" customFormat="1" ht="15">
      <c r="A60" s="64" t="s">
        <v>164</v>
      </c>
      <c r="B60" s="36">
        <v>0</v>
      </c>
      <c r="C60" s="36">
        <v>2</v>
      </c>
      <c r="D60" s="36">
        <v>14</v>
      </c>
      <c r="E60" s="36">
        <v>4</v>
      </c>
      <c r="F60" s="36">
        <f t="shared" ref="F60:F67" si="21">SUM(B60:E60)</f>
        <v>20</v>
      </c>
      <c r="G60" s="35">
        <f>(B60*'Labor Rates and O&amp;M Costs'!$G$7)+(C60*'Labor Rates and O&amp;M Costs'!$G$8)+(D60*'Labor Rates and O&amp;M Costs'!$G$9)+(E60*'Labor Rates and O&amp;M Costs'!$G$10)</f>
        <v>1765.5399999999997</v>
      </c>
      <c r="H60" s="35">
        <v>0</v>
      </c>
      <c r="I60" s="35">
        <f>'Labor Rates and O&amp;M Costs'!B31</f>
        <v>861</v>
      </c>
      <c r="J60" s="36">
        <f>ROUND($J$66/3,0)</f>
        <v>21</v>
      </c>
      <c r="K60" s="85">
        <v>140</v>
      </c>
      <c r="L60" s="93">
        <v>15611.16</v>
      </c>
    </row>
    <row r="61" spans="1:12" s="3" customFormat="1" ht="15">
      <c r="A61" s="64" t="s">
        <v>165</v>
      </c>
      <c r="B61" s="36">
        <v>0</v>
      </c>
      <c r="C61" s="36">
        <v>2</v>
      </c>
      <c r="D61" s="36">
        <v>4</v>
      </c>
      <c r="E61" s="36">
        <v>0</v>
      </c>
      <c r="F61" s="36">
        <f t="shared" si="21"/>
        <v>6</v>
      </c>
      <c r="G61" s="35">
        <f>(B61*'Labor Rates and O&amp;M Costs'!$G$7)+(C61*'Labor Rates and O&amp;M Costs'!$G$8)+(D61*'Labor Rates and O&amp;M Costs'!$G$9)+(E61*'Labor Rates and O&amp;M Costs'!$G$10)</f>
        <v>624.28</v>
      </c>
      <c r="H61" s="35">
        <v>0</v>
      </c>
      <c r="I61" s="35">
        <f>'Labor Rates and O&amp;M Costs'!B32</f>
        <v>4306</v>
      </c>
      <c r="J61" s="36">
        <f>ROUND($J$66/3,0)</f>
        <v>21</v>
      </c>
      <c r="K61" s="85">
        <v>42</v>
      </c>
      <c r="L61" s="93">
        <v>28660.240000000002</v>
      </c>
    </row>
    <row r="62" spans="1:12" s="3" customFormat="1" ht="25.5">
      <c r="A62" s="64" t="s">
        <v>166</v>
      </c>
      <c r="B62" s="36">
        <v>0</v>
      </c>
      <c r="C62" s="36">
        <v>2</v>
      </c>
      <c r="D62" s="36">
        <v>4</v>
      </c>
      <c r="E62" s="36">
        <v>0</v>
      </c>
      <c r="F62" s="36">
        <f t="shared" si="21"/>
        <v>6</v>
      </c>
      <c r="G62" s="35">
        <f>(B62*'Labor Rates and O&amp;M Costs'!$G$7)+(C62*'Labor Rates and O&amp;M Costs'!$G$8)+(D62*'Labor Rates and O&amp;M Costs'!$G$9)+(E62*'Labor Rates and O&amp;M Costs'!$G$10)</f>
        <v>624.28</v>
      </c>
      <c r="H62" s="35">
        <v>0</v>
      </c>
      <c r="I62" s="35">
        <v>0</v>
      </c>
      <c r="J62" s="36">
        <f>ROUNDUP($J$66/3,0)</f>
        <v>22</v>
      </c>
      <c r="K62" s="85">
        <v>42</v>
      </c>
      <c r="L62" s="93">
        <v>3932.04</v>
      </c>
    </row>
    <row r="63" spans="1:12" s="3" customFormat="1" ht="15">
      <c r="A63" s="64" t="s">
        <v>167</v>
      </c>
      <c r="B63" s="36">
        <v>0</v>
      </c>
      <c r="C63" s="36">
        <v>2</v>
      </c>
      <c r="D63" s="36">
        <v>14</v>
      </c>
      <c r="E63" s="36">
        <v>4</v>
      </c>
      <c r="F63" s="36">
        <f t="shared" si="21"/>
        <v>20</v>
      </c>
      <c r="G63" s="35">
        <f>(B63*'Labor Rates and O&amp;M Costs'!$G$7)+(C63*'Labor Rates and O&amp;M Costs'!$G$8)+(D63*'Labor Rates and O&amp;M Costs'!$G$9)+(E63*'Labor Rates and O&amp;M Costs'!$G$10)</f>
        <v>1765.5399999999997</v>
      </c>
      <c r="H63" s="35">
        <v>0</v>
      </c>
      <c r="I63" s="35">
        <f>'Labor Rates and O&amp;M Costs'!B31</f>
        <v>861</v>
      </c>
      <c r="J63" s="36">
        <f>'Respondents Univ_Assumptions'!G8</f>
        <v>0</v>
      </c>
      <c r="K63" s="85">
        <v>0</v>
      </c>
      <c r="L63" s="93">
        <v>0</v>
      </c>
    </row>
    <row r="64" spans="1:12" s="3" customFormat="1" ht="15">
      <c r="A64" s="64" t="s">
        <v>168</v>
      </c>
      <c r="B64" s="36">
        <v>0</v>
      </c>
      <c r="C64" s="36">
        <v>2</v>
      </c>
      <c r="D64" s="36">
        <v>4</v>
      </c>
      <c r="E64" s="36">
        <v>0</v>
      </c>
      <c r="F64" s="36">
        <f t="shared" si="21"/>
        <v>6</v>
      </c>
      <c r="G64" s="35">
        <f>(B64*'Labor Rates and O&amp;M Costs'!$G$7)+(C64*'Labor Rates and O&amp;M Costs'!$G$8)+(D64*'Labor Rates and O&amp;M Costs'!$G$9)+(E64*'Labor Rates and O&amp;M Costs'!$G$10)</f>
        <v>624.28</v>
      </c>
      <c r="H64" s="35">
        <v>0</v>
      </c>
      <c r="I64" s="35">
        <f>'Labor Rates and O&amp;M Costs'!B32</f>
        <v>4306</v>
      </c>
      <c r="J64" s="36">
        <f>'Respondents Univ_Assumptions'!G9</f>
        <v>0</v>
      </c>
      <c r="K64" s="85">
        <v>0</v>
      </c>
      <c r="L64" s="93">
        <v>0</v>
      </c>
    </row>
    <row r="65" spans="1:12" s="3" customFormat="1" ht="25.5">
      <c r="A65" s="64" t="s">
        <v>169</v>
      </c>
      <c r="B65" s="36">
        <v>0</v>
      </c>
      <c r="C65" s="36">
        <v>2</v>
      </c>
      <c r="D65" s="36">
        <v>4</v>
      </c>
      <c r="E65" s="36">
        <v>0</v>
      </c>
      <c r="F65" s="36">
        <f t="shared" si="21"/>
        <v>6</v>
      </c>
      <c r="G65" s="35">
        <f>(B65*'Labor Rates and O&amp;M Costs'!$G$7)+(C65*'Labor Rates and O&amp;M Costs'!$G$8)+(D65*'Labor Rates and O&amp;M Costs'!$G$9)+(E65*'Labor Rates and O&amp;M Costs'!$G$10)</f>
        <v>624.28</v>
      </c>
      <c r="H65" s="35">
        <v>0</v>
      </c>
      <c r="I65" s="35">
        <v>0</v>
      </c>
      <c r="J65" s="36">
        <f>'Respondents Univ_Assumptions'!G10</f>
        <v>0</v>
      </c>
      <c r="K65" s="85">
        <v>0</v>
      </c>
      <c r="L65" s="93">
        <v>0</v>
      </c>
    </row>
    <row r="66" spans="1:12" s="3" customFormat="1" ht="15">
      <c r="A66" s="64" t="s">
        <v>170</v>
      </c>
      <c r="B66" s="36">
        <v>0</v>
      </c>
      <c r="C66" s="36">
        <v>0</v>
      </c>
      <c r="D66" s="36">
        <v>0</v>
      </c>
      <c r="E66" s="36">
        <v>0.05</v>
      </c>
      <c r="F66" s="36">
        <f t="shared" si="21"/>
        <v>0.05</v>
      </c>
      <c r="G66" s="35">
        <f>(B66*'Labor Rates and O&amp;M Costs'!$G$7)+(C66*'Labor Rates and O&amp;M Costs'!$G$8)+(D66*'Labor Rates and O&amp;M Costs'!$G$9)+(E66*'Labor Rates and O&amp;M Costs'!$G$10)</f>
        <v>1.972</v>
      </c>
      <c r="H66" s="35">
        <v>0</v>
      </c>
      <c r="I66" s="35">
        <v>0</v>
      </c>
      <c r="J66" s="36">
        <f>ROUND(('Respondents Univ_Assumptions'!C11+'Respondents Univ_Assumptions'!C14)/3,0)</f>
        <v>64</v>
      </c>
      <c r="K66" s="85">
        <v>1.05</v>
      </c>
      <c r="L66" s="93">
        <v>32.700000000000003</v>
      </c>
    </row>
    <row r="67" spans="1:12" s="3" customFormat="1" ht="38.25">
      <c r="A67" s="64" t="s">
        <v>171</v>
      </c>
      <c r="B67" s="36">
        <v>0</v>
      </c>
      <c r="C67" s="36">
        <v>0</v>
      </c>
      <c r="D67" s="36">
        <v>0</v>
      </c>
      <c r="E67" s="36">
        <v>0.1</v>
      </c>
      <c r="F67" s="36">
        <f t="shared" si="21"/>
        <v>0.1</v>
      </c>
      <c r="G67" s="35">
        <f>(B67*'Labor Rates and O&amp;M Costs'!$G$7)+(C67*'Labor Rates and O&amp;M Costs'!$G$8)+(D67*'Labor Rates and O&amp;M Costs'!$G$9)+(E67*'Labor Rates and O&amp;M Costs'!$G$10)</f>
        <v>3.944</v>
      </c>
      <c r="H67" s="35">
        <v>0</v>
      </c>
      <c r="I67" s="35">
        <f>'Labor Rates and O&amp;M Costs'!B21</f>
        <v>0.74</v>
      </c>
      <c r="J67" s="36">
        <f>'Respondents Univ_Assumptions'!G11</f>
        <v>5</v>
      </c>
      <c r="K67" s="85">
        <v>0.5</v>
      </c>
      <c r="L67" s="93">
        <v>17.97</v>
      </c>
    </row>
    <row r="68" spans="1:12" s="3" customFormat="1" ht="15">
      <c r="A68" s="68"/>
      <c r="B68" s="69"/>
      <c r="C68" s="69"/>
      <c r="D68" s="69"/>
      <c r="E68" s="69"/>
      <c r="F68" s="69"/>
      <c r="G68" s="70"/>
      <c r="H68" s="70"/>
      <c r="I68" s="70"/>
      <c r="J68" s="69"/>
      <c r="K68" s="96"/>
      <c r="L68" s="97"/>
    </row>
    <row r="69" spans="1:12" customFormat="1" ht="15">
      <c r="K69" s="53"/>
      <c r="L69" s="98"/>
    </row>
    <row r="70" spans="1:12" customFormat="1" ht="15">
      <c r="K70" s="53"/>
      <c r="L70" s="98"/>
    </row>
    <row r="71" spans="1:12" ht="11.1" customHeight="1">
      <c r="A71" s="79" t="s">
        <v>149</v>
      </c>
    </row>
    <row r="72" spans="1:12" ht="11.1" customHeight="1">
      <c r="A72" s="79" t="s">
        <v>107</v>
      </c>
    </row>
    <row r="73" spans="1:12" ht="11.1" customHeight="1">
      <c r="I73" s="58"/>
    </row>
    <row r="74" spans="1:12" ht="11.1" customHeight="1">
      <c r="B74" s="128" t="s">
        <v>108</v>
      </c>
      <c r="C74" s="128"/>
      <c r="D74" s="128"/>
      <c r="E74" s="128"/>
      <c r="F74" s="71"/>
      <c r="G74" s="72"/>
      <c r="H74" s="73"/>
      <c r="I74" s="74"/>
      <c r="J74" s="74"/>
      <c r="K74" s="87"/>
      <c r="L74" s="91"/>
    </row>
    <row r="75" spans="1:12" ht="11.1" customHeight="1">
      <c r="A75" s="62" t="s">
        <v>109</v>
      </c>
      <c r="B75" s="75" t="s">
        <v>110</v>
      </c>
      <c r="C75" s="75" t="s">
        <v>111</v>
      </c>
      <c r="D75" s="75" t="s">
        <v>112</v>
      </c>
      <c r="E75" s="75" t="s">
        <v>113</v>
      </c>
      <c r="F75" s="75" t="s">
        <v>114</v>
      </c>
      <c r="G75" s="73" t="s">
        <v>115</v>
      </c>
      <c r="H75" s="73" t="s">
        <v>116</v>
      </c>
      <c r="I75" s="73" t="s">
        <v>117</v>
      </c>
      <c r="J75" s="76" t="s">
        <v>118</v>
      </c>
      <c r="K75" s="88" t="s">
        <v>119</v>
      </c>
      <c r="L75" s="92" t="s">
        <v>120</v>
      </c>
    </row>
    <row r="76" spans="1:12" ht="11.1" customHeight="1">
      <c r="B76" s="77" t="str">
        <f>"@ $"&amp;FIXED('Labor Rates and O&amp;M Costs'!$G$7,2,TRUE)&amp;"/hr"</f>
        <v>@ $169.31/hr</v>
      </c>
      <c r="C76" s="77" t="str">
        <f>"@ $"&amp;FIXED('Labor Rates and O&amp;M Costs'!$G$8,2,TRUE)&amp;"/hr"</f>
        <v>@ $115.44/hr</v>
      </c>
      <c r="D76" s="77" t="str">
        <f>"@ $"&amp;FIXED('Labor Rates and O&amp;M Costs'!$G$9,2,TRUE)&amp;"/hr"</f>
        <v>@ $98.35/hr</v>
      </c>
      <c r="E76" s="77" t="str">
        <f>"@ $"&amp;FIXED('Labor Rates and O&amp;M Costs'!$G$10,2,TRUE)&amp;"/hr"</f>
        <v>@ $39.44/hr</v>
      </c>
      <c r="F76" s="75" t="s">
        <v>121</v>
      </c>
      <c r="G76" s="78" t="s">
        <v>121</v>
      </c>
      <c r="H76" s="78" t="s">
        <v>121</v>
      </c>
      <c r="I76" s="78" t="s">
        <v>121</v>
      </c>
      <c r="J76" s="76" t="s">
        <v>122</v>
      </c>
      <c r="K76" s="88" t="s">
        <v>123</v>
      </c>
      <c r="L76" s="92" t="s">
        <v>123</v>
      </c>
    </row>
    <row r="77" spans="1:12" s="3" customFormat="1" ht="14.1" customHeight="1">
      <c r="A77" s="126" t="s">
        <v>125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</row>
    <row r="78" spans="1:12" s="3" customFormat="1" ht="14.1" customHeight="1">
      <c r="A78" s="130" t="s">
        <v>14</v>
      </c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</row>
    <row r="79" spans="1:12" s="3" customFormat="1" ht="14.1" customHeight="1">
      <c r="A79" s="129" t="s">
        <v>126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</row>
    <row r="80" spans="1:12" s="3" customFormat="1" ht="15">
      <c r="A80" s="64" t="s">
        <v>127</v>
      </c>
      <c r="B80" s="36">
        <v>0</v>
      </c>
      <c r="C80" s="36">
        <v>0</v>
      </c>
      <c r="D80" s="36">
        <v>0.5</v>
      </c>
      <c r="E80" s="36">
        <v>0</v>
      </c>
      <c r="F80" s="36">
        <f t="shared" ref="F80:F81" si="22">SUM(B80:E80)</f>
        <v>0.5</v>
      </c>
      <c r="G80" s="35">
        <f>(B80*'Labor Rates and O&amp;M Costs'!$G$7)+(C80*'Labor Rates and O&amp;M Costs'!$G$8)+(D80*'Labor Rates and O&amp;M Costs'!$G$9)+(E80*'Labor Rates and O&amp;M Costs'!$G$10)</f>
        <v>49.174999999999997</v>
      </c>
      <c r="H80" s="35">
        <v>0</v>
      </c>
      <c r="I80" s="35">
        <v>0</v>
      </c>
      <c r="J80" s="36">
        <f>'Respondents Univ_Assumptions'!C13+'Respondents Univ_Assumptions'!C16</f>
        <v>16</v>
      </c>
      <c r="K80" s="85">
        <v>0.5</v>
      </c>
      <c r="L80" s="93">
        <v>41.87</v>
      </c>
    </row>
    <row r="81" spans="1:12" s="3" customFormat="1" ht="15">
      <c r="A81" s="64" t="s">
        <v>128</v>
      </c>
      <c r="B81" s="36">
        <v>0</v>
      </c>
      <c r="C81" s="36">
        <v>0</v>
      </c>
      <c r="D81" s="36">
        <v>0</v>
      </c>
      <c r="E81" s="36">
        <v>0.1</v>
      </c>
      <c r="F81" s="36">
        <f t="shared" si="22"/>
        <v>0.1</v>
      </c>
      <c r="G81" s="35">
        <f>(B81*'Labor Rates and O&amp;M Costs'!$G$7)+(C81*'Labor Rates and O&amp;M Costs'!$G$8)+(D81*'Labor Rates and O&amp;M Costs'!$G$9)+(E81*'Labor Rates and O&amp;M Costs'!$G$10)</f>
        <v>3.944</v>
      </c>
      <c r="H81" s="35">
        <v>0</v>
      </c>
      <c r="I81" s="35">
        <v>0</v>
      </c>
      <c r="J81" s="36">
        <f>J80</f>
        <v>16</v>
      </c>
      <c r="K81" s="85">
        <v>0.1</v>
      </c>
      <c r="L81" s="93">
        <v>3.11</v>
      </c>
    </row>
    <row r="82" spans="1:12" s="3" customFormat="1" ht="14.1" customHeight="1">
      <c r="A82" s="129" t="s">
        <v>129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</row>
    <row r="83" spans="1:12" s="3" customFormat="1" ht="15">
      <c r="A83" s="64" t="s">
        <v>130</v>
      </c>
      <c r="B83" s="36">
        <v>0</v>
      </c>
      <c r="C83" s="36">
        <v>0</v>
      </c>
      <c r="D83" s="36">
        <v>0.5</v>
      </c>
      <c r="E83" s="36">
        <v>0</v>
      </c>
      <c r="F83" s="36">
        <f t="shared" ref="F83:F86" si="23">SUM(B83:E83)</f>
        <v>0.5</v>
      </c>
      <c r="G83" s="35">
        <f>(B83*'Labor Rates and O&amp;M Costs'!$G$7)+(C83*'Labor Rates and O&amp;M Costs'!$G$8)+(D83*'Labor Rates and O&amp;M Costs'!$G$9)+(E83*'Labor Rates and O&amp;M Costs'!$G$10)</f>
        <v>49.174999999999997</v>
      </c>
      <c r="H83" s="35">
        <v>0</v>
      </c>
      <c r="I83" s="35">
        <v>0</v>
      </c>
      <c r="J83" s="36">
        <f>ROUND($J$80*'Respondents Univ_Assumptions'!G5,0)</f>
        <v>0</v>
      </c>
      <c r="K83" s="85">
        <v>0</v>
      </c>
      <c r="L83" s="93">
        <v>0</v>
      </c>
    </row>
    <row r="84" spans="1:12" s="3" customFormat="1" ht="15">
      <c r="A84" s="64" t="s">
        <v>131</v>
      </c>
      <c r="B84" s="36">
        <v>0</v>
      </c>
      <c r="C84" s="36">
        <v>0</v>
      </c>
      <c r="D84" s="36">
        <v>0.5</v>
      </c>
      <c r="E84" s="36">
        <v>0</v>
      </c>
      <c r="F84" s="36">
        <f t="shared" si="23"/>
        <v>0.5</v>
      </c>
      <c r="G84" s="35">
        <f>(B84*'Labor Rates and O&amp;M Costs'!$G$7)+(C84*'Labor Rates and O&amp;M Costs'!$G$8)+(D84*'Labor Rates and O&amp;M Costs'!$G$9)+(E84*'Labor Rates and O&amp;M Costs'!$G$10)</f>
        <v>49.174999999999997</v>
      </c>
      <c r="H84" s="35">
        <v>0</v>
      </c>
      <c r="I84" s="35">
        <f>'Labor Rates and O&amp;M Costs'!B26</f>
        <v>7.31</v>
      </c>
      <c r="J84" s="36">
        <f>$J$83</f>
        <v>0</v>
      </c>
      <c r="K84" s="85">
        <v>0</v>
      </c>
      <c r="L84" s="93">
        <v>0</v>
      </c>
    </row>
    <row r="85" spans="1:12" s="3" customFormat="1" ht="25.5">
      <c r="A85" s="64" t="s">
        <v>132</v>
      </c>
      <c r="B85" s="36">
        <v>0</v>
      </c>
      <c r="C85" s="36">
        <v>0</v>
      </c>
      <c r="D85" s="36">
        <v>0.1</v>
      </c>
      <c r="E85" s="36">
        <v>0</v>
      </c>
      <c r="F85" s="36">
        <f t="shared" si="23"/>
        <v>0.1</v>
      </c>
      <c r="G85" s="35">
        <f>(B85*'Labor Rates and O&amp;M Costs'!$G$7)+(C85*'Labor Rates and O&amp;M Costs'!$G$8)+(D85*'Labor Rates and O&amp;M Costs'!$G$9)+(E85*'Labor Rates and O&amp;M Costs'!$G$10)</f>
        <v>9.8350000000000009</v>
      </c>
      <c r="H85" s="35">
        <v>0</v>
      </c>
      <c r="I85" s="35">
        <v>0</v>
      </c>
      <c r="J85" s="36">
        <f>$J$83</f>
        <v>0</v>
      </c>
      <c r="K85" s="85">
        <v>0</v>
      </c>
      <c r="L85" s="93">
        <v>0</v>
      </c>
    </row>
    <row r="86" spans="1:12" s="3" customFormat="1" ht="15">
      <c r="A86" s="64" t="s">
        <v>133</v>
      </c>
      <c r="B86" s="36">
        <v>0</v>
      </c>
      <c r="C86" s="36">
        <v>0</v>
      </c>
      <c r="D86" s="36">
        <v>0</v>
      </c>
      <c r="E86" s="36">
        <v>0.1</v>
      </c>
      <c r="F86" s="36">
        <f t="shared" si="23"/>
        <v>0.1</v>
      </c>
      <c r="G86" s="35">
        <f>(B86*'Labor Rates and O&amp;M Costs'!$G$7)+(C86*'Labor Rates and O&amp;M Costs'!$G$8)+(D86*'Labor Rates and O&amp;M Costs'!$G$9)+(E86*'Labor Rates and O&amp;M Costs'!$G$10)</f>
        <v>3.944</v>
      </c>
      <c r="H86" s="35">
        <v>0</v>
      </c>
      <c r="I86" s="35">
        <v>0</v>
      </c>
      <c r="J86" s="36">
        <f>$J$83</f>
        <v>0</v>
      </c>
      <c r="K86" s="85">
        <v>0</v>
      </c>
      <c r="L86" s="93">
        <v>0</v>
      </c>
    </row>
    <row r="87" spans="1:12" s="3" customFormat="1" ht="14.1" customHeight="1">
      <c r="A87" s="130" t="s">
        <v>12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</row>
    <row r="88" spans="1:12" s="3" customFormat="1" ht="14.1" customHeight="1">
      <c r="A88" s="129" t="s">
        <v>134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</row>
    <row r="89" spans="1:12" s="3" customFormat="1" ht="15">
      <c r="A89" s="64" t="s">
        <v>135</v>
      </c>
      <c r="B89" s="36">
        <v>0</v>
      </c>
      <c r="C89" s="36">
        <v>0</v>
      </c>
      <c r="D89" s="36">
        <v>3.35</v>
      </c>
      <c r="E89" s="36">
        <v>1.65</v>
      </c>
      <c r="F89" s="36">
        <f t="shared" ref="F89:F94" si="24">SUM(B89:E89)</f>
        <v>5</v>
      </c>
      <c r="G89" s="35">
        <f>(B89*'Labor Rates and O&amp;M Costs'!$G$7)+(C89*'Labor Rates and O&amp;M Costs'!$G$8)+(D89*'Labor Rates and O&amp;M Costs'!$G$9)+(E89*'Labor Rates and O&amp;M Costs'!$G$10)</f>
        <v>394.54849999999999</v>
      </c>
      <c r="H89" s="35">
        <v>0</v>
      </c>
      <c r="I89" s="35">
        <v>0</v>
      </c>
      <c r="J89" s="36">
        <f>'Respondents Univ_Assumptions'!C12+'Respondents Univ_Assumptions'!C15</f>
        <v>177</v>
      </c>
      <c r="K89" s="85">
        <v>305</v>
      </c>
      <c r="L89" s="93">
        <v>20245.84</v>
      </c>
    </row>
    <row r="90" spans="1:12" s="3" customFormat="1" ht="15">
      <c r="A90" s="64" t="s">
        <v>136</v>
      </c>
      <c r="B90" s="36">
        <v>0</v>
      </c>
      <c r="C90" s="36">
        <v>0</v>
      </c>
      <c r="D90" s="36">
        <v>0</v>
      </c>
      <c r="E90" s="36">
        <v>0.5</v>
      </c>
      <c r="F90" s="36">
        <f t="shared" si="24"/>
        <v>0.5</v>
      </c>
      <c r="G90" s="35">
        <f>(B90*'Labor Rates and O&amp;M Costs'!$G$7)+(C90*'Labor Rates and O&amp;M Costs'!$G$8)+(D90*'Labor Rates and O&amp;M Costs'!$G$9)+(E90*'Labor Rates and O&amp;M Costs'!$G$10)</f>
        <v>19.72</v>
      </c>
      <c r="H90" s="35">
        <v>0</v>
      </c>
      <c r="I90" s="35">
        <v>0</v>
      </c>
      <c r="J90" s="36">
        <f>$J$89</f>
        <v>177</v>
      </c>
      <c r="K90" s="85">
        <v>30.5</v>
      </c>
      <c r="L90" s="93">
        <v>949.8</v>
      </c>
    </row>
    <row r="91" spans="1:12" s="3" customFormat="1" ht="15">
      <c r="A91" s="64" t="s">
        <v>137</v>
      </c>
      <c r="B91" s="36">
        <v>0</v>
      </c>
      <c r="C91" s="36">
        <v>0</v>
      </c>
      <c r="D91" s="36">
        <v>7.5</v>
      </c>
      <c r="E91" s="36">
        <v>2.5</v>
      </c>
      <c r="F91" s="36">
        <f t="shared" si="24"/>
        <v>10</v>
      </c>
      <c r="G91" s="35">
        <f>(B91*'Labor Rates and O&amp;M Costs'!$G$7)+(C91*'Labor Rates and O&amp;M Costs'!$G$8)+(D91*'Labor Rates and O&amp;M Costs'!$G$9)+(E91*'Labor Rates and O&amp;M Costs'!$G$10)</f>
        <v>836.22500000000002</v>
      </c>
      <c r="H91" s="35">
        <v>0</v>
      </c>
      <c r="I91" s="35">
        <v>0</v>
      </c>
      <c r="J91" s="36">
        <f>$J$89</f>
        <v>177</v>
      </c>
      <c r="K91" s="85">
        <v>610</v>
      </c>
      <c r="L91" s="93">
        <v>43058.35</v>
      </c>
    </row>
    <row r="92" spans="1:12" s="3" customFormat="1" ht="15">
      <c r="A92" s="64" t="s">
        <v>138</v>
      </c>
      <c r="B92" s="36">
        <v>0</v>
      </c>
      <c r="C92" s="36">
        <v>0</v>
      </c>
      <c r="D92" s="36">
        <v>0</v>
      </c>
      <c r="E92" s="36">
        <v>1</v>
      </c>
      <c r="F92" s="36">
        <f t="shared" si="24"/>
        <v>1</v>
      </c>
      <c r="G92" s="35">
        <f>(B92*'Labor Rates and O&amp;M Costs'!$G$7)+(C92*'Labor Rates and O&amp;M Costs'!$G$8)+(D92*'Labor Rates and O&amp;M Costs'!$G$9)+(E92*'Labor Rates and O&amp;M Costs'!$G$10)</f>
        <v>39.44</v>
      </c>
      <c r="H92" s="35">
        <v>0</v>
      </c>
      <c r="I92" s="35">
        <v>0</v>
      </c>
      <c r="J92" s="36">
        <f>$J$89</f>
        <v>177</v>
      </c>
      <c r="K92" s="85">
        <v>61</v>
      </c>
      <c r="L92" s="93">
        <v>1899.59</v>
      </c>
    </row>
    <row r="93" spans="1:12" s="3" customFormat="1" ht="15">
      <c r="A93" s="64" t="s">
        <v>139</v>
      </c>
      <c r="B93" s="36">
        <v>0</v>
      </c>
      <c r="C93" s="36">
        <v>0</v>
      </c>
      <c r="D93" s="36">
        <v>0</v>
      </c>
      <c r="E93" s="36">
        <v>0.5</v>
      </c>
      <c r="F93" s="36">
        <f t="shared" si="24"/>
        <v>0.5</v>
      </c>
      <c r="G93" s="35">
        <f>(B93*'Labor Rates and O&amp;M Costs'!$G$7)+(C93*'Labor Rates and O&amp;M Costs'!$G$8)+(D93*'Labor Rates and O&amp;M Costs'!$G$9)+(E93*'Labor Rates and O&amp;M Costs'!$G$10)</f>
        <v>19.72</v>
      </c>
      <c r="H93" s="35">
        <v>0</v>
      </c>
      <c r="I93" s="35">
        <f>'Labor Rates and O&amp;M Costs'!B21+'Labor Rates and O&amp;M Costs'!B22</f>
        <v>6.04</v>
      </c>
      <c r="J93" s="36">
        <f>$J$89</f>
        <v>177</v>
      </c>
      <c r="K93" s="85">
        <v>30.5</v>
      </c>
      <c r="L93" s="93">
        <v>1246.8699999999999</v>
      </c>
    </row>
    <row r="94" spans="1:12" s="3" customFormat="1" ht="15">
      <c r="A94" s="64" t="s">
        <v>140</v>
      </c>
      <c r="B94" s="36">
        <v>0</v>
      </c>
      <c r="C94" s="36">
        <v>0</v>
      </c>
      <c r="D94" s="36">
        <v>5</v>
      </c>
      <c r="E94" s="36">
        <v>0</v>
      </c>
      <c r="F94" s="36">
        <f t="shared" si="24"/>
        <v>5</v>
      </c>
      <c r="G94" s="35">
        <f>(B94*'Labor Rates and O&amp;M Costs'!$G$7)+(C94*'Labor Rates and O&amp;M Costs'!$G$8)+(D94*'Labor Rates and O&amp;M Costs'!$G$9)+(E94*'Labor Rates and O&amp;M Costs'!$G$10)</f>
        <v>491.75</v>
      </c>
      <c r="H94" s="35">
        <v>0</v>
      </c>
      <c r="I94" s="35">
        <v>0</v>
      </c>
      <c r="J94" s="36">
        <f>ROUND($J$89*'Respondents Univ_Assumptions'!G6,0)</f>
        <v>18</v>
      </c>
      <c r="K94" s="85">
        <v>30</v>
      </c>
      <c r="L94" s="93">
        <v>2512.09</v>
      </c>
    </row>
    <row r="95" spans="1:12" s="3" customFormat="1" ht="14.1" customHeight="1">
      <c r="A95" s="129" t="s">
        <v>129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</row>
    <row r="96" spans="1:12" s="3" customFormat="1" ht="15">
      <c r="A96" s="64" t="s">
        <v>141</v>
      </c>
      <c r="B96" s="36">
        <v>0</v>
      </c>
      <c r="C96" s="36">
        <v>0</v>
      </c>
      <c r="D96" s="36">
        <v>0.22</v>
      </c>
      <c r="E96" s="36">
        <v>1.5</v>
      </c>
      <c r="F96" s="36">
        <f t="shared" ref="F96:F98" si="25">SUM(B96:E96)</f>
        <v>1.72</v>
      </c>
      <c r="G96" s="35">
        <f>(B96*'Labor Rates and O&amp;M Costs'!$G$7)+(C96*'Labor Rates and O&amp;M Costs'!$G$8)+(D96*'Labor Rates and O&amp;M Costs'!$G$9)+(E96*'Labor Rates and O&amp;M Costs'!$G$10)</f>
        <v>80.796999999999997</v>
      </c>
      <c r="H96" s="35">
        <v>0</v>
      </c>
      <c r="I96" s="35">
        <v>0</v>
      </c>
      <c r="J96" s="36">
        <f>ROUND($J$89*'Respondents Univ_Assumptions'!G5,0)</f>
        <v>3</v>
      </c>
      <c r="K96" s="85">
        <v>1.72</v>
      </c>
      <c r="L96" s="93">
        <v>65.13</v>
      </c>
    </row>
    <row r="97" spans="1:12" s="3" customFormat="1" ht="15">
      <c r="A97" s="64" t="s">
        <v>142</v>
      </c>
      <c r="B97" s="36">
        <v>1.28</v>
      </c>
      <c r="C97" s="36">
        <v>0</v>
      </c>
      <c r="D97" s="36">
        <v>0.9</v>
      </c>
      <c r="E97" s="36">
        <v>0</v>
      </c>
      <c r="F97" s="36">
        <f t="shared" si="25"/>
        <v>2.1800000000000002</v>
      </c>
      <c r="G97" s="35">
        <f>(B97*'Labor Rates and O&amp;M Costs'!$G$7)+(C97*'Labor Rates and O&amp;M Costs'!$G$8)+(D97*'Labor Rates and O&amp;M Costs'!$G$9)+(E97*'Labor Rates and O&amp;M Costs'!$G$10)</f>
        <v>305.23180000000002</v>
      </c>
      <c r="H97" s="35">
        <v>0</v>
      </c>
      <c r="I97" s="35">
        <v>0</v>
      </c>
      <c r="J97" s="36">
        <f>$J$96</f>
        <v>3</v>
      </c>
      <c r="K97" s="85">
        <v>2.1800000000000002</v>
      </c>
      <c r="L97" s="93">
        <v>242.19</v>
      </c>
    </row>
    <row r="98" spans="1:12" s="3" customFormat="1" ht="15">
      <c r="A98" s="64" t="s">
        <v>143</v>
      </c>
      <c r="B98" s="36">
        <v>0</v>
      </c>
      <c r="C98" s="36">
        <v>0.1</v>
      </c>
      <c r="D98" s="36">
        <v>0.9</v>
      </c>
      <c r="E98" s="36">
        <v>0</v>
      </c>
      <c r="F98" s="36">
        <f t="shared" si="25"/>
        <v>1</v>
      </c>
      <c r="G98" s="35">
        <f>(B98*'Labor Rates and O&amp;M Costs'!$G$7)+(C98*'Labor Rates and O&amp;M Costs'!$G$8)+(D98*'Labor Rates and O&amp;M Costs'!$G$9)+(E98*'Labor Rates and O&amp;M Costs'!$G$10)</f>
        <v>100.059</v>
      </c>
      <c r="H98" s="35">
        <v>0</v>
      </c>
      <c r="I98" s="35">
        <f>'Labor Rates and O&amp;M Costs'!B21+'Labor Rates and O&amp;M Costs'!B23</f>
        <v>20.439999999999998</v>
      </c>
      <c r="J98" s="36">
        <f>$J$96</f>
        <v>3</v>
      </c>
      <c r="K98" s="85">
        <v>1</v>
      </c>
      <c r="L98" s="93">
        <v>98.05</v>
      </c>
    </row>
    <row r="99" spans="1:12" s="3" customFormat="1" ht="14.1" customHeight="1">
      <c r="A99" s="126" t="s">
        <v>172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</row>
    <row r="100" spans="1:12" s="3" customFormat="1" ht="15">
      <c r="A100" s="64" t="s">
        <v>173</v>
      </c>
      <c r="B100" s="36">
        <v>0</v>
      </c>
      <c r="C100" s="36">
        <v>0.02</v>
      </c>
      <c r="D100" s="36">
        <v>0</v>
      </c>
      <c r="E100" s="36">
        <v>0.08</v>
      </c>
      <c r="F100" s="36">
        <f>SUM(B100:E100)</f>
        <v>0.1</v>
      </c>
      <c r="G100" s="35">
        <f>(B100*'Labor Rates and O&amp;M Costs'!$G$7)+(C100*'Labor Rates and O&amp;M Costs'!$G$8)+(D100*'Labor Rates and O&amp;M Costs'!$G$9)+(E100*'Labor Rates and O&amp;M Costs'!$G$10)</f>
        <v>5.4640000000000004</v>
      </c>
      <c r="H100" s="35">
        <v>0</v>
      </c>
      <c r="I100" s="35">
        <v>0</v>
      </c>
      <c r="J100" s="36">
        <f>'Respondents Univ_Assumptions'!C11+'Respondents Univ_Assumptions'!C14</f>
        <v>193</v>
      </c>
      <c r="K100" s="85">
        <v>6.2</v>
      </c>
      <c r="L100" s="93">
        <v>295.06</v>
      </c>
    </row>
    <row r="101" spans="1:12" s="3" customFormat="1" ht="15">
      <c r="A101" s="68"/>
      <c r="B101" s="69"/>
      <c r="C101" s="69"/>
      <c r="D101" s="69"/>
      <c r="E101" s="69"/>
      <c r="F101" s="69"/>
      <c r="G101" s="70"/>
      <c r="H101" s="70"/>
      <c r="I101" s="70"/>
      <c r="J101" s="69"/>
      <c r="K101" s="96"/>
      <c r="L101" s="97"/>
    </row>
    <row r="102" spans="1:12" customFormat="1" ht="15">
      <c r="K102" s="53"/>
      <c r="L102" s="98"/>
    </row>
    <row r="103" spans="1:12" customFormat="1" ht="15">
      <c r="K103" s="53"/>
      <c r="L103" s="98"/>
    </row>
    <row r="104" spans="1:12" ht="11.1" customHeight="1">
      <c r="A104" s="79" t="s">
        <v>149</v>
      </c>
    </row>
    <row r="105" spans="1:12" ht="11.1" customHeight="1">
      <c r="A105" s="79" t="s">
        <v>107</v>
      </c>
    </row>
    <row r="106" spans="1:12" ht="11.1" customHeight="1">
      <c r="I106" s="58"/>
    </row>
    <row r="107" spans="1:12" ht="11.1" customHeight="1">
      <c r="B107" s="128" t="s">
        <v>108</v>
      </c>
      <c r="C107" s="128"/>
      <c r="D107" s="128"/>
      <c r="E107" s="128"/>
      <c r="F107" s="71"/>
      <c r="G107" s="72"/>
      <c r="H107" s="73"/>
      <c r="I107" s="74"/>
      <c r="J107" s="74"/>
      <c r="K107" s="87"/>
      <c r="L107" s="91"/>
    </row>
    <row r="108" spans="1:12" ht="11.1" customHeight="1">
      <c r="A108" s="62" t="s">
        <v>109</v>
      </c>
      <c r="B108" s="75" t="s">
        <v>110</v>
      </c>
      <c r="C108" s="75" t="s">
        <v>111</v>
      </c>
      <c r="D108" s="75" t="s">
        <v>112</v>
      </c>
      <c r="E108" s="75" t="s">
        <v>113</v>
      </c>
      <c r="F108" s="75" t="s">
        <v>114</v>
      </c>
      <c r="G108" s="73" t="s">
        <v>115</v>
      </c>
      <c r="H108" s="73" t="s">
        <v>116</v>
      </c>
      <c r="I108" s="73" t="s">
        <v>117</v>
      </c>
      <c r="J108" s="76" t="s">
        <v>118</v>
      </c>
      <c r="K108" s="88" t="s">
        <v>119</v>
      </c>
      <c r="L108" s="92" t="s">
        <v>120</v>
      </c>
    </row>
    <row r="109" spans="1:12" ht="11.1" customHeight="1">
      <c r="B109" s="77" t="str">
        <f>"@ $"&amp;FIXED('Labor Rates and O&amp;M Costs'!$G$7,2,TRUE)&amp;"/hr"</f>
        <v>@ $169.31/hr</v>
      </c>
      <c r="C109" s="77" t="str">
        <f>"@ $"&amp;FIXED('Labor Rates and O&amp;M Costs'!$G$8,2,TRUE)&amp;"/hr"</f>
        <v>@ $115.44/hr</v>
      </c>
      <c r="D109" s="77" t="str">
        <f>"@ $"&amp;FIXED('Labor Rates and O&amp;M Costs'!$G$9,2,TRUE)&amp;"/hr"</f>
        <v>@ $98.35/hr</v>
      </c>
      <c r="E109" s="77" t="str">
        <f>"@ $"&amp;FIXED('Labor Rates and O&amp;M Costs'!$G$10,2,TRUE)&amp;"/hr"</f>
        <v>@ $39.44/hr</v>
      </c>
      <c r="F109" s="75" t="s">
        <v>121</v>
      </c>
      <c r="G109" s="78" t="s">
        <v>121</v>
      </c>
      <c r="H109" s="78" t="s">
        <v>121</v>
      </c>
      <c r="I109" s="78" t="s">
        <v>121</v>
      </c>
      <c r="J109" s="76" t="s">
        <v>122</v>
      </c>
      <c r="K109" s="88" t="s">
        <v>123</v>
      </c>
      <c r="L109" s="92" t="s">
        <v>123</v>
      </c>
    </row>
    <row r="110" spans="1:12" s="3" customFormat="1" ht="14.1" customHeight="1">
      <c r="A110" s="127" t="s">
        <v>174</v>
      </c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</row>
    <row r="111" spans="1:12" s="3" customFormat="1" ht="14.1" customHeight="1">
      <c r="A111" s="126" t="s">
        <v>175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</row>
    <row r="112" spans="1:12" s="3" customFormat="1" ht="14.1" customHeight="1">
      <c r="A112" s="130" t="s">
        <v>176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</row>
    <row r="113" spans="1:12" s="3" customFormat="1" ht="25.5">
      <c r="A113" s="64" t="s">
        <v>177</v>
      </c>
      <c r="B113" s="36">
        <v>0</v>
      </c>
      <c r="C113" s="36">
        <v>0</v>
      </c>
      <c r="D113" s="36">
        <v>40</v>
      </c>
      <c r="E113" s="36">
        <v>0</v>
      </c>
      <c r="F113" s="36">
        <f t="shared" ref="F113:F117" si="26">SUM(B113:E113)</f>
        <v>40</v>
      </c>
      <c r="G113" s="35">
        <f>(B113*'Labor Rates and O&amp;M Costs'!$G$7)+(C113*'Labor Rates and O&amp;M Costs'!$G$8)+(D113*'Labor Rates and O&amp;M Costs'!$G$9)+(E113*'Labor Rates and O&amp;M Costs'!$G$10)</f>
        <v>3934</v>
      </c>
      <c r="H113" s="35">
        <v>0</v>
      </c>
      <c r="I113" s="35">
        <f>'Labor Rates and O&amp;M Costs'!B27</f>
        <v>34.44</v>
      </c>
      <c r="J113" s="36">
        <f>'Respondents Univ_Assumptions'!G12</f>
        <v>4</v>
      </c>
      <c r="K113" s="85">
        <v>160</v>
      </c>
      <c r="L113" s="93">
        <v>13510.85</v>
      </c>
    </row>
    <row r="114" spans="1:12" s="3" customFormat="1" ht="38.25">
      <c r="A114" s="64" t="s">
        <v>178</v>
      </c>
      <c r="B114" s="36">
        <v>0</v>
      </c>
      <c r="C114" s="36">
        <v>0</v>
      </c>
      <c r="D114" s="36">
        <v>16</v>
      </c>
      <c r="E114" s="36">
        <v>0</v>
      </c>
      <c r="F114" s="36">
        <f t="shared" si="26"/>
        <v>16</v>
      </c>
      <c r="G114" s="35">
        <f>(B114*'Labor Rates and O&amp;M Costs'!$G$7)+(C114*'Labor Rates and O&amp;M Costs'!$G$8)+(D114*'Labor Rates and O&amp;M Costs'!$G$9)+(E114*'Labor Rates and O&amp;M Costs'!$G$10)</f>
        <v>1573.6</v>
      </c>
      <c r="H114" s="35">
        <v>0</v>
      </c>
      <c r="I114" s="35">
        <v>0</v>
      </c>
      <c r="J114" s="36">
        <f>$J$113</f>
        <v>4</v>
      </c>
      <c r="K114" s="85">
        <v>64</v>
      </c>
      <c r="L114" s="93">
        <v>5359.13</v>
      </c>
    </row>
    <row r="115" spans="1:12" s="3" customFormat="1" ht="38.25">
      <c r="A115" s="64" t="s">
        <v>179</v>
      </c>
      <c r="B115" s="36">
        <v>0</v>
      </c>
      <c r="C115" s="36">
        <v>0</v>
      </c>
      <c r="D115" s="36">
        <v>40</v>
      </c>
      <c r="E115" s="36">
        <v>0</v>
      </c>
      <c r="F115" s="36">
        <f t="shared" si="26"/>
        <v>40</v>
      </c>
      <c r="G115" s="35">
        <f>(B115*'Labor Rates and O&amp;M Costs'!$G$7)+(C115*'Labor Rates and O&amp;M Costs'!$G$8)+(D115*'Labor Rates and O&amp;M Costs'!$G$9)+(E115*'Labor Rates and O&amp;M Costs'!$G$10)</f>
        <v>3934</v>
      </c>
      <c r="H115" s="35">
        <v>0</v>
      </c>
      <c r="I115" s="35">
        <v>0</v>
      </c>
      <c r="J115" s="36">
        <f t="shared" ref="J115:J117" si="27">$J$113</f>
        <v>4</v>
      </c>
      <c r="K115" s="85">
        <v>160</v>
      </c>
      <c r="L115" s="93">
        <v>13397.81</v>
      </c>
    </row>
    <row r="116" spans="1:12" s="3" customFormat="1" ht="25.5">
      <c r="A116" s="64" t="s">
        <v>180</v>
      </c>
      <c r="B116" s="36">
        <v>0</v>
      </c>
      <c r="C116" s="36">
        <v>0</v>
      </c>
      <c r="D116" s="36">
        <v>20</v>
      </c>
      <c r="E116" s="36">
        <v>0</v>
      </c>
      <c r="F116" s="36">
        <f t="shared" si="26"/>
        <v>20</v>
      </c>
      <c r="G116" s="35">
        <f>(B116*'Labor Rates and O&amp;M Costs'!$G$7)+(C116*'Labor Rates and O&amp;M Costs'!$G$8)+(D116*'Labor Rates and O&amp;M Costs'!$G$9)+(E116*'Labor Rates and O&amp;M Costs'!$G$10)</f>
        <v>1967</v>
      </c>
      <c r="H116" s="35">
        <v>0</v>
      </c>
      <c r="I116" s="35">
        <v>0</v>
      </c>
      <c r="J116" s="36">
        <f t="shared" si="27"/>
        <v>4</v>
      </c>
      <c r="K116" s="85">
        <v>80</v>
      </c>
      <c r="L116" s="93">
        <v>6698.91</v>
      </c>
    </row>
    <row r="117" spans="1:12" s="3" customFormat="1" ht="25.5">
      <c r="A117" s="64" t="s">
        <v>181</v>
      </c>
      <c r="B117" s="36">
        <v>0</v>
      </c>
      <c r="C117" s="36">
        <v>0</v>
      </c>
      <c r="D117" s="36">
        <v>6</v>
      </c>
      <c r="E117" s="36">
        <v>0</v>
      </c>
      <c r="F117" s="36">
        <f t="shared" si="26"/>
        <v>6</v>
      </c>
      <c r="G117" s="35">
        <f>(B117*'Labor Rates and O&amp;M Costs'!$G$7)+(C117*'Labor Rates and O&amp;M Costs'!$G$8)+(D117*'Labor Rates and O&amp;M Costs'!$G$9)+(E117*'Labor Rates and O&amp;M Costs'!$G$10)</f>
        <v>590.09999999999991</v>
      </c>
      <c r="H117" s="35">
        <v>0</v>
      </c>
      <c r="I117" s="35">
        <v>0</v>
      </c>
      <c r="J117" s="36">
        <f t="shared" si="27"/>
        <v>4</v>
      </c>
      <c r="K117" s="85">
        <v>24</v>
      </c>
      <c r="L117" s="93">
        <v>2009.67</v>
      </c>
    </row>
    <row r="118" spans="1:12" s="3" customFormat="1" ht="14.1" customHeight="1">
      <c r="A118" s="130" t="s">
        <v>182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</row>
    <row r="119" spans="1:12" s="3" customFormat="1" ht="15">
      <c r="A119" s="64" t="s">
        <v>183</v>
      </c>
      <c r="B119" s="36">
        <v>0</v>
      </c>
      <c r="C119" s="36">
        <v>0</v>
      </c>
      <c r="D119" s="36">
        <v>75</v>
      </c>
      <c r="E119" s="36">
        <v>0</v>
      </c>
      <c r="F119" s="36">
        <f>SUM(B119:E119)</f>
        <v>75</v>
      </c>
      <c r="G119" s="35">
        <f>(B119*'Labor Rates and O&amp;M Costs'!$G$7)+(C119*'Labor Rates and O&amp;M Costs'!$G$8)+(D119*'Labor Rates and O&amp;M Costs'!$G$9)+(E119*'Labor Rates and O&amp;M Costs'!$G$10)</f>
        <v>7376.25</v>
      </c>
      <c r="H119" s="35">
        <v>0</v>
      </c>
      <c r="I119" s="35">
        <f>'Labor Rates and O&amp;M Costs'!B27</f>
        <v>34.44</v>
      </c>
      <c r="J119" s="36">
        <f>'Respondents Univ_Assumptions'!G13</f>
        <v>1</v>
      </c>
      <c r="K119" s="85">
        <v>75</v>
      </c>
      <c r="L119" s="93">
        <v>6308.49</v>
      </c>
    </row>
    <row r="120" spans="1:12" s="3" customFormat="1" ht="14.1" customHeight="1">
      <c r="A120" s="130" t="s">
        <v>184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</row>
    <row r="121" spans="1:12" s="3" customFormat="1" ht="15">
      <c r="A121" s="64" t="s">
        <v>185</v>
      </c>
      <c r="B121" s="36">
        <v>0</v>
      </c>
      <c r="C121" s="36">
        <v>0</v>
      </c>
      <c r="D121" s="36">
        <v>75</v>
      </c>
      <c r="E121" s="36">
        <v>0</v>
      </c>
      <c r="F121" s="36">
        <f>SUM(B121:E121)</f>
        <v>75</v>
      </c>
      <c r="G121" s="35">
        <f>(B121*'Labor Rates and O&amp;M Costs'!$G$7)+(C121*'Labor Rates and O&amp;M Costs'!$G$8)+(D121*'Labor Rates and O&amp;M Costs'!$G$9)+(E121*'Labor Rates and O&amp;M Costs'!$G$10)</f>
        <v>7376.25</v>
      </c>
      <c r="H121" s="35">
        <v>0</v>
      </c>
      <c r="I121" s="35">
        <f>'Labor Rates and O&amp;M Costs'!B27</f>
        <v>34.44</v>
      </c>
      <c r="J121" s="36">
        <f>'Respondents Univ_Assumptions'!C18</f>
        <v>1</v>
      </c>
      <c r="K121" s="85">
        <v>150</v>
      </c>
      <c r="L121" s="93">
        <v>12616.97</v>
      </c>
    </row>
    <row r="122" spans="1:12" s="3" customFormat="1" ht="14.1" customHeight="1">
      <c r="A122" s="126" t="s">
        <v>186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</row>
    <row r="123" spans="1:12" s="3" customFormat="1" ht="15">
      <c r="A123" s="130" t="s">
        <v>187</v>
      </c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</row>
    <row r="124" spans="1:12" s="3" customFormat="1" ht="15">
      <c r="A124" s="64" t="s">
        <v>188</v>
      </c>
      <c r="B124" s="36">
        <v>4</v>
      </c>
      <c r="C124" s="36">
        <v>4</v>
      </c>
      <c r="D124" s="36">
        <v>130</v>
      </c>
      <c r="E124" s="36">
        <v>8</v>
      </c>
      <c r="F124" s="36">
        <f>SUM(B124:E124)</f>
        <v>146</v>
      </c>
      <c r="G124" s="35">
        <f>(B124*'Labor Rates and O&amp;M Costs'!$G$7)+(C124*'Labor Rates and O&amp;M Costs'!$G$8)+(D124*'Labor Rates and O&amp;M Costs'!$G$9)+(E124*'Labor Rates and O&amp;M Costs'!$G$10)</f>
        <v>14240.02</v>
      </c>
      <c r="H124" s="35">
        <v>0</v>
      </c>
      <c r="I124" s="35">
        <f>'Labor Rates and O&amp;M Costs'!B27</f>
        <v>34.44</v>
      </c>
      <c r="J124" s="36">
        <f>'Respondents Univ_Assumptions'!G14</f>
        <v>7</v>
      </c>
      <c r="K124" s="85">
        <v>1022</v>
      </c>
      <c r="L124" s="93">
        <v>84942.69</v>
      </c>
    </row>
    <row r="125" spans="1:12" s="3" customFormat="1" ht="15">
      <c r="A125" s="130" t="s">
        <v>189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</row>
    <row r="126" spans="1:12" s="3" customFormat="1" ht="25.5">
      <c r="A126" s="64" t="s">
        <v>190</v>
      </c>
      <c r="B126" s="36">
        <v>0</v>
      </c>
      <c r="C126" s="36">
        <v>0</v>
      </c>
      <c r="D126" s="36">
        <v>20</v>
      </c>
      <c r="E126" s="36">
        <v>0</v>
      </c>
      <c r="F126" s="36">
        <f>SUM(B126:E126)</f>
        <v>20</v>
      </c>
      <c r="G126" s="35">
        <f>(B126*'Labor Rates and O&amp;M Costs'!$G$7)+(C126*'Labor Rates and O&amp;M Costs'!$G$8)+(D126*'Labor Rates and O&amp;M Costs'!$G$9)+(E126*'Labor Rates and O&amp;M Costs'!$G$10)</f>
        <v>1967</v>
      </c>
      <c r="H126" s="35">
        <v>0</v>
      </c>
      <c r="I126" s="35">
        <v>0</v>
      </c>
      <c r="J126" s="36">
        <f>J124</f>
        <v>7</v>
      </c>
      <c r="K126" s="85">
        <v>140</v>
      </c>
      <c r="L126" s="93">
        <v>11723.09</v>
      </c>
    </row>
    <row r="127" spans="1:12" s="3" customFormat="1" ht="15">
      <c r="A127" s="130" t="s">
        <v>31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</row>
    <row r="128" spans="1:12" s="3" customFormat="1" ht="15">
      <c r="A128" s="64" t="s">
        <v>183</v>
      </c>
      <c r="B128" s="36">
        <v>2</v>
      </c>
      <c r="C128" s="36">
        <v>2</v>
      </c>
      <c r="D128" s="36">
        <v>65</v>
      </c>
      <c r="E128" s="36">
        <v>4</v>
      </c>
      <c r="F128" s="36">
        <f>SUM(B128:E128)</f>
        <v>73</v>
      </c>
      <c r="G128" s="35">
        <f>(B128*'Labor Rates and O&amp;M Costs'!$G$7)+(C128*'Labor Rates and O&amp;M Costs'!$G$8)+(D128*'Labor Rates and O&amp;M Costs'!$G$9)+(E128*'Labor Rates and O&amp;M Costs'!$G$10)</f>
        <v>7120.01</v>
      </c>
      <c r="H128" s="35">
        <v>0</v>
      </c>
      <c r="I128" s="35">
        <f>'Labor Rates and O&amp;M Costs'!B27</f>
        <v>34.44</v>
      </c>
      <c r="J128" s="36">
        <f>'Respondents Univ_Assumptions'!G15</f>
        <v>0</v>
      </c>
      <c r="K128" s="85">
        <v>0</v>
      </c>
      <c r="L128" s="93">
        <v>0</v>
      </c>
    </row>
    <row r="129" spans="1:12" s="3" customFormat="1" ht="15">
      <c r="A129" s="68"/>
      <c r="B129" s="69"/>
      <c r="C129" s="69"/>
      <c r="D129" s="69"/>
      <c r="E129" s="69"/>
      <c r="F129" s="69"/>
      <c r="G129" s="70"/>
      <c r="H129" s="70"/>
      <c r="I129" s="70"/>
      <c r="J129" s="69"/>
      <c r="K129" s="96"/>
      <c r="L129" s="97"/>
    </row>
    <row r="130" spans="1:12" customFormat="1" ht="15">
      <c r="K130" s="53"/>
      <c r="L130" s="98"/>
    </row>
    <row r="131" spans="1:12" customFormat="1" ht="15">
      <c r="K131" s="53"/>
      <c r="L131" s="98"/>
    </row>
    <row r="132" spans="1:12" ht="11.1" customHeight="1">
      <c r="A132" s="79" t="s">
        <v>149</v>
      </c>
    </row>
    <row r="133" spans="1:12" ht="11.1" customHeight="1">
      <c r="A133" s="79" t="s">
        <v>107</v>
      </c>
    </row>
    <row r="134" spans="1:12" ht="11.1" customHeight="1">
      <c r="I134" s="58"/>
    </row>
    <row r="135" spans="1:12" ht="11.1" customHeight="1">
      <c r="B135" s="128" t="s">
        <v>108</v>
      </c>
      <c r="C135" s="128"/>
      <c r="D135" s="128"/>
      <c r="E135" s="128"/>
      <c r="F135" s="71"/>
      <c r="G135" s="72"/>
      <c r="H135" s="73"/>
      <c r="I135" s="74"/>
      <c r="J135" s="74"/>
      <c r="K135" s="87"/>
      <c r="L135" s="91"/>
    </row>
    <row r="136" spans="1:12" ht="11.1" customHeight="1">
      <c r="A136" s="62" t="s">
        <v>109</v>
      </c>
      <c r="B136" s="75" t="s">
        <v>110</v>
      </c>
      <c r="C136" s="75" t="s">
        <v>111</v>
      </c>
      <c r="D136" s="75" t="s">
        <v>112</v>
      </c>
      <c r="E136" s="75" t="s">
        <v>113</v>
      </c>
      <c r="F136" s="75" t="s">
        <v>114</v>
      </c>
      <c r="G136" s="73" t="s">
        <v>115</v>
      </c>
      <c r="H136" s="73" t="s">
        <v>116</v>
      </c>
      <c r="I136" s="73" t="s">
        <v>117</v>
      </c>
      <c r="J136" s="76" t="s">
        <v>118</v>
      </c>
      <c r="K136" s="88" t="s">
        <v>119</v>
      </c>
      <c r="L136" s="92" t="s">
        <v>120</v>
      </c>
    </row>
    <row r="137" spans="1:12" ht="11.1" customHeight="1">
      <c r="B137" s="77" t="str">
        <f>"@ $"&amp;FIXED('Labor Rates and O&amp;M Costs'!$G$7,2,TRUE)&amp;"/hr"</f>
        <v>@ $169.31/hr</v>
      </c>
      <c r="C137" s="77" t="str">
        <f>"@ $"&amp;FIXED('Labor Rates and O&amp;M Costs'!$G$8,2,TRUE)&amp;"/hr"</f>
        <v>@ $115.44/hr</v>
      </c>
      <c r="D137" s="77" t="str">
        <f>"@ $"&amp;FIXED('Labor Rates and O&amp;M Costs'!$G$9,2,TRUE)&amp;"/hr"</f>
        <v>@ $98.35/hr</v>
      </c>
      <c r="E137" s="77" t="str">
        <f>"@ $"&amp;FIXED('Labor Rates and O&amp;M Costs'!$G$10,2,TRUE)&amp;"/hr"</f>
        <v>@ $39.44/hr</v>
      </c>
      <c r="F137" s="75" t="s">
        <v>121</v>
      </c>
      <c r="G137" s="78" t="s">
        <v>121</v>
      </c>
      <c r="H137" s="78" t="s">
        <v>121</v>
      </c>
      <c r="I137" s="78" t="s">
        <v>121</v>
      </c>
      <c r="J137" s="76" t="s">
        <v>122</v>
      </c>
      <c r="K137" s="88" t="s">
        <v>123</v>
      </c>
      <c r="L137" s="92" t="s">
        <v>123</v>
      </c>
    </row>
    <row r="138" spans="1:12" s="3" customFormat="1" ht="15">
      <c r="A138" s="127" t="s">
        <v>191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</row>
    <row r="139" spans="1:12" s="3" customFormat="1" ht="15">
      <c r="A139" s="126" t="s">
        <v>192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</row>
    <row r="140" spans="1:12" s="3" customFormat="1" ht="25.5">
      <c r="A140" s="64" t="s">
        <v>193</v>
      </c>
      <c r="B140" s="36">
        <v>4</v>
      </c>
      <c r="C140" s="36">
        <v>4</v>
      </c>
      <c r="D140" s="36">
        <v>130</v>
      </c>
      <c r="E140" s="36">
        <v>8</v>
      </c>
      <c r="F140" s="36">
        <f t="shared" ref="F140:F141" si="28">SUM(B140:E140)</f>
        <v>146</v>
      </c>
      <c r="G140" s="35">
        <f>(B140*'Labor Rates and O&amp;M Costs'!$G$7)+(C140*'Labor Rates and O&amp;M Costs'!$G$8)+(D140*'Labor Rates and O&amp;M Costs'!$G$9)+(E140*'Labor Rates and O&amp;M Costs'!$G$10)</f>
        <v>14240.02</v>
      </c>
      <c r="H140" s="35">
        <v>0</v>
      </c>
      <c r="I140" s="35">
        <f>'Labor Rates and O&amp;M Costs'!B27</f>
        <v>34.44</v>
      </c>
      <c r="J140" s="36">
        <f>'Respondents Univ_Assumptions'!G16</f>
        <v>0.04</v>
      </c>
      <c r="K140" s="85">
        <v>5.84</v>
      </c>
      <c r="L140" s="93">
        <v>485.39</v>
      </c>
    </row>
    <row r="141" spans="1:12" s="3" customFormat="1" ht="25.5">
      <c r="A141" s="64" t="s">
        <v>194</v>
      </c>
      <c r="B141" s="36">
        <v>0</v>
      </c>
      <c r="C141" s="36">
        <v>0</v>
      </c>
      <c r="D141" s="36">
        <v>2</v>
      </c>
      <c r="E141" s="36">
        <v>0</v>
      </c>
      <c r="F141" s="36">
        <f t="shared" si="28"/>
        <v>2</v>
      </c>
      <c r="G141" s="35">
        <f>(B141*'Labor Rates and O&amp;M Costs'!$G$7)+(C141*'Labor Rates and O&amp;M Costs'!$G$8)+(D141*'Labor Rates and O&amp;M Costs'!$G$9)+(E141*'Labor Rates and O&amp;M Costs'!$G$10)</f>
        <v>196.7</v>
      </c>
      <c r="H141" s="35">
        <v>0</v>
      </c>
      <c r="I141" s="35">
        <f>'Labor Rates and O&amp;M Costs'!B24</f>
        <v>407</v>
      </c>
      <c r="J141" s="36">
        <f>J140</f>
        <v>0.04</v>
      </c>
      <c r="K141" s="85">
        <v>0.08</v>
      </c>
      <c r="L141" s="93">
        <v>20.079999999999998</v>
      </c>
    </row>
    <row r="142" spans="1:12" s="3" customFormat="1" ht="15">
      <c r="A142" s="126" t="s">
        <v>195</v>
      </c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</row>
    <row r="143" spans="1:12" s="3" customFormat="1" ht="15">
      <c r="A143" s="130" t="s">
        <v>196</v>
      </c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</row>
    <row r="144" spans="1:12" s="3" customFormat="1" ht="15">
      <c r="A144" s="129" t="s">
        <v>197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</row>
    <row r="145" spans="1:12" s="3" customFormat="1" ht="15">
      <c r="A145" s="64" t="s">
        <v>198</v>
      </c>
      <c r="B145" s="36">
        <v>0</v>
      </c>
      <c r="C145" s="36">
        <v>0</v>
      </c>
      <c r="D145" s="36">
        <v>1.5</v>
      </c>
      <c r="E145" s="36">
        <v>0</v>
      </c>
      <c r="F145" s="36">
        <f t="shared" ref="F145:F148" si="29">SUM(B145:E145)</f>
        <v>1.5</v>
      </c>
      <c r="G145" s="35">
        <f>(B145*'Labor Rates and O&amp;M Costs'!$G$7)+(C145*'Labor Rates and O&amp;M Costs'!$G$8)+(D145*'Labor Rates and O&amp;M Costs'!$G$9)+(E145*'Labor Rates and O&amp;M Costs'!$G$10)</f>
        <v>147.52499999999998</v>
      </c>
      <c r="H145" s="35">
        <v>0</v>
      </c>
      <c r="I145" s="35">
        <v>0.6</v>
      </c>
      <c r="J145" s="36">
        <f>ROUND('Respondents Univ_Assumptions'!C19/3,1)</f>
        <v>0</v>
      </c>
      <c r="K145" s="85">
        <v>0.45</v>
      </c>
      <c r="L145" s="93">
        <v>37.86</v>
      </c>
    </row>
    <row r="146" spans="1:12" s="3" customFormat="1" ht="15">
      <c r="A146" s="64" t="s">
        <v>199</v>
      </c>
      <c r="B146" s="36">
        <v>0</v>
      </c>
      <c r="C146" s="36">
        <v>0.1</v>
      </c>
      <c r="D146" s="36">
        <v>0.3</v>
      </c>
      <c r="E146" s="36">
        <v>1.34</v>
      </c>
      <c r="F146" s="36">
        <f t="shared" si="29"/>
        <v>1.7400000000000002</v>
      </c>
      <c r="G146" s="35">
        <f>(B146*'Labor Rates and O&amp;M Costs'!$G$7)+(C146*'Labor Rates and O&amp;M Costs'!$G$8)+(D146*'Labor Rates and O&amp;M Costs'!$G$9)+(E146*'Labor Rates and O&amp;M Costs'!$G$10)</f>
        <v>93.898599999999988</v>
      </c>
      <c r="H146" s="35">
        <v>0</v>
      </c>
      <c r="I146" s="35">
        <v>0</v>
      </c>
      <c r="J146" s="36">
        <f>$J$145</f>
        <v>0</v>
      </c>
      <c r="K146" s="85">
        <v>0.52200000000000002</v>
      </c>
      <c r="L146" s="93">
        <v>23.46</v>
      </c>
    </row>
    <row r="147" spans="1:12" s="3" customFormat="1" ht="15">
      <c r="A147" s="64" t="s">
        <v>200</v>
      </c>
      <c r="B147" s="36">
        <v>0</v>
      </c>
      <c r="C147" s="36">
        <v>0</v>
      </c>
      <c r="D147" s="36">
        <v>0</v>
      </c>
      <c r="E147" s="36">
        <v>0.05</v>
      </c>
      <c r="F147" s="36">
        <f t="shared" si="29"/>
        <v>0.05</v>
      </c>
      <c r="G147" s="35">
        <f>(B147*'Labor Rates and O&amp;M Costs'!$G$7)+(C147*'Labor Rates and O&amp;M Costs'!$G$8)+(D147*'Labor Rates and O&amp;M Costs'!$G$9)+(E147*'Labor Rates and O&amp;M Costs'!$G$10)</f>
        <v>1.972</v>
      </c>
      <c r="H147" s="35">
        <v>0</v>
      </c>
      <c r="I147" s="35">
        <v>0</v>
      </c>
      <c r="J147" s="36">
        <f>$J$145</f>
        <v>0</v>
      </c>
      <c r="K147" s="85">
        <v>1.4999999999999999E-2</v>
      </c>
      <c r="L147" s="93">
        <v>0.47</v>
      </c>
    </row>
    <row r="148" spans="1:12" s="3" customFormat="1" ht="15">
      <c r="A148" s="64" t="s">
        <v>201</v>
      </c>
      <c r="B148" s="36">
        <v>0</v>
      </c>
      <c r="C148" s="36">
        <v>0</v>
      </c>
      <c r="D148" s="36">
        <v>0</v>
      </c>
      <c r="E148" s="36">
        <v>0.16</v>
      </c>
      <c r="F148" s="36">
        <f t="shared" si="29"/>
        <v>0.16</v>
      </c>
      <c r="G148" s="35">
        <f>(B148*'Labor Rates and O&amp;M Costs'!$G$7)+(C148*'Labor Rates and O&amp;M Costs'!$G$8)+(D148*'Labor Rates and O&amp;M Costs'!$G$9)+(E148*'Labor Rates and O&amp;M Costs'!$G$10)</f>
        <v>6.3103999999999996</v>
      </c>
      <c r="H148" s="35">
        <v>0</v>
      </c>
      <c r="I148" s="35">
        <v>0.48</v>
      </c>
      <c r="J148" s="36">
        <f>$J$145</f>
        <v>0</v>
      </c>
      <c r="K148" s="85">
        <v>0.08</v>
      </c>
      <c r="L148" s="93">
        <v>2.73</v>
      </c>
    </row>
    <row r="149" spans="1:12" s="3" customFormat="1" ht="15">
      <c r="A149" s="129" t="s">
        <v>202</v>
      </c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</row>
    <row r="150" spans="1:12" s="3" customFormat="1" ht="25.5">
      <c r="A150" s="64" t="s">
        <v>203</v>
      </c>
      <c r="B150" s="36">
        <v>0</v>
      </c>
      <c r="C150" s="36">
        <v>0</v>
      </c>
      <c r="D150" s="36">
        <v>0</v>
      </c>
      <c r="E150" s="36">
        <v>0.05</v>
      </c>
      <c r="F150" s="36">
        <f t="shared" ref="F150:F151" si="30">SUM(B150:E150)</f>
        <v>0.05</v>
      </c>
      <c r="G150" s="35">
        <f>(B150*'Labor Rates and O&amp;M Costs'!$G$7)+(C150*'Labor Rates and O&amp;M Costs'!$G$8)+(D150*'Labor Rates and O&amp;M Costs'!$G$9)+(E150*'Labor Rates and O&amp;M Costs'!$G$10)</f>
        <v>1.972</v>
      </c>
      <c r="H150" s="35">
        <v>0</v>
      </c>
      <c r="I150" s="35">
        <v>0</v>
      </c>
      <c r="J150" s="36">
        <f>'Respondents Univ_Assumptions'!G17</f>
        <v>3.5</v>
      </c>
      <c r="K150" s="85">
        <v>0.17499999999999999</v>
      </c>
      <c r="L150" s="93">
        <v>5.45</v>
      </c>
    </row>
    <row r="151" spans="1:12" s="3" customFormat="1" ht="25.5">
      <c r="A151" s="64" t="s">
        <v>204</v>
      </c>
      <c r="B151" s="36">
        <v>0</v>
      </c>
      <c r="C151" s="36">
        <v>0</v>
      </c>
      <c r="D151" s="36">
        <v>0</v>
      </c>
      <c r="E151" s="36">
        <v>0.05</v>
      </c>
      <c r="F151" s="36">
        <f t="shared" si="30"/>
        <v>0.05</v>
      </c>
      <c r="G151" s="35">
        <f>(B151*'Labor Rates and O&amp;M Costs'!$G$7)+(C151*'Labor Rates and O&amp;M Costs'!$G$8)+(D151*'Labor Rates and O&amp;M Costs'!$G$9)+(E151*'Labor Rates and O&amp;M Costs'!$G$10)</f>
        <v>1.972</v>
      </c>
      <c r="H151" s="35">
        <v>0</v>
      </c>
      <c r="I151" s="35">
        <v>0</v>
      </c>
      <c r="J151" s="36">
        <f>J150</f>
        <v>3.5</v>
      </c>
      <c r="K151" s="85">
        <v>0.17499999999999999</v>
      </c>
      <c r="L151" s="93">
        <v>5.45</v>
      </c>
    </row>
    <row r="152" spans="1:12" s="3" customFormat="1" ht="15">
      <c r="A152" s="129" t="s">
        <v>205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</row>
    <row r="153" spans="1:12" s="3" customFormat="1" ht="25.5">
      <c r="A153" s="64" t="s">
        <v>206</v>
      </c>
      <c r="B153" s="36">
        <v>0</v>
      </c>
      <c r="C153" s="36">
        <v>0</v>
      </c>
      <c r="D153" s="36">
        <v>0.25</v>
      </c>
      <c r="E153" s="36">
        <v>0</v>
      </c>
      <c r="F153" s="36">
        <f>SUM(B153:E153)</f>
        <v>0.25</v>
      </c>
      <c r="G153" s="35">
        <f>(B153*'Labor Rates and O&amp;M Costs'!$G$7)+(C153*'Labor Rates and O&amp;M Costs'!$G$8)+(D153*'Labor Rates and O&amp;M Costs'!$G$9)+(E153*'Labor Rates and O&amp;M Costs'!$G$10)</f>
        <v>24.587499999999999</v>
      </c>
      <c r="H153" s="35">
        <v>0</v>
      </c>
      <c r="I153" s="35">
        <v>0</v>
      </c>
      <c r="J153" s="36">
        <f>'Respondents Univ_Assumptions'!G18</f>
        <v>1</v>
      </c>
      <c r="K153" s="85">
        <v>0.25</v>
      </c>
      <c r="L153" s="93">
        <v>20.93</v>
      </c>
    </row>
    <row r="154" spans="1:12" s="3" customFormat="1" ht="15">
      <c r="A154" s="129" t="s">
        <v>207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</row>
    <row r="155" spans="1:12" s="3" customFormat="1" ht="15">
      <c r="A155" s="64" t="s">
        <v>208</v>
      </c>
      <c r="B155" s="36">
        <v>0</v>
      </c>
      <c r="C155" s="36">
        <v>0</v>
      </c>
      <c r="D155" s="36">
        <v>0.25</v>
      </c>
      <c r="E155" s="36">
        <v>0</v>
      </c>
      <c r="F155" s="36">
        <f t="shared" ref="F155:F157" si="31">SUM(B155:E155)</f>
        <v>0.25</v>
      </c>
      <c r="G155" s="35">
        <f>(B155*'Labor Rates and O&amp;M Costs'!$G$7)+(C155*'Labor Rates and O&amp;M Costs'!$G$8)+(D155*'Labor Rates and O&amp;M Costs'!$G$9)+(E155*'Labor Rates and O&amp;M Costs'!$G$10)</f>
        <v>24.587499999999999</v>
      </c>
      <c r="H155" s="35">
        <v>0</v>
      </c>
      <c r="I155" s="35">
        <v>0</v>
      </c>
      <c r="J155" s="36">
        <f>'Respondents Univ_Assumptions'!G19</f>
        <v>0</v>
      </c>
      <c r="K155" s="85">
        <v>0</v>
      </c>
      <c r="L155" s="93">
        <v>0</v>
      </c>
    </row>
    <row r="156" spans="1:12" s="3" customFormat="1" ht="15">
      <c r="A156" s="64" t="s">
        <v>209</v>
      </c>
      <c r="B156" s="36">
        <v>0</v>
      </c>
      <c r="C156" s="36">
        <v>0</v>
      </c>
      <c r="D156" s="36">
        <v>0.25</v>
      </c>
      <c r="E156" s="36">
        <v>0</v>
      </c>
      <c r="F156" s="36">
        <f t="shared" si="31"/>
        <v>0.25</v>
      </c>
      <c r="G156" s="35">
        <f>(B156*'Labor Rates and O&amp;M Costs'!$G$7)+(C156*'Labor Rates and O&amp;M Costs'!$G$8)+(D156*'Labor Rates and O&amp;M Costs'!$G$9)+(E156*'Labor Rates and O&amp;M Costs'!$G$10)</f>
        <v>24.587499999999999</v>
      </c>
      <c r="H156" s="35">
        <v>0</v>
      </c>
      <c r="I156" s="35">
        <v>0</v>
      </c>
      <c r="J156" s="36">
        <f>$J$155</f>
        <v>0</v>
      </c>
      <c r="K156" s="85">
        <v>0</v>
      </c>
      <c r="L156" s="93">
        <v>0</v>
      </c>
    </row>
    <row r="157" spans="1:12" s="3" customFormat="1" ht="38.25">
      <c r="A157" s="64" t="s">
        <v>210</v>
      </c>
      <c r="B157" s="36">
        <v>0</v>
      </c>
      <c r="C157" s="36">
        <v>0</v>
      </c>
      <c r="D157" s="36">
        <v>0.25</v>
      </c>
      <c r="E157" s="36">
        <v>0</v>
      </c>
      <c r="F157" s="36">
        <f t="shared" si="31"/>
        <v>0.25</v>
      </c>
      <c r="G157" s="35">
        <f>(B157*'Labor Rates and O&amp;M Costs'!$G$7)+(C157*'Labor Rates and O&amp;M Costs'!$G$8)+(D157*'Labor Rates and O&amp;M Costs'!$G$9)+(E157*'Labor Rates and O&amp;M Costs'!$G$10)</f>
        <v>24.587499999999999</v>
      </c>
      <c r="H157" s="35">
        <v>0</v>
      </c>
      <c r="I157" s="35">
        <v>0</v>
      </c>
      <c r="J157" s="36">
        <f>$J$155</f>
        <v>0</v>
      </c>
      <c r="K157" s="85">
        <v>0</v>
      </c>
      <c r="L157" s="93">
        <v>0</v>
      </c>
    </row>
    <row r="158" spans="1:12" s="3" customFormat="1" ht="15">
      <c r="A158" s="131" t="s">
        <v>211</v>
      </c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3"/>
    </row>
    <row r="159" spans="1:12" s="3" customFormat="1" ht="15">
      <c r="A159" s="129" t="s">
        <v>197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</row>
    <row r="160" spans="1:12" s="3" customFormat="1" ht="25.5">
      <c r="A160" s="64" t="s">
        <v>212</v>
      </c>
      <c r="B160" s="36">
        <v>0</v>
      </c>
      <c r="C160" s="36">
        <v>0</v>
      </c>
      <c r="D160" s="36">
        <v>1.5</v>
      </c>
      <c r="E160" s="36">
        <v>0</v>
      </c>
      <c r="F160" s="36">
        <f t="shared" ref="F160:F163" si="32">SUM(B160:E160)</f>
        <v>1.5</v>
      </c>
      <c r="G160" s="35">
        <f>(B160*'Labor Rates and O&amp;M Costs'!$G$7)+(C160*'Labor Rates and O&amp;M Costs'!$G$8)+(D160*'Labor Rates and O&amp;M Costs'!$G$9)+(E160*'Labor Rates and O&amp;M Costs'!$G$10)</f>
        <v>147.52499999999998</v>
      </c>
      <c r="H160" s="35">
        <v>0</v>
      </c>
      <c r="I160" s="35">
        <v>0.6</v>
      </c>
      <c r="J160" s="36">
        <f>J145</f>
        <v>0</v>
      </c>
      <c r="K160" s="85">
        <v>0.45</v>
      </c>
      <c r="L160" s="93">
        <v>37.86</v>
      </c>
    </row>
    <row r="161" spans="1:12" s="3" customFormat="1" ht="15">
      <c r="A161" s="64" t="s">
        <v>213</v>
      </c>
      <c r="B161" s="36">
        <v>0</v>
      </c>
      <c r="C161" s="36">
        <v>0.1</v>
      </c>
      <c r="D161" s="36">
        <v>0.3</v>
      </c>
      <c r="E161" s="36">
        <v>1.34</v>
      </c>
      <c r="F161" s="36">
        <f t="shared" si="32"/>
        <v>1.7400000000000002</v>
      </c>
      <c r="G161" s="35">
        <f>(B161*'Labor Rates and O&amp;M Costs'!$G$7)+(C161*'Labor Rates and O&amp;M Costs'!$G$8)+(D161*'Labor Rates and O&amp;M Costs'!$G$9)+(E161*'Labor Rates and O&amp;M Costs'!$G$10)</f>
        <v>93.898599999999988</v>
      </c>
      <c r="H161" s="35">
        <v>0</v>
      </c>
      <c r="I161" s="35">
        <v>0</v>
      </c>
      <c r="J161" s="36">
        <f>J160</f>
        <v>0</v>
      </c>
      <c r="K161" s="85">
        <v>0.52200000000000002</v>
      </c>
      <c r="L161" s="93">
        <v>23.46</v>
      </c>
    </row>
    <row r="162" spans="1:12" s="3" customFormat="1" ht="15">
      <c r="A162" s="64" t="s">
        <v>200</v>
      </c>
      <c r="B162" s="36">
        <v>0</v>
      </c>
      <c r="C162" s="36">
        <v>0</v>
      </c>
      <c r="D162" s="36">
        <v>0</v>
      </c>
      <c r="E162" s="36">
        <v>0.05</v>
      </c>
      <c r="F162" s="36">
        <f t="shared" si="32"/>
        <v>0.05</v>
      </c>
      <c r="G162" s="35">
        <f>(B162*'Labor Rates and O&amp;M Costs'!$G$7)+(C162*'Labor Rates and O&amp;M Costs'!$G$8)+(D162*'Labor Rates and O&amp;M Costs'!$G$9)+(E162*'Labor Rates and O&amp;M Costs'!$G$10)</f>
        <v>1.972</v>
      </c>
      <c r="H162" s="35">
        <v>0</v>
      </c>
      <c r="I162" s="35">
        <v>0</v>
      </c>
      <c r="J162" s="36">
        <f>J161</f>
        <v>0</v>
      </c>
      <c r="K162" s="85">
        <v>1.4999999999999999E-2</v>
      </c>
      <c r="L162" s="93">
        <v>0.47</v>
      </c>
    </row>
    <row r="163" spans="1:12" s="3" customFormat="1" ht="15">
      <c r="A163" s="64" t="s">
        <v>201</v>
      </c>
      <c r="B163" s="36">
        <v>0</v>
      </c>
      <c r="C163" s="36">
        <v>0</v>
      </c>
      <c r="D163" s="36">
        <v>0</v>
      </c>
      <c r="E163" s="36">
        <v>0.16</v>
      </c>
      <c r="F163" s="36">
        <f t="shared" si="32"/>
        <v>0.16</v>
      </c>
      <c r="G163" s="35">
        <f>(B163*'Labor Rates and O&amp;M Costs'!$G$7)+(C163*'Labor Rates and O&amp;M Costs'!$G$8)+(D163*'Labor Rates and O&amp;M Costs'!$G$9)+(E163*'Labor Rates and O&amp;M Costs'!$G$10)</f>
        <v>6.3103999999999996</v>
      </c>
      <c r="H163" s="35">
        <v>0</v>
      </c>
      <c r="I163" s="35">
        <v>0.48</v>
      </c>
      <c r="J163" s="36">
        <f>J162</f>
        <v>0</v>
      </c>
      <c r="K163" s="85">
        <v>0.08</v>
      </c>
      <c r="L163" s="93">
        <v>2.73</v>
      </c>
    </row>
    <row r="164" spans="1:12" s="3" customFormat="1" ht="15">
      <c r="A164" s="129" t="s">
        <v>202</v>
      </c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</row>
    <row r="165" spans="1:12" s="3" customFormat="1" ht="25.5">
      <c r="A165" s="64" t="s">
        <v>203</v>
      </c>
      <c r="B165" s="36">
        <v>0</v>
      </c>
      <c r="C165" s="36">
        <v>0</v>
      </c>
      <c r="D165" s="36">
        <v>0</v>
      </c>
      <c r="E165" s="36">
        <v>0.05</v>
      </c>
      <c r="F165" s="36">
        <f>SUM(B165:E165)</f>
        <v>0.05</v>
      </c>
      <c r="G165" s="35">
        <f>(B165*'Labor Rates and O&amp;M Costs'!$G$7)+(C165*'Labor Rates and O&amp;M Costs'!$G$8)+(D165*'Labor Rates and O&amp;M Costs'!$G$9)+(E165*'Labor Rates and O&amp;M Costs'!$G$10)</f>
        <v>1.972</v>
      </c>
      <c r="H165" s="35">
        <v>0</v>
      </c>
      <c r="I165" s="35">
        <v>0.48</v>
      </c>
      <c r="J165" s="36">
        <f>J150</f>
        <v>3.5</v>
      </c>
      <c r="K165" s="85">
        <v>0.17499999999999999</v>
      </c>
      <c r="L165" s="93">
        <v>7.13</v>
      </c>
    </row>
    <row r="166" spans="1:12" s="3" customFormat="1" ht="15">
      <c r="A166" s="129" t="s">
        <v>205</v>
      </c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</row>
    <row r="167" spans="1:12" s="3" customFormat="1" ht="25.5">
      <c r="A167" s="64" t="s">
        <v>206</v>
      </c>
      <c r="B167" s="36">
        <v>0</v>
      </c>
      <c r="C167" s="36">
        <v>0</v>
      </c>
      <c r="D167" s="36">
        <v>0.25</v>
      </c>
      <c r="E167" s="36">
        <v>0</v>
      </c>
      <c r="F167" s="36">
        <f>SUM(B167:E167)</f>
        <v>0.25</v>
      </c>
      <c r="G167" s="35">
        <f>(B167*'Labor Rates and O&amp;M Costs'!$G$7)+(C167*'Labor Rates and O&amp;M Costs'!$G$8)+(D167*'Labor Rates and O&amp;M Costs'!$G$9)+(E167*'Labor Rates and O&amp;M Costs'!$G$10)</f>
        <v>24.587499999999999</v>
      </c>
      <c r="H167" s="35">
        <v>0</v>
      </c>
      <c r="I167" s="35">
        <v>0</v>
      </c>
      <c r="J167" s="36">
        <f>'Respondents Univ_Assumptions'!G20</f>
        <v>1</v>
      </c>
      <c r="K167" s="85">
        <v>0.25</v>
      </c>
      <c r="L167" s="93">
        <v>20.93</v>
      </c>
    </row>
    <row r="168" spans="1:12" s="3" customFormat="1" ht="15">
      <c r="A168" s="68"/>
      <c r="B168" s="69"/>
      <c r="C168" s="69"/>
      <c r="D168" s="69"/>
      <c r="E168" s="69"/>
      <c r="F168" s="69"/>
      <c r="G168" s="70"/>
      <c r="H168" s="70"/>
      <c r="I168" s="70"/>
      <c r="J168" s="69"/>
      <c r="K168" s="96"/>
      <c r="L168" s="97"/>
    </row>
    <row r="169" spans="1:12" customFormat="1" ht="15">
      <c r="K169" s="53"/>
      <c r="L169" s="98"/>
    </row>
    <row r="170" spans="1:12" customFormat="1" ht="15">
      <c r="K170" s="53"/>
      <c r="L170" s="98"/>
    </row>
    <row r="171" spans="1:12" ht="11.1" customHeight="1">
      <c r="A171" s="79" t="s">
        <v>149</v>
      </c>
    </row>
    <row r="172" spans="1:12" ht="11.1" customHeight="1">
      <c r="A172" s="79" t="s">
        <v>107</v>
      </c>
    </row>
    <row r="173" spans="1:12" ht="11.1" customHeight="1">
      <c r="I173" s="58"/>
    </row>
    <row r="174" spans="1:12" ht="11.1" customHeight="1">
      <c r="B174" s="128" t="s">
        <v>108</v>
      </c>
      <c r="C174" s="128"/>
      <c r="D174" s="128"/>
      <c r="E174" s="128"/>
      <c r="F174" s="71"/>
      <c r="G174" s="72"/>
      <c r="H174" s="73"/>
      <c r="I174" s="74"/>
      <c r="J174" s="74"/>
      <c r="K174" s="87"/>
      <c r="L174" s="91"/>
    </row>
    <row r="175" spans="1:12" ht="11.1" customHeight="1">
      <c r="A175" s="62" t="s">
        <v>109</v>
      </c>
      <c r="B175" s="75" t="s">
        <v>110</v>
      </c>
      <c r="C175" s="75" t="s">
        <v>111</v>
      </c>
      <c r="D175" s="75" t="s">
        <v>112</v>
      </c>
      <c r="E175" s="75" t="s">
        <v>113</v>
      </c>
      <c r="F175" s="75" t="s">
        <v>114</v>
      </c>
      <c r="G175" s="73" t="s">
        <v>115</v>
      </c>
      <c r="H175" s="73" t="s">
        <v>116</v>
      </c>
      <c r="I175" s="73" t="s">
        <v>117</v>
      </c>
      <c r="J175" s="76" t="s">
        <v>118</v>
      </c>
      <c r="K175" s="88" t="s">
        <v>119</v>
      </c>
      <c r="L175" s="92" t="s">
        <v>120</v>
      </c>
    </row>
    <row r="176" spans="1:12" ht="11.1" customHeight="1">
      <c r="B176" s="77" t="str">
        <f>"@ $"&amp;FIXED('Labor Rates and O&amp;M Costs'!$G$7,2,TRUE)&amp;"/hr"</f>
        <v>@ $169.31/hr</v>
      </c>
      <c r="C176" s="77" t="str">
        <f>"@ $"&amp;FIXED('Labor Rates and O&amp;M Costs'!$G$8,2,TRUE)&amp;"/hr"</f>
        <v>@ $115.44/hr</v>
      </c>
      <c r="D176" s="77" t="str">
        <f>"@ $"&amp;FIXED('Labor Rates and O&amp;M Costs'!$G$9,2,TRUE)&amp;"/hr"</f>
        <v>@ $98.35/hr</v>
      </c>
      <c r="E176" s="77" t="str">
        <f>"@ $"&amp;FIXED('Labor Rates and O&amp;M Costs'!$G$10,2,TRUE)&amp;"/hr"</f>
        <v>@ $39.44/hr</v>
      </c>
      <c r="F176" s="75" t="s">
        <v>121</v>
      </c>
      <c r="G176" s="78" t="s">
        <v>121</v>
      </c>
      <c r="H176" s="78" t="s">
        <v>121</v>
      </c>
      <c r="I176" s="78" t="s">
        <v>121</v>
      </c>
      <c r="J176" s="76" t="s">
        <v>122</v>
      </c>
      <c r="K176" s="88" t="s">
        <v>123</v>
      </c>
      <c r="L176" s="92" t="s">
        <v>123</v>
      </c>
    </row>
    <row r="177" spans="1:12" s="3" customFormat="1" ht="15">
      <c r="A177" s="127" t="s">
        <v>214</v>
      </c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</row>
    <row r="178" spans="1:12" s="3" customFormat="1" ht="25.5">
      <c r="A178" s="64" t="s">
        <v>215</v>
      </c>
      <c r="B178" s="36">
        <v>0</v>
      </c>
      <c r="C178" s="36">
        <v>0</v>
      </c>
      <c r="D178" s="36">
        <v>1</v>
      </c>
      <c r="E178" s="36">
        <v>0.1</v>
      </c>
      <c r="F178" s="36">
        <f t="shared" ref="F178:F183" si="33">SUM(B178:E178)</f>
        <v>1.1000000000000001</v>
      </c>
      <c r="G178" s="35">
        <f>(B178*'Labor Rates and O&amp;M Costs'!$G$7)+(C178*'Labor Rates and O&amp;M Costs'!$G$8)+(D178*'Labor Rates and O&amp;M Costs'!$G$9)+(E178*'Labor Rates and O&amp;M Costs'!$G$10)</f>
        <v>102.294</v>
      </c>
      <c r="H178" s="35">
        <v>0</v>
      </c>
      <c r="I178" s="35">
        <v>0</v>
      </c>
      <c r="J178" s="60">
        <f>ROUND($J$179/3,0)</f>
        <v>1433</v>
      </c>
      <c r="K178" s="85">
        <v>2750</v>
      </c>
      <c r="L178" s="93">
        <v>217126.05</v>
      </c>
    </row>
    <row r="179" spans="1:12" s="3" customFormat="1" ht="15">
      <c r="A179" s="64" t="s">
        <v>216</v>
      </c>
      <c r="B179" s="36">
        <v>0</v>
      </c>
      <c r="C179" s="36">
        <v>0</v>
      </c>
      <c r="D179" s="36">
        <v>0.25</v>
      </c>
      <c r="E179" s="36">
        <v>0</v>
      </c>
      <c r="F179" s="36">
        <f t="shared" si="33"/>
        <v>0.25</v>
      </c>
      <c r="G179" s="35">
        <f>(B179*'Labor Rates and O&amp;M Costs'!$G$7)+(C179*'Labor Rates and O&amp;M Costs'!$G$8)+(D179*'Labor Rates and O&amp;M Costs'!$G$9)+(E179*'Labor Rates and O&amp;M Costs'!$G$10)</f>
        <v>24.587499999999999</v>
      </c>
      <c r="H179" s="35">
        <v>0</v>
      </c>
      <c r="I179" s="35">
        <v>0</v>
      </c>
      <c r="J179" s="60">
        <f>'Respondents Univ_Assumptions'!$C$20</f>
        <v>4300</v>
      </c>
      <c r="K179" s="85">
        <v>1875</v>
      </c>
      <c r="L179" s="93">
        <v>157005.63</v>
      </c>
    </row>
    <row r="180" spans="1:12" s="3" customFormat="1" ht="25.5">
      <c r="A180" s="64" t="s">
        <v>217</v>
      </c>
      <c r="B180" s="36">
        <v>0</v>
      </c>
      <c r="C180" s="36">
        <v>0</v>
      </c>
      <c r="D180" s="36">
        <v>1.5</v>
      </c>
      <c r="E180" s="36">
        <v>0.1</v>
      </c>
      <c r="F180" s="36">
        <f t="shared" si="33"/>
        <v>1.6</v>
      </c>
      <c r="G180" s="35">
        <f>(B180*'Labor Rates and O&amp;M Costs'!$G$7)+(C180*'Labor Rates and O&amp;M Costs'!$G$8)+(D180*'Labor Rates and O&amp;M Costs'!$G$9)+(E180*'Labor Rates and O&amp;M Costs'!$G$10)</f>
        <v>151.46899999999997</v>
      </c>
      <c r="H180" s="35">
        <v>0</v>
      </c>
      <c r="I180" s="35">
        <v>0</v>
      </c>
      <c r="J180" s="60">
        <f>J178</f>
        <v>1433</v>
      </c>
      <c r="K180" s="85">
        <v>4000</v>
      </c>
      <c r="L180" s="93">
        <v>321796.47999999998</v>
      </c>
    </row>
    <row r="181" spans="1:12" s="3" customFormat="1" ht="15">
      <c r="A181" s="64" t="s">
        <v>218</v>
      </c>
      <c r="B181" s="36">
        <v>0</v>
      </c>
      <c r="C181" s="36">
        <v>0</v>
      </c>
      <c r="D181" s="36">
        <v>1</v>
      </c>
      <c r="E181" s="36">
        <v>0.4</v>
      </c>
      <c r="F181" s="36">
        <f t="shared" si="33"/>
        <v>1.4</v>
      </c>
      <c r="G181" s="35">
        <f>(B181*'Labor Rates and O&amp;M Costs'!$G$7)+(C181*'Labor Rates and O&amp;M Costs'!$G$8)+(D181*'Labor Rates and O&amp;M Costs'!$G$9)+(E181*'Labor Rates and O&amp;M Costs'!$G$10)</f>
        <v>114.12599999999999</v>
      </c>
      <c r="H181" s="35">
        <v>0</v>
      </c>
      <c r="I181" s="35">
        <v>0</v>
      </c>
      <c r="J181" s="60">
        <f>$J$179</f>
        <v>4300</v>
      </c>
      <c r="K181" s="85">
        <v>10500</v>
      </c>
      <c r="L181" s="93">
        <v>721445.01</v>
      </c>
    </row>
    <row r="182" spans="1:12" s="3" customFormat="1" ht="15">
      <c r="A182" s="64" t="s">
        <v>209</v>
      </c>
      <c r="B182" s="36">
        <v>0</v>
      </c>
      <c r="C182" s="36">
        <v>0</v>
      </c>
      <c r="D182" s="36">
        <v>1</v>
      </c>
      <c r="E182" s="36">
        <v>0</v>
      </c>
      <c r="F182" s="36">
        <f t="shared" si="33"/>
        <v>1</v>
      </c>
      <c r="G182" s="35">
        <f>(B182*'Labor Rates and O&amp;M Costs'!$G$7)+(C182*'Labor Rates and O&amp;M Costs'!$G$8)+(D182*'Labor Rates and O&amp;M Costs'!$G$9)+(E182*'Labor Rates and O&amp;M Costs'!$G$10)</f>
        <v>98.35</v>
      </c>
      <c r="H182" s="35">
        <v>0</v>
      </c>
      <c r="I182" s="35">
        <v>0</v>
      </c>
      <c r="J182" s="60">
        <f>$J$179</f>
        <v>4300</v>
      </c>
      <c r="K182" s="85">
        <v>7500</v>
      </c>
      <c r="L182" s="93">
        <v>628022.54</v>
      </c>
    </row>
    <row r="183" spans="1:12" s="3" customFormat="1" ht="15">
      <c r="A183" s="64" t="s">
        <v>208</v>
      </c>
      <c r="B183" s="36">
        <v>0</v>
      </c>
      <c r="C183" s="36">
        <v>0</v>
      </c>
      <c r="D183" s="36">
        <v>0.5</v>
      </c>
      <c r="E183" s="36">
        <v>0</v>
      </c>
      <c r="F183" s="36">
        <f t="shared" si="33"/>
        <v>0.5</v>
      </c>
      <c r="G183" s="35">
        <f>(B183*'Labor Rates and O&amp;M Costs'!$G$7)+(C183*'Labor Rates and O&amp;M Costs'!$G$8)+(D183*'Labor Rates and O&amp;M Costs'!$G$9)+(E183*'Labor Rates and O&amp;M Costs'!$G$10)</f>
        <v>49.174999999999997</v>
      </c>
      <c r="H183" s="35">
        <v>0</v>
      </c>
      <c r="I183" s="35">
        <v>0</v>
      </c>
      <c r="J183" s="60">
        <f>$J$179</f>
        <v>4300</v>
      </c>
      <c r="K183" s="85">
        <v>3750</v>
      </c>
      <c r="L183" s="93">
        <v>314011.27</v>
      </c>
    </row>
    <row r="184" spans="1:12" s="3" customFormat="1" ht="15">
      <c r="A184" s="134" t="s">
        <v>219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</row>
    <row r="185" spans="1:12" s="3" customFormat="1" ht="15">
      <c r="A185" s="64" t="s">
        <v>220</v>
      </c>
      <c r="B185" s="36">
        <v>0</v>
      </c>
      <c r="C185" s="36">
        <v>1</v>
      </c>
      <c r="D185" s="36">
        <v>2</v>
      </c>
      <c r="E185" s="36">
        <v>0</v>
      </c>
      <c r="F185" s="36">
        <f t="shared" ref="F185:F187" si="34">SUM(B185:E185)</f>
        <v>3</v>
      </c>
      <c r="G185" s="35">
        <f>(B185*'Labor Rates and O&amp;M Costs'!$G$7)+(C185*'Labor Rates and O&amp;M Costs'!$G$8)+(D185*'Labor Rates and O&amp;M Costs'!$G$9)+(E185*'Labor Rates and O&amp;M Costs'!$G$10)</f>
        <v>312.14</v>
      </c>
      <c r="H185" s="35">
        <v>0</v>
      </c>
      <c r="I185" s="35">
        <v>0</v>
      </c>
      <c r="J185" s="36">
        <f>'Respondents Univ_Assumptions'!$C$21</f>
        <v>9</v>
      </c>
      <c r="K185" s="85">
        <v>108</v>
      </c>
      <c r="L185" s="93">
        <v>10110.950000000001</v>
      </c>
    </row>
    <row r="186" spans="1:12" s="3" customFormat="1" ht="15">
      <c r="A186" s="64" t="s">
        <v>221</v>
      </c>
      <c r="B186" s="36">
        <v>0</v>
      </c>
      <c r="C186" s="36">
        <v>0</v>
      </c>
      <c r="D186" s="36">
        <v>0</v>
      </c>
      <c r="E186" s="36">
        <v>0.5</v>
      </c>
      <c r="F186" s="36">
        <f t="shared" si="34"/>
        <v>0.5</v>
      </c>
      <c r="G186" s="35">
        <f>(B186*'Labor Rates and O&amp;M Costs'!$G$7)+(C186*'Labor Rates and O&amp;M Costs'!$G$8)+(D186*'Labor Rates and O&amp;M Costs'!$G$9)+(E186*'Labor Rates and O&amp;M Costs'!$G$10)</f>
        <v>19.72</v>
      </c>
      <c r="H186" s="35">
        <v>0</v>
      </c>
      <c r="I186" s="35">
        <v>0</v>
      </c>
      <c r="J186" s="36">
        <f>$J$185</f>
        <v>9</v>
      </c>
      <c r="K186" s="85">
        <v>18</v>
      </c>
      <c r="L186" s="93">
        <v>560.53</v>
      </c>
    </row>
    <row r="187" spans="1:12" s="3" customFormat="1" ht="15">
      <c r="A187" s="64" t="s">
        <v>222</v>
      </c>
      <c r="B187" s="36">
        <v>0</v>
      </c>
      <c r="C187" s="36">
        <v>1</v>
      </c>
      <c r="D187" s="36">
        <v>2</v>
      </c>
      <c r="E187" s="36">
        <v>0.5</v>
      </c>
      <c r="F187" s="36">
        <f t="shared" si="34"/>
        <v>3.5</v>
      </c>
      <c r="G187" s="35">
        <f>(B187*'Labor Rates and O&amp;M Costs'!$G$7)+(C187*'Labor Rates and O&amp;M Costs'!$G$8)+(D187*'Labor Rates and O&amp;M Costs'!$G$9)+(E187*'Labor Rates and O&amp;M Costs'!$G$10)</f>
        <v>331.86</v>
      </c>
      <c r="H187" s="35">
        <v>0</v>
      </c>
      <c r="I187" s="35">
        <v>0</v>
      </c>
      <c r="J187" s="36">
        <f>$J$185</f>
        <v>9</v>
      </c>
      <c r="K187" s="85">
        <v>0</v>
      </c>
      <c r="L187" s="93">
        <v>0</v>
      </c>
    </row>
    <row r="188" spans="1:12" s="3" customFormat="1" ht="15">
      <c r="A188" s="84" t="s">
        <v>223</v>
      </c>
      <c r="B188" s="59" t="s">
        <v>224</v>
      </c>
      <c r="C188" s="59" t="s">
        <v>224</v>
      </c>
      <c r="D188" s="59" t="s">
        <v>224</v>
      </c>
      <c r="E188" s="59" t="s">
        <v>224</v>
      </c>
      <c r="F188" s="59" t="s">
        <v>224</v>
      </c>
      <c r="G188" s="103">
        <f>SUM(G11:G187)</f>
        <v>79908.095599999928</v>
      </c>
      <c r="H188" s="103">
        <f>SUM(H11:H187)</f>
        <v>0</v>
      </c>
      <c r="I188" s="103">
        <f>SUM(I11:I187)</f>
        <v>20330.739999999991</v>
      </c>
      <c r="J188" s="59" t="s">
        <v>224</v>
      </c>
      <c r="K188" s="61">
        <f>SUM(K11:K187)</f>
        <v>36488.529000000002</v>
      </c>
      <c r="L188" s="94">
        <f>SUM(L11:L187)</f>
        <v>3023255.59</v>
      </c>
    </row>
    <row r="189" spans="1:12" s="3" customFormat="1" ht="18.75">
      <c r="A189" s="65" t="s">
        <v>225</v>
      </c>
      <c r="K189" s="89"/>
      <c r="L189" s="95"/>
    </row>
  </sheetData>
  <mergeCells count="55">
    <mergeCell ref="B4:E4"/>
    <mergeCell ref="A26:L26"/>
    <mergeCell ref="A50:L50"/>
    <mergeCell ref="A77:L77"/>
    <mergeCell ref="A87:L87"/>
    <mergeCell ref="A7:L7"/>
    <mergeCell ref="A8:L8"/>
    <mergeCell ref="A18:L18"/>
    <mergeCell ref="A19:L19"/>
    <mergeCell ref="A30:L30"/>
    <mergeCell ref="A31:L31"/>
    <mergeCell ref="A13:L13"/>
    <mergeCell ref="A9:L9"/>
    <mergeCell ref="A10:L10"/>
    <mergeCell ref="A88:L88"/>
    <mergeCell ref="A95:L95"/>
    <mergeCell ref="B41:E41"/>
    <mergeCell ref="A56:L56"/>
    <mergeCell ref="B74:E74"/>
    <mergeCell ref="A49:L49"/>
    <mergeCell ref="A78:L78"/>
    <mergeCell ref="A79:L79"/>
    <mergeCell ref="A82:L82"/>
    <mergeCell ref="A59:L59"/>
    <mergeCell ref="A53:L53"/>
    <mergeCell ref="A44:L44"/>
    <mergeCell ref="A45:L45"/>
    <mergeCell ref="A55:L55"/>
    <mergeCell ref="A118:L118"/>
    <mergeCell ref="A184:L184"/>
    <mergeCell ref="B135:E135"/>
    <mergeCell ref="A143:L143"/>
    <mergeCell ref="A144:L144"/>
    <mergeCell ref="A149:L149"/>
    <mergeCell ref="A138:L138"/>
    <mergeCell ref="A139:L139"/>
    <mergeCell ref="A142:L142"/>
    <mergeCell ref="A177:L177"/>
    <mergeCell ref="B174:E174"/>
    <mergeCell ref="A99:L99"/>
    <mergeCell ref="A110:L110"/>
    <mergeCell ref="B107:E107"/>
    <mergeCell ref="A164:L164"/>
    <mergeCell ref="A166:L166"/>
    <mergeCell ref="A120:L120"/>
    <mergeCell ref="A122:L122"/>
    <mergeCell ref="A123:L123"/>
    <mergeCell ref="A127:L127"/>
    <mergeCell ref="A125:L125"/>
    <mergeCell ref="A111:L111"/>
    <mergeCell ref="A158:L158"/>
    <mergeCell ref="A152:L152"/>
    <mergeCell ref="A154:L154"/>
    <mergeCell ref="A159:L159"/>
    <mergeCell ref="A112:L1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84F5-E0C1-4BD6-B516-2F85F70BD0E6}">
  <dimension ref="A1:L114"/>
  <sheetViews>
    <sheetView showGridLines="0" topLeftCell="A4" zoomScale="75" zoomScaleNormal="75" workbookViewId="0">
      <selection activeCell="A118" sqref="A118"/>
    </sheetView>
  </sheetViews>
  <sheetFormatPr defaultColWidth="8.7109375" defaultRowHeight="12"/>
  <cols>
    <col min="1" max="1" width="53.28515625" style="63" customWidth="1"/>
    <col min="2" max="2" width="12.140625" style="55" customWidth="1"/>
    <col min="3" max="4" width="12.5703125" style="55" customWidth="1"/>
    <col min="5" max="5" width="13.85546875" style="55" customWidth="1"/>
    <col min="6" max="6" width="13.5703125" style="55" customWidth="1"/>
    <col min="7" max="7" width="15.5703125" style="56" customWidth="1"/>
    <col min="8" max="8" width="13.42578125" style="56" customWidth="1"/>
    <col min="9" max="9" width="13.140625" style="57" customWidth="1"/>
    <col min="10" max="10" width="13.42578125" style="57" customWidth="1"/>
    <col min="11" max="11" width="12.85546875" style="86" customWidth="1"/>
    <col min="12" max="12" width="17.85546875" style="90" customWidth="1"/>
    <col min="13" max="13" width="8.7109375" style="66"/>
    <col min="14" max="14" width="11.5703125" style="66" customWidth="1"/>
    <col min="15" max="15" width="15.85546875" style="66" customWidth="1"/>
    <col min="16" max="16384" width="8.7109375" style="66"/>
  </cols>
  <sheetData>
    <row r="1" spans="1:12" ht="11.1" customHeight="1">
      <c r="A1" s="79" t="s">
        <v>226</v>
      </c>
    </row>
    <row r="2" spans="1:12" ht="11.1" customHeight="1">
      <c r="A2" s="79" t="s">
        <v>227</v>
      </c>
    </row>
    <row r="3" spans="1:12" ht="11.1" customHeight="1"/>
    <row r="4" spans="1:12" ht="11.1" customHeight="1">
      <c r="I4" s="58"/>
    </row>
    <row r="5" spans="1:12" ht="11.1" customHeight="1">
      <c r="B5" s="128" t="s">
        <v>228</v>
      </c>
      <c r="C5" s="128"/>
      <c r="D5" s="128"/>
      <c r="E5" s="128"/>
      <c r="F5" s="71"/>
      <c r="G5" s="72"/>
      <c r="H5" s="73"/>
      <c r="I5" s="74"/>
      <c r="J5" s="74"/>
      <c r="K5" s="87"/>
      <c r="L5" s="91"/>
    </row>
    <row r="6" spans="1:12" ht="11.1" customHeight="1">
      <c r="A6" s="62" t="s">
        <v>109</v>
      </c>
      <c r="B6" s="75" t="s">
        <v>110</v>
      </c>
      <c r="C6" s="75" t="s">
        <v>111</v>
      </c>
      <c r="D6" s="75" t="s">
        <v>112</v>
      </c>
      <c r="E6" s="75" t="s">
        <v>113</v>
      </c>
      <c r="F6" s="75" t="s">
        <v>114</v>
      </c>
      <c r="G6" s="73" t="s">
        <v>115</v>
      </c>
      <c r="H6" s="73" t="s">
        <v>116</v>
      </c>
      <c r="I6" s="73" t="s">
        <v>117</v>
      </c>
      <c r="J6" s="76" t="s">
        <v>118</v>
      </c>
      <c r="K6" s="88" t="s">
        <v>119</v>
      </c>
      <c r="L6" s="92" t="s">
        <v>120</v>
      </c>
    </row>
    <row r="7" spans="1:12" ht="11.1" customHeight="1">
      <c r="B7" s="77" t="str">
        <f>"@ $"&amp;FIXED('Labor Rates and O&amp;M Costs'!$O$7,2,TRUE)&amp;"/hr"</f>
        <v>@ $125.97/hr</v>
      </c>
      <c r="C7" s="77" t="str">
        <f>"@ $"&amp;FIXED('Labor Rates and O&amp;M Costs'!$O$8,2,TRUE)&amp;"/hr"</f>
        <v>@ $124.90/hr</v>
      </c>
      <c r="D7" s="77" t="str">
        <f>"@ $"&amp;FIXED('Labor Rates and O&amp;M Costs'!$O$9,2,TRUE)&amp;"/hr"</f>
        <v>@ $96.56/hr</v>
      </c>
      <c r="E7" s="77" t="str">
        <f>"@ $"&amp;FIXED('Labor Rates and O&amp;M Costs'!$O$10,2,TRUE)&amp;"/hr"</f>
        <v>@ $44.22/hr</v>
      </c>
      <c r="F7" s="75" t="s">
        <v>229</v>
      </c>
      <c r="G7" s="78" t="s">
        <v>229</v>
      </c>
      <c r="H7" s="75" t="s">
        <v>229</v>
      </c>
      <c r="I7" s="75" t="s">
        <v>229</v>
      </c>
      <c r="J7" s="76" t="s">
        <v>230</v>
      </c>
      <c r="K7" s="88" t="s">
        <v>123</v>
      </c>
      <c r="L7" s="92" t="s">
        <v>123</v>
      </c>
    </row>
    <row r="8" spans="1:12" s="3" customFormat="1" ht="15">
      <c r="A8" s="135" t="s">
        <v>124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7"/>
    </row>
    <row r="9" spans="1:12" s="3" customFormat="1" ht="15">
      <c r="A9" s="135" t="s">
        <v>125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7"/>
    </row>
    <row r="10" spans="1:12" s="3" customFormat="1" ht="15">
      <c r="A10" s="131" t="s">
        <v>129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</row>
    <row r="11" spans="1:12" s="3" customFormat="1" ht="15">
      <c r="A11" s="64" t="s">
        <v>231</v>
      </c>
      <c r="B11" s="36">
        <v>0</v>
      </c>
      <c r="C11" s="36">
        <v>0</v>
      </c>
      <c r="D11" s="36">
        <v>0.5</v>
      </c>
      <c r="E11" s="36">
        <v>0</v>
      </c>
      <c r="F11" s="36">
        <f>SUM(B11:E11)</f>
        <v>0.5</v>
      </c>
      <c r="G11" s="35">
        <f>ROUND((B11*'Labor Rates and O&amp;M Costs'!$O$7)+('Exhibit 2'!C11*'Labor Rates and O&amp;M Costs'!$O$8)+('Exhibit 2'!D11*'Labor Rates and O&amp;M Costs'!$O$9)+('Exhibit 2'!E11*'Labor Rates and O&amp;M Costs'!$O$10),2)</f>
        <v>48.28</v>
      </c>
      <c r="H11" s="35">
        <v>0</v>
      </c>
      <c r="I11" s="35">
        <v>0</v>
      </c>
      <c r="J11" s="36">
        <f>'Exhibit 1'!$J$27</f>
        <v>2</v>
      </c>
      <c r="K11" s="85">
        <f>ROUND(F11*J11,2)</f>
        <v>1</v>
      </c>
      <c r="L11" s="93">
        <f>ROUND((G11+H11+I11)*J11,2)</f>
        <v>96.56</v>
      </c>
    </row>
    <row r="12" spans="1:12" s="3" customFormat="1" ht="15">
      <c r="A12" s="64" t="s">
        <v>232</v>
      </c>
      <c r="B12" s="36">
        <v>0</v>
      </c>
      <c r="C12" s="36">
        <v>0</v>
      </c>
      <c r="D12" s="36">
        <v>0.5</v>
      </c>
      <c r="E12" s="36">
        <v>0.5</v>
      </c>
      <c r="F12" s="36">
        <f t="shared" ref="F12:F13" si="0">SUM(B12:E12)</f>
        <v>1</v>
      </c>
      <c r="G12" s="35">
        <f>ROUND((B12*'Labor Rates and O&amp;M Costs'!$O$7)+('Exhibit 2'!C12*'Labor Rates and O&amp;M Costs'!$O$8)+('Exhibit 2'!D12*'Labor Rates and O&amp;M Costs'!$O$9)+('Exhibit 2'!E12*'Labor Rates and O&amp;M Costs'!$O$10),2)</f>
        <v>70.39</v>
      </c>
      <c r="H12" s="35">
        <v>0</v>
      </c>
      <c r="I12" s="35">
        <v>0</v>
      </c>
      <c r="J12" s="36">
        <f>'Exhibit 1'!$J$27</f>
        <v>2</v>
      </c>
      <c r="K12" s="85">
        <f t="shared" ref="K12:K13" si="1">ROUND(F12*J12,2)</f>
        <v>2</v>
      </c>
      <c r="L12" s="93">
        <f t="shared" ref="L12:L13" si="2">ROUND((G12+H12+I12)*J12,2)</f>
        <v>140.78</v>
      </c>
    </row>
    <row r="13" spans="1:12" s="3" customFormat="1" ht="15">
      <c r="A13" s="64" t="s">
        <v>233</v>
      </c>
      <c r="B13" s="36">
        <v>0</v>
      </c>
      <c r="C13" s="36">
        <v>0</v>
      </c>
      <c r="D13" s="36">
        <v>0.25</v>
      </c>
      <c r="E13" s="36">
        <v>0.25</v>
      </c>
      <c r="F13" s="36">
        <f t="shared" si="0"/>
        <v>0.5</v>
      </c>
      <c r="G13" s="35">
        <f>ROUND((B13*'Labor Rates and O&amp;M Costs'!$O$7)+('Exhibit 2'!C13*'Labor Rates and O&amp;M Costs'!$O$8)+('Exhibit 2'!D13*'Labor Rates and O&amp;M Costs'!$O$9)+('Exhibit 2'!E13*'Labor Rates and O&amp;M Costs'!$O$10),2)</f>
        <v>35.200000000000003</v>
      </c>
      <c r="H13" s="35">
        <v>0</v>
      </c>
      <c r="I13" s="35">
        <v>0</v>
      </c>
      <c r="J13" s="36">
        <f>'Exhibit 1'!$J$27</f>
        <v>2</v>
      </c>
      <c r="K13" s="85">
        <f t="shared" si="1"/>
        <v>1</v>
      </c>
      <c r="L13" s="93">
        <f t="shared" si="2"/>
        <v>70.400000000000006</v>
      </c>
    </row>
    <row r="14" spans="1:12" s="3" customFormat="1" ht="15">
      <c r="A14" s="131" t="s">
        <v>234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3"/>
    </row>
    <row r="15" spans="1:12" s="3" customFormat="1" ht="15">
      <c r="A15" s="64" t="s">
        <v>235</v>
      </c>
      <c r="B15" s="36">
        <v>4</v>
      </c>
      <c r="C15" s="36">
        <v>1</v>
      </c>
      <c r="D15" s="36">
        <v>16</v>
      </c>
      <c r="E15" s="36">
        <v>0</v>
      </c>
      <c r="F15" s="36">
        <f>SUM(B15:E15)</f>
        <v>21</v>
      </c>
      <c r="G15" s="35">
        <f>ROUND((B15*'Labor Rates and O&amp;M Costs'!$O$7)+('Exhibit 2'!C15*'Labor Rates and O&amp;M Costs'!$O$8)+('Exhibit 2'!D15*'Labor Rates and O&amp;M Costs'!$O$9)+('Exhibit 2'!E15*'Labor Rates and O&amp;M Costs'!$O$10),2)</f>
        <v>2173.7399999999998</v>
      </c>
      <c r="H15" s="35">
        <v>0</v>
      </c>
      <c r="I15" s="35">
        <v>0</v>
      </c>
      <c r="J15" s="36">
        <f>'Exhibit 1'!J46</f>
        <v>12</v>
      </c>
      <c r="K15" s="85">
        <f>ROUND(F15*J15,2)</f>
        <v>252</v>
      </c>
      <c r="L15" s="93">
        <f>ROUND((G15+H15+I15)*J15,2)</f>
        <v>26084.880000000001</v>
      </c>
    </row>
    <row r="16" spans="1:12" s="3" customFormat="1" ht="15">
      <c r="A16" s="134" t="s">
        <v>159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</row>
    <row r="17" spans="1:12" s="3" customFormat="1" ht="15">
      <c r="A17" s="131" t="s">
        <v>129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3"/>
    </row>
    <row r="18" spans="1:12" s="3" customFormat="1" ht="15">
      <c r="A18" s="64" t="s">
        <v>231</v>
      </c>
      <c r="B18" s="36">
        <v>0</v>
      </c>
      <c r="C18" s="36">
        <v>0</v>
      </c>
      <c r="D18" s="36">
        <v>0.5</v>
      </c>
      <c r="E18" s="36">
        <v>0</v>
      </c>
      <c r="F18" s="36">
        <f t="shared" ref="F18:F20" si="3">SUM(B18:E18)</f>
        <v>0.5</v>
      </c>
      <c r="G18" s="35">
        <f>ROUND((B18*'Labor Rates and O&amp;M Costs'!$O$7)+('Exhibit 2'!C18*'Labor Rates and O&amp;M Costs'!$O$8)+('Exhibit 2'!D18*'Labor Rates and O&amp;M Costs'!$O$9)+('Exhibit 2'!E18*'Labor Rates and O&amp;M Costs'!$O$10),2)</f>
        <v>48.28</v>
      </c>
      <c r="H18" s="35">
        <v>0</v>
      </c>
      <c r="I18" s="35">
        <v>0</v>
      </c>
      <c r="J18" s="36">
        <f>'Exhibit 1'!$J$96</f>
        <v>3</v>
      </c>
      <c r="K18" s="85">
        <f t="shared" ref="K18:K20" si="4">ROUND(F18*J18,2)</f>
        <v>1.5</v>
      </c>
      <c r="L18" s="93">
        <f t="shared" ref="L18:L20" si="5">ROUND((G18+H18+I18)*J18,2)</f>
        <v>144.84</v>
      </c>
    </row>
    <row r="19" spans="1:12" s="3" customFormat="1" ht="15">
      <c r="A19" s="64" t="s">
        <v>232</v>
      </c>
      <c r="B19" s="36">
        <v>0</v>
      </c>
      <c r="C19" s="36">
        <v>0</v>
      </c>
      <c r="D19" s="36">
        <v>0.5</v>
      </c>
      <c r="E19" s="36">
        <v>0.5</v>
      </c>
      <c r="F19" s="36">
        <f t="shared" si="3"/>
        <v>1</v>
      </c>
      <c r="G19" s="35">
        <f>ROUND((B19*'Labor Rates and O&amp;M Costs'!$O$7)+('Exhibit 2'!C19*'Labor Rates and O&amp;M Costs'!$O$8)+('Exhibit 2'!D19*'Labor Rates and O&amp;M Costs'!$O$9)+('Exhibit 2'!E19*'Labor Rates and O&amp;M Costs'!$O$10),2)</f>
        <v>70.39</v>
      </c>
      <c r="H19" s="35">
        <v>0</v>
      </c>
      <c r="I19" s="35">
        <v>0</v>
      </c>
      <c r="J19" s="36">
        <f>'Exhibit 1'!$J$96</f>
        <v>3</v>
      </c>
      <c r="K19" s="85">
        <f t="shared" si="4"/>
        <v>3</v>
      </c>
      <c r="L19" s="93">
        <f t="shared" si="5"/>
        <v>211.17</v>
      </c>
    </row>
    <row r="20" spans="1:12" s="3" customFormat="1" ht="15">
      <c r="A20" s="64" t="s">
        <v>233</v>
      </c>
      <c r="B20" s="36">
        <v>0</v>
      </c>
      <c r="C20" s="36">
        <v>0</v>
      </c>
      <c r="D20" s="36">
        <v>0.25</v>
      </c>
      <c r="E20" s="36">
        <v>0.25</v>
      </c>
      <c r="F20" s="36">
        <f t="shared" si="3"/>
        <v>0.5</v>
      </c>
      <c r="G20" s="35">
        <f>ROUND((B20*'Labor Rates and O&amp;M Costs'!$O$7)+('Exhibit 2'!C20*'Labor Rates and O&amp;M Costs'!$O$8)+('Exhibit 2'!D20*'Labor Rates and O&amp;M Costs'!$O$9)+('Exhibit 2'!E20*'Labor Rates and O&amp;M Costs'!$O$10),2)</f>
        <v>35.200000000000003</v>
      </c>
      <c r="H20" s="35">
        <v>0</v>
      </c>
      <c r="I20" s="35">
        <v>0</v>
      </c>
      <c r="J20" s="36">
        <f>'Exhibit 1'!$J$96</f>
        <v>3</v>
      </c>
      <c r="K20" s="85">
        <f t="shared" si="4"/>
        <v>1.5</v>
      </c>
      <c r="L20" s="93">
        <f t="shared" si="5"/>
        <v>105.6</v>
      </c>
    </row>
    <row r="21" spans="1:12" s="3" customFormat="1" ht="15">
      <c r="A21" s="134" t="s">
        <v>174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</row>
    <row r="22" spans="1:12" s="3" customFormat="1" ht="15">
      <c r="A22" s="134" t="s">
        <v>176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</row>
    <row r="23" spans="1:12" s="3" customFormat="1" ht="15">
      <c r="A23" s="64" t="s">
        <v>236</v>
      </c>
      <c r="B23" s="36">
        <v>0</v>
      </c>
      <c r="C23" s="36">
        <v>2.2000000000000002</v>
      </c>
      <c r="D23" s="36">
        <v>18.16</v>
      </c>
      <c r="E23" s="36">
        <v>0</v>
      </c>
      <c r="F23" s="36">
        <f t="shared" ref="F23:F27" si="6">SUM(B23:E23)</f>
        <v>20.36</v>
      </c>
      <c r="G23" s="35">
        <f>ROUND((B23*'Labor Rates and O&amp;M Costs'!$O$7)+('Exhibit 2'!C23*'Labor Rates and O&amp;M Costs'!$O$8)+('Exhibit 2'!D23*'Labor Rates and O&amp;M Costs'!$O$9)+('Exhibit 2'!E23*'Labor Rates and O&amp;M Costs'!$O$10),2)</f>
        <v>2028.31</v>
      </c>
      <c r="H23" s="35">
        <v>0</v>
      </c>
      <c r="I23" s="35">
        <v>0</v>
      </c>
      <c r="J23" s="36">
        <f>'Exhibit 1'!$J$113</f>
        <v>4</v>
      </c>
      <c r="K23" s="85">
        <f t="shared" ref="K23:K27" si="7">ROUND(F23*J23,2)</f>
        <v>81.44</v>
      </c>
      <c r="L23" s="93">
        <f t="shared" ref="L23:L27" si="8">ROUND((G23+H23+I23)*J23,2)</f>
        <v>8113.24</v>
      </c>
    </row>
    <row r="24" spans="1:12" s="3" customFormat="1" ht="15">
      <c r="A24" s="64" t="s">
        <v>237</v>
      </c>
      <c r="B24" s="36">
        <v>0</v>
      </c>
      <c r="C24" s="36">
        <v>0</v>
      </c>
      <c r="D24" s="36">
        <v>0.55000000000000004</v>
      </c>
      <c r="E24" s="36">
        <v>1.65</v>
      </c>
      <c r="F24" s="36">
        <f t="shared" si="6"/>
        <v>2.2000000000000002</v>
      </c>
      <c r="G24" s="35">
        <f>ROUND((B24*'Labor Rates and O&amp;M Costs'!$O$7)+('Exhibit 2'!C24*'Labor Rates and O&amp;M Costs'!$O$8)+('Exhibit 2'!D24*'Labor Rates and O&amp;M Costs'!$O$9)+('Exhibit 2'!E24*'Labor Rates and O&amp;M Costs'!$O$10),2)</f>
        <v>126.07</v>
      </c>
      <c r="H24" s="35">
        <v>0</v>
      </c>
      <c r="I24" s="35">
        <v>0</v>
      </c>
      <c r="J24" s="36">
        <f>'Exhibit 1'!$J$113</f>
        <v>4</v>
      </c>
      <c r="K24" s="85">
        <f t="shared" si="7"/>
        <v>8.8000000000000007</v>
      </c>
      <c r="L24" s="93">
        <f t="shared" si="8"/>
        <v>504.28</v>
      </c>
    </row>
    <row r="25" spans="1:12" s="3" customFormat="1" ht="15">
      <c r="A25" s="64" t="s">
        <v>238</v>
      </c>
      <c r="B25" s="36">
        <v>3.85</v>
      </c>
      <c r="C25" s="36">
        <v>1.65</v>
      </c>
      <c r="D25" s="36">
        <v>25.31</v>
      </c>
      <c r="E25" s="36">
        <v>2.2000000000000002</v>
      </c>
      <c r="F25" s="36">
        <f t="shared" si="6"/>
        <v>33.01</v>
      </c>
      <c r="G25" s="35">
        <f>ROUND((B25*'Labor Rates and O&amp;M Costs'!$O$7)+('Exhibit 2'!C25*'Labor Rates and O&amp;M Costs'!$O$8)+('Exhibit 2'!D25*'Labor Rates and O&amp;M Costs'!$O$9)+('Exhibit 2'!E25*'Labor Rates and O&amp;M Costs'!$O$10),2)</f>
        <v>3232.29</v>
      </c>
      <c r="H25" s="35">
        <v>0</v>
      </c>
      <c r="I25" s="35">
        <v>0</v>
      </c>
      <c r="J25" s="36">
        <f>'Exhibit 1'!$J$113</f>
        <v>4</v>
      </c>
      <c r="K25" s="85">
        <f t="shared" si="7"/>
        <v>132.04</v>
      </c>
      <c r="L25" s="93">
        <f t="shared" si="8"/>
        <v>12929.16</v>
      </c>
    </row>
    <row r="26" spans="1:12" s="3" customFormat="1" ht="15">
      <c r="A26" s="64" t="s">
        <v>239</v>
      </c>
      <c r="B26" s="36">
        <v>0</v>
      </c>
      <c r="C26" s="36">
        <v>0</v>
      </c>
      <c r="D26" s="36">
        <v>1.65</v>
      </c>
      <c r="E26" s="36">
        <v>4.4000000000000004</v>
      </c>
      <c r="F26" s="36">
        <f t="shared" si="6"/>
        <v>6.0500000000000007</v>
      </c>
      <c r="G26" s="35">
        <f>ROUND((B26*'Labor Rates and O&amp;M Costs'!$O$7)+('Exhibit 2'!C26*'Labor Rates and O&amp;M Costs'!$O$8)+('Exhibit 2'!D26*'Labor Rates and O&amp;M Costs'!$O$9)+('Exhibit 2'!E26*'Labor Rates and O&amp;M Costs'!$O$10),2)</f>
        <v>353.89</v>
      </c>
      <c r="H26" s="35">
        <v>0</v>
      </c>
      <c r="I26" s="35">
        <v>0</v>
      </c>
      <c r="J26" s="36">
        <f>'Exhibit 1'!$J$113</f>
        <v>4</v>
      </c>
      <c r="K26" s="85">
        <f t="shared" si="7"/>
        <v>24.2</v>
      </c>
      <c r="L26" s="93">
        <f t="shared" si="8"/>
        <v>1415.56</v>
      </c>
    </row>
    <row r="27" spans="1:12" s="3" customFormat="1" ht="15">
      <c r="A27" s="64" t="s">
        <v>240</v>
      </c>
      <c r="B27" s="36">
        <v>0</v>
      </c>
      <c r="C27" s="36">
        <v>0.55000000000000004</v>
      </c>
      <c r="D27" s="36">
        <v>22.01</v>
      </c>
      <c r="E27" s="36">
        <v>1.65</v>
      </c>
      <c r="F27" s="36">
        <f t="shared" si="6"/>
        <v>24.21</v>
      </c>
      <c r="G27" s="35">
        <f>ROUND((B27*'Labor Rates and O&amp;M Costs'!$O$7)+('Exhibit 2'!C27*'Labor Rates and O&amp;M Costs'!$O$8)+('Exhibit 2'!D27*'Labor Rates and O&amp;M Costs'!$O$9)+('Exhibit 2'!E27*'Labor Rates and O&amp;M Costs'!$O$10),2)</f>
        <v>2266.94</v>
      </c>
      <c r="H27" s="35">
        <v>0</v>
      </c>
      <c r="I27" s="35">
        <v>0</v>
      </c>
      <c r="J27" s="36">
        <f>'Exhibit 1'!$J$113</f>
        <v>4</v>
      </c>
      <c r="K27" s="85">
        <f t="shared" si="7"/>
        <v>96.84</v>
      </c>
      <c r="L27" s="93">
        <f t="shared" si="8"/>
        <v>9067.76</v>
      </c>
    </row>
    <row r="28" spans="1:12" s="3" customFormat="1" ht="15">
      <c r="A28" s="134" t="s">
        <v>241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</row>
    <row r="29" spans="1:12" s="3" customFormat="1" ht="15">
      <c r="A29" s="64" t="s">
        <v>242</v>
      </c>
      <c r="B29" s="36">
        <v>8</v>
      </c>
      <c r="C29" s="36">
        <v>8</v>
      </c>
      <c r="D29" s="36">
        <v>125</v>
      </c>
      <c r="E29" s="36">
        <v>16</v>
      </c>
      <c r="F29" s="36">
        <f t="shared" ref="F29:F30" si="9">SUM(B29:E29)</f>
        <v>157</v>
      </c>
      <c r="G29" s="35">
        <f>ROUND((B29*'Labor Rates and O&amp;M Costs'!$O$7)+('Exhibit 2'!C29*'Labor Rates and O&amp;M Costs'!$O$8)+('Exhibit 2'!D29*'Labor Rates and O&amp;M Costs'!$O$9)+('Exhibit 2'!E29*'Labor Rates and O&amp;M Costs'!$O$10),2)</f>
        <v>14784.48</v>
      </c>
      <c r="H29" s="35">
        <v>0</v>
      </c>
      <c r="I29" s="35">
        <v>0</v>
      </c>
      <c r="J29" s="36">
        <f>'Exhibit 1'!J119</f>
        <v>1</v>
      </c>
      <c r="K29" s="85">
        <f t="shared" ref="K29:K30" si="10">ROUND(F29*J29,2)</f>
        <v>157</v>
      </c>
      <c r="L29" s="93">
        <f t="shared" ref="L29:L30" si="11">ROUND((G29+H29+I29)*J29,2)</f>
        <v>14784.48</v>
      </c>
    </row>
    <row r="30" spans="1:12" s="3" customFormat="1" ht="25.5">
      <c r="A30" s="64" t="s">
        <v>243</v>
      </c>
      <c r="B30" s="36">
        <v>0</v>
      </c>
      <c r="C30" s="36">
        <v>0</v>
      </c>
      <c r="D30" s="36">
        <v>0.08</v>
      </c>
      <c r="E30" s="36">
        <v>0.05</v>
      </c>
      <c r="F30" s="36">
        <f t="shared" si="9"/>
        <v>0.13</v>
      </c>
      <c r="G30" s="35">
        <f>ROUND((B30*'Labor Rates and O&amp;M Costs'!$O$7)+('Exhibit 2'!C30*'Labor Rates and O&amp;M Costs'!$O$8)+('Exhibit 2'!D30*'Labor Rates and O&amp;M Costs'!$O$9)+('Exhibit 2'!E30*'Labor Rates and O&amp;M Costs'!$O$10),2)</f>
        <v>9.94</v>
      </c>
      <c r="H30" s="35">
        <v>0</v>
      </c>
      <c r="I30" s="35">
        <v>0</v>
      </c>
      <c r="J30" s="36">
        <f>'Exhibit 1'!J121</f>
        <v>1</v>
      </c>
      <c r="K30" s="85">
        <f t="shared" si="10"/>
        <v>0.13</v>
      </c>
      <c r="L30" s="93">
        <f t="shared" si="11"/>
        <v>9.94</v>
      </c>
    </row>
    <row r="31" spans="1:12" s="3" customFormat="1" ht="15">
      <c r="A31" s="134" t="s">
        <v>187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</row>
    <row r="32" spans="1:12" s="3" customFormat="1" ht="15">
      <c r="A32" s="64" t="s">
        <v>244</v>
      </c>
      <c r="B32" s="36">
        <v>8</v>
      </c>
      <c r="C32" s="36">
        <v>8</v>
      </c>
      <c r="D32" s="36">
        <v>125</v>
      </c>
      <c r="E32" s="36">
        <v>16</v>
      </c>
      <c r="F32" s="36">
        <f>SUM(B32:E32)</f>
        <v>157</v>
      </c>
      <c r="G32" s="35">
        <f>ROUND((B32*'Labor Rates and O&amp;M Costs'!$O$7)+('Exhibit 2'!C32*'Labor Rates and O&amp;M Costs'!$O$8)+('Exhibit 2'!D32*'Labor Rates and O&amp;M Costs'!$O$9)+('Exhibit 2'!E32*'Labor Rates and O&amp;M Costs'!$O$10),2)</f>
        <v>14784.48</v>
      </c>
      <c r="H32" s="35">
        <v>0</v>
      </c>
      <c r="I32" s="35">
        <v>0</v>
      </c>
      <c r="J32" s="36">
        <f>'Exhibit 1'!J124</f>
        <v>7</v>
      </c>
      <c r="K32" s="85">
        <f>ROUND(F32*J32,2)</f>
        <v>1099</v>
      </c>
      <c r="L32" s="93">
        <f>ROUND((G32+H32+I32)*J32,2)</f>
        <v>103491.36</v>
      </c>
    </row>
    <row r="33" spans="1:12" s="3" customFormat="1" ht="15">
      <c r="A33" s="134" t="s">
        <v>31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</row>
    <row r="34" spans="1:12" s="3" customFormat="1" ht="25.5">
      <c r="A34" s="64" t="s">
        <v>245</v>
      </c>
      <c r="B34" s="36">
        <v>0</v>
      </c>
      <c r="C34" s="36">
        <v>0</v>
      </c>
      <c r="D34" s="36">
        <v>0.08</v>
      </c>
      <c r="E34" s="36">
        <v>0.05</v>
      </c>
      <c r="F34" s="36">
        <f>SUM(B34:E34)</f>
        <v>0.13</v>
      </c>
      <c r="G34" s="35">
        <f>ROUND((B34*'Labor Rates and O&amp;M Costs'!$O$7)+('Exhibit 2'!C34*'Labor Rates and O&amp;M Costs'!$O$8)+('Exhibit 2'!D34*'Labor Rates and O&amp;M Costs'!$O$9)+('Exhibit 2'!E34*'Labor Rates and O&amp;M Costs'!$O$10),2)</f>
        <v>9.94</v>
      </c>
      <c r="H34" s="35">
        <v>0</v>
      </c>
      <c r="I34" s="35">
        <v>0</v>
      </c>
      <c r="J34" s="36">
        <f>'Exhibit 1'!J128</f>
        <v>0</v>
      </c>
      <c r="K34" s="85">
        <f>ROUND(F34*J34,2)</f>
        <v>0</v>
      </c>
      <c r="L34" s="93">
        <f>ROUND((G34+H34+I34)*J34,2)</f>
        <v>0</v>
      </c>
    </row>
    <row r="35" spans="1:12" s="3" customFormat="1" ht="15">
      <c r="A35" s="134" t="s">
        <v>191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</row>
    <row r="36" spans="1:12" s="3" customFormat="1" ht="15">
      <c r="A36" s="134" t="s">
        <v>246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</row>
    <row r="37" spans="1:12" s="3" customFormat="1" ht="15">
      <c r="A37" s="64" t="s">
        <v>247</v>
      </c>
      <c r="B37" s="36">
        <v>8</v>
      </c>
      <c r="C37" s="36">
        <v>8</v>
      </c>
      <c r="D37" s="36">
        <v>125</v>
      </c>
      <c r="E37" s="36">
        <v>16</v>
      </c>
      <c r="F37" s="36">
        <f t="shared" ref="F37:F42" si="12">SUM(B37:E37)</f>
        <v>157</v>
      </c>
      <c r="G37" s="35">
        <f>ROUND((B37*'Labor Rates and O&amp;M Costs'!$O$7)+('Exhibit 2'!C37*'Labor Rates and O&amp;M Costs'!$O$8)+('Exhibit 2'!D37*'Labor Rates and O&amp;M Costs'!$O$9)+('Exhibit 2'!E37*'Labor Rates and O&amp;M Costs'!$O$10),2)</f>
        <v>14784.48</v>
      </c>
      <c r="H37" s="35">
        <v>0</v>
      </c>
      <c r="I37" s="35">
        <v>0</v>
      </c>
      <c r="J37" s="36">
        <f>'Exhibit 1'!$J$140</f>
        <v>0.04</v>
      </c>
      <c r="K37" s="85">
        <f t="shared" ref="K37:K42" si="13">ROUND(F37*J37,2)</f>
        <v>6.28</v>
      </c>
      <c r="L37" s="93">
        <f t="shared" ref="L37:L42" si="14">ROUND((G37+H37+I37)*J37,2)</f>
        <v>591.38</v>
      </c>
    </row>
    <row r="38" spans="1:12" s="3" customFormat="1" ht="15">
      <c r="A38" s="64" t="s">
        <v>237</v>
      </c>
      <c r="B38" s="36">
        <v>0</v>
      </c>
      <c r="C38" s="36">
        <v>0</v>
      </c>
      <c r="D38" s="36">
        <v>0.55000000000000004</v>
      </c>
      <c r="E38" s="36">
        <v>1.65</v>
      </c>
      <c r="F38" s="36">
        <f t="shared" si="12"/>
        <v>2.2000000000000002</v>
      </c>
      <c r="G38" s="35">
        <f>ROUND((B38*'Labor Rates and O&amp;M Costs'!$O$7)+('Exhibit 2'!C38*'Labor Rates and O&amp;M Costs'!$O$8)+('Exhibit 2'!D38*'Labor Rates and O&amp;M Costs'!$O$9)+('Exhibit 2'!E38*'Labor Rates and O&amp;M Costs'!$O$10),2)</f>
        <v>126.07</v>
      </c>
      <c r="H38" s="35">
        <v>0</v>
      </c>
      <c r="I38" s="35">
        <v>0</v>
      </c>
      <c r="J38" s="36">
        <f>'Exhibit 1'!$J$140</f>
        <v>0.04</v>
      </c>
      <c r="K38" s="85">
        <f t="shared" si="13"/>
        <v>0.09</v>
      </c>
      <c r="L38" s="93">
        <f t="shared" si="14"/>
        <v>5.04</v>
      </c>
    </row>
    <row r="39" spans="1:12" s="3" customFormat="1" ht="15">
      <c r="A39" s="64" t="s">
        <v>238</v>
      </c>
      <c r="B39" s="36">
        <v>3.85</v>
      </c>
      <c r="C39" s="36">
        <v>1.65</v>
      </c>
      <c r="D39" s="36">
        <v>25.31</v>
      </c>
      <c r="E39" s="36">
        <v>2.2000000000000002</v>
      </c>
      <c r="F39" s="36">
        <f t="shared" si="12"/>
        <v>33.01</v>
      </c>
      <c r="G39" s="35">
        <f>ROUND((B39*'Labor Rates and O&amp;M Costs'!$O$7)+('Exhibit 2'!C39*'Labor Rates and O&amp;M Costs'!$O$8)+('Exhibit 2'!D39*'Labor Rates and O&amp;M Costs'!$O$9)+('Exhibit 2'!E39*'Labor Rates and O&amp;M Costs'!$O$10),2)</f>
        <v>3232.29</v>
      </c>
      <c r="H39" s="35">
        <v>0</v>
      </c>
      <c r="I39" s="35">
        <v>0</v>
      </c>
      <c r="J39" s="36">
        <f>'Exhibit 1'!$J$140</f>
        <v>0.04</v>
      </c>
      <c r="K39" s="85">
        <f t="shared" si="13"/>
        <v>1.32</v>
      </c>
      <c r="L39" s="93">
        <f t="shared" si="14"/>
        <v>129.29</v>
      </c>
    </row>
    <row r="40" spans="1:12" s="3" customFormat="1" ht="15">
      <c r="A40" s="64" t="s">
        <v>239</v>
      </c>
      <c r="B40" s="36">
        <v>0</v>
      </c>
      <c r="C40" s="36">
        <v>0</v>
      </c>
      <c r="D40" s="36">
        <v>1.65</v>
      </c>
      <c r="E40" s="36">
        <v>4.4000000000000004</v>
      </c>
      <c r="F40" s="36">
        <f t="shared" si="12"/>
        <v>6.0500000000000007</v>
      </c>
      <c r="G40" s="35">
        <f>ROUND((B40*'Labor Rates and O&amp;M Costs'!$O$7)+('Exhibit 2'!C40*'Labor Rates and O&amp;M Costs'!$O$8)+('Exhibit 2'!D40*'Labor Rates and O&amp;M Costs'!$O$9)+('Exhibit 2'!E40*'Labor Rates and O&amp;M Costs'!$O$10),2)</f>
        <v>353.89</v>
      </c>
      <c r="H40" s="35">
        <v>0</v>
      </c>
      <c r="I40" s="35">
        <v>0</v>
      </c>
      <c r="J40" s="36">
        <f>'Exhibit 1'!$J$140</f>
        <v>0.04</v>
      </c>
      <c r="K40" s="85">
        <f t="shared" si="13"/>
        <v>0.24</v>
      </c>
      <c r="L40" s="93">
        <f t="shared" si="14"/>
        <v>14.16</v>
      </c>
    </row>
    <row r="41" spans="1:12" s="3" customFormat="1" ht="15">
      <c r="A41" s="64" t="s">
        <v>240</v>
      </c>
      <c r="B41" s="36">
        <v>0</v>
      </c>
      <c r="C41" s="36">
        <v>0.55000000000000004</v>
      </c>
      <c r="D41" s="36">
        <v>22.01</v>
      </c>
      <c r="E41" s="36">
        <v>1.65</v>
      </c>
      <c r="F41" s="36">
        <f t="shared" si="12"/>
        <v>24.21</v>
      </c>
      <c r="G41" s="35">
        <f>ROUND((B41*'Labor Rates and O&amp;M Costs'!$O$7)+('Exhibit 2'!C41*'Labor Rates and O&amp;M Costs'!$O$8)+('Exhibit 2'!D41*'Labor Rates and O&amp;M Costs'!$O$9)+('Exhibit 2'!E41*'Labor Rates and O&amp;M Costs'!$O$10),2)</f>
        <v>2266.94</v>
      </c>
      <c r="H41" s="35">
        <v>0</v>
      </c>
      <c r="I41" s="35">
        <v>0</v>
      </c>
      <c r="J41" s="36">
        <f>'Exhibit 1'!$J$140</f>
        <v>0.04</v>
      </c>
      <c r="K41" s="85">
        <f t="shared" si="13"/>
        <v>0.97</v>
      </c>
      <c r="L41" s="93">
        <f t="shared" si="14"/>
        <v>90.68</v>
      </c>
    </row>
    <row r="42" spans="1:12" s="3" customFormat="1" ht="15">
      <c r="A42" s="64" t="s">
        <v>248</v>
      </c>
      <c r="B42" s="36">
        <v>2.2000000000000002</v>
      </c>
      <c r="C42" s="36">
        <v>1.65</v>
      </c>
      <c r="D42" s="36">
        <v>23.11</v>
      </c>
      <c r="E42" s="36">
        <v>2.2000000000000002</v>
      </c>
      <c r="F42" s="36">
        <f t="shared" si="12"/>
        <v>29.16</v>
      </c>
      <c r="G42" s="35">
        <f>ROUND((B42*'Labor Rates and O&amp;M Costs'!$O$7)+('Exhibit 2'!C42*'Labor Rates and O&amp;M Costs'!$O$8)+('Exhibit 2'!D42*'Labor Rates and O&amp;M Costs'!$O$9)+('Exhibit 2'!E42*'Labor Rates and O&amp;M Costs'!$O$10),2)</f>
        <v>2812</v>
      </c>
      <c r="H42" s="35">
        <v>0</v>
      </c>
      <c r="I42" s="35">
        <v>0</v>
      </c>
      <c r="J42" s="36">
        <f>'Exhibit 1'!$J$140</f>
        <v>0.04</v>
      </c>
      <c r="K42" s="85">
        <f t="shared" si="13"/>
        <v>1.17</v>
      </c>
      <c r="L42" s="93">
        <f t="shared" si="14"/>
        <v>112.48</v>
      </c>
    </row>
    <row r="43" spans="1:12" s="3" customFormat="1" ht="15">
      <c r="A43" s="134" t="s">
        <v>219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</row>
    <row r="44" spans="1:12" s="3" customFormat="1" ht="15">
      <c r="A44" s="64" t="s">
        <v>249</v>
      </c>
      <c r="B44" s="36">
        <v>0</v>
      </c>
      <c r="C44" s="36">
        <v>1</v>
      </c>
      <c r="D44" s="36">
        <v>1</v>
      </c>
      <c r="E44" s="36">
        <v>0</v>
      </c>
      <c r="F44" s="36">
        <f t="shared" ref="F44:F45" si="15">SUM(B44:E44)</f>
        <v>2</v>
      </c>
      <c r="G44" s="35">
        <f>ROUND((B44*'Labor Rates and O&amp;M Costs'!$O$7)+('Exhibit 2'!C44*'Labor Rates and O&amp;M Costs'!$O$8)+('Exhibit 2'!D44*'Labor Rates and O&amp;M Costs'!$O$9)+('Exhibit 2'!E44*'Labor Rates and O&amp;M Costs'!$O$10),2)</f>
        <v>221.46</v>
      </c>
      <c r="H44" s="35">
        <v>0</v>
      </c>
      <c r="I44" s="35">
        <v>0</v>
      </c>
      <c r="J44" s="36">
        <f>'Exhibit 1'!$J$185</f>
        <v>9</v>
      </c>
      <c r="K44" s="85">
        <f t="shared" ref="K44:K45" si="16">ROUND(F44*J44,2)</f>
        <v>18</v>
      </c>
      <c r="L44" s="93">
        <f t="shared" ref="L44:L45" si="17">ROUND((G44+H44+I44)*J44,2)</f>
        <v>1993.14</v>
      </c>
    </row>
    <row r="45" spans="1:12" s="3" customFormat="1" ht="15">
      <c r="A45" s="64" t="s">
        <v>250</v>
      </c>
      <c r="B45" s="36">
        <v>0</v>
      </c>
      <c r="C45" s="36">
        <v>1</v>
      </c>
      <c r="D45" s="36">
        <v>1</v>
      </c>
      <c r="E45" s="36">
        <v>0</v>
      </c>
      <c r="F45" s="36">
        <f t="shared" si="15"/>
        <v>2</v>
      </c>
      <c r="G45" s="35">
        <f>ROUND((B45*'Labor Rates and O&amp;M Costs'!$O$7)+('Exhibit 2'!C45*'Labor Rates and O&amp;M Costs'!$O$8)+('Exhibit 2'!D45*'Labor Rates and O&amp;M Costs'!$O$9)+('Exhibit 2'!E45*'Labor Rates and O&amp;M Costs'!$O$10),2)</f>
        <v>221.46</v>
      </c>
      <c r="H45" s="35">
        <v>0</v>
      </c>
      <c r="I45" s="35">
        <v>0</v>
      </c>
      <c r="J45" s="36">
        <f>'Exhibit 1'!$J$185</f>
        <v>9</v>
      </c>
      <c r="K45" s="85">
        <f t="shared" si="16"/>
        <v>18</v>
      </c>
      <c r="L45" s="93">
        <f t="shared" si="17"/>
        <v>1993.14</v>
      </c>
    </row>
    <row r="46" spans="1:12" s="3" customFormat="1" ht="15">
      <c r="A46" s="84" t="s">
        <v>223</v>
      </c>
      <c r="B46" s="59" t="s">
        <v>224</v>
      </c>
      <c r="C46" s="59" t="s">
        <v>224</v>
      </c>
      <c r="D46" s="59" t="s">
        <v>224</v>
      </c>
      <c r="E46" s="59" t="s">
        <v>224</v>
      </c>
      <c r="F46" s="59" t="s">
        <v>224</v>
      </c>
      <c r="G46" s="103">
        <f>SUM(G11:G45)</f>
        <v>64096.41</v>
      </c>
      <c r="H46" s="103">
        <f>SUM(H11:H45)</f>
        <v>0</v>
      </c>
      <c r="I46" s="103">
        <f>-SUM(I11:I45)</f>
        <v>0</v>
      </c>
      <c r="J46" s="59">
        <f>SUM(J11:J45)</f>
        <v>74.239999999999995</v>
      </c>
      <c r="K46" s="61">
        <f>SUM(K11:K45)</f>
        <v>1907.5199999999998</v>
      </c>
      <c r="L46" s="94">
        <f>SUM(L11:L45)</f>
        <v>182099.32000000007</v>
      </c>
    </row>
    <row r="47" spans="1:12" s="3" customFormat="1" ht="15.75">
      <c r="A47" s="65"/>
      <c r="K47" s="89"/>
      <c r="L47" s="95"/>
    </row>
    <row r="48" spans="1:12" s="3" customFormat="1" ht="15">
      <c r="A48" s="54"/>
      <c r="K48" s="89"/>
      <c r="L48" s="95"/>
    </row>
    <row r="49" spans="1:12" s="3" customFormat="1" ht="15">
      <c r="A49" s="54"/>
      <c r="K49" s="89"/>
      <c r="L49" s="95"/>
    </row>
    <row r="50" spans="1:12" s="3" customFormat="1" ht="15">
      <c r="A50" s="54"/>
      <c r="K50" s="89"/>
      <c r="L50" s="95"/>
    </row>
    <row r="51" spans="1:12" s="3" customFormat="1" ht="15">
      <c r="A51" s="54"/>
      <c r="K51" s="89"/>
      <c r="L51" s="95"/>
    </row>
    <row r="52" spans="1:12" s="3" customFormat="1" ht="15">
      <c r="A52" s="54"/>
      <c r="K52" s="89"/>
      <c r="L52" s="95"/>
    </row>
    <row r="53" spans="1:12" s="3" customFormat="1" ht="15">
      <c r="A53" s="54"/>
      <c r="K53" s="89"/>
      <c r="L53" s="95"/>
    </row>
    <row r="54" spans="1:12" s="3" customFormat="1" ht="15">
      <c r="A54" s="54"/>
      <c r="K54" s="89"/>
      <c r="L54" s="95"/>
    </row>
    <row r="55" spans="1:12" s="3" customFormat="1" ht="15">
      <c r="A55" s="54"/>
      <c r="K55" s="89"/>
      <c r="L55" s="95"/>
    </row>
    <row r="56" spans="1:12" s="3" customFormat="1" ht="15">
      <c r="A56" s="54"/>
      <c r="K56" s="89"/>
      <c r="L56" s="95"/>
    </row>
    <row r="57" spans="1:12" s="3" customFormat="1" ht="15">
      <c r="A57" s="54"/>
      <c r="K57" s="89"/>
      <c r="L57" s="95"/>
    </row>
    <row r="58" spans="1:12" s="3" customFormat="1" ht="15">
      <c r="A58" s="54"/>
      <c r="K58" s="89"/>
      <c r="L58" s="95"/>
    </row>
    <row r="59" spans="1:12" s="3" customFormat="1" ht="15">
      <c r="A59" s="54"/>
      <c r="K59" s="89"/>
      <c r="L59" s="95"/>
    </row>
    <row r="60" spans="1:12" s="3" customFormat="1" ht="15">
      <c r="A60" s="54"/>
      <c r="K60" s="89"/>
      <c r="L60" s="95"/>
    </row>
    <row r="61" spans="1:12" s="3" customFormat="1" ht="15">
      <c r="A61" s="54"/>
      <c r="K61" s="89"/>
      <c r="L61" s="95"/>
    </row>
    <row r="62" spans="1:12" s="3" customFormat="1" ht="15">
      <c r="A62" s="54"/>
      <c r="K62" s="89"/>
      <c r="L62" s="95"/>
    </row>
    <row r="63" spans="1:12" s="3" customFormat="1" ht="15">
      <c r="A63" s="54"/>
      <c r="K63" s="89"/>
      <c r="L63" s="95"/>
    </row>
    <row r="64" spans="1:12" s="3" customFormat="1" ht="15">
      <c r="A64" s="54"/>
      <c r="K64" s="89"/>
      <c r="L64" s="95"/>
    </row>
    <row r="65" spans="1:12" s="3" customFormat="1" ht="15">
      <c r="A65" s="54"/>
      <c r="K65" s="89"/>
      <c r="L65" s="95"/>
    </row>
    <row r="66" spans="1:12" s="3" customFormat="1" ht="15">
      <c r="A66" s="54"/>
      <c r="K66" s="89"/>
      <c r="L66" s="95"/>
    </row>
    <row r="67" spans="1:12" s="3" customFormat="1" ht="15">
      <c r="A67" s="54"/>
      <c r="K67" s="89"/>
      <c r="L67" s="95"/>
    </row>
    <row r="68" spans="1:12" s="3" customFormat="1" ht="15">
      <c r="A68" s="54"/>
      <c r="K68" s="89"/>
      <c r="L68" s="95"/>
    </row>
    <row r="69" spans="1:12" s="3" customFormat="1" ht="15">
      <c r="A69" s="54"/>
      <c r="K69" s="89"/>
      <c r="L69" s="95"/>
    </row>
    <row r="70" spans="1:12" s="3" customFormat="1" ht="15">
      <c r="A70" s="54"/>
      <c r="K70" s="89"/>
      <c r="L70" s="95"/>
    </row>
    <row r="71" spans="1:12" s="3" customFormat="1" ht="15">
      <c r="A71" s="54"/>
      <c r="K71" s="89"/>
      <c r="L71" s="95"/>
    </row>
    <row r="72" spans="1:12" s="3" customFormat="1" ht="15">
      <c r="A72" s="54"/>
      <c r="K72" s="89"/>
      <c r="L72" s="95"/>
    </row>
    <row r="73" spans="1:12" s="3" customFormat="1" ht="15">
      <c r="A73" s="54"/>
      <c r="K73" s="89"/>
      <c r="L73" s="95"/>
    </row>
    <row r="74" spans="1:12" s="3" customFormat="1" ht="15">
      <c r="A74" s="54"/>
      <c r="K74" s="89"/>
      <c r="L74" s="95"/>
    </row>
    <row r="75" spans="1:12" s="3" customFormat="1" ht="15">
      <c r="A75" s="54"/>
      <c r="K75" s="89"/>
      <c r="L75" s="95"/>
    </row>
    <row r="76" spans="1:12" s="3" customFormat="1" ht="15">
      <c r="A76" s="54"/>
      <c r="K76" s="89"/>
      <c r="L76" s="95"/>
    </row>
    <row r="77" spans="1:12" s="3" customFormat="1" ht="15">
      <c r="A77" s="54"/>
      <c r="K77" s="89"/>
      <c r="L77" s="95"/>
    </row>
    <row r="78" spans="1:12" s="3" customFormat="1" ht="15">
      <c r="A78" s="54"/>
      <c r="K78" s="89"/>
      <c r="L78" s="95"/>
    </row>
    <row r="79" spans="1:12" s="3" customFormat="1" ht="15">
      <c r="A79" s="54"/>
      <c r="K79" s="89"/>
      <c r="L79" s="95"/>
    </row>
    <row r="80" spans="1:12" s="3" customFormat="1" ht="15">
      <c r="A80" s="54"/>
      <c r="K80" s="89"/>
      <c r="L80" s="95"/>
    </row>
    <row r="81" spans="1:12" s="3" customFormat="1" ht="15">
      <c r="A81" s="54"/>
      <c r="K81" s="89"/>
      <c r="L81" s="95"/>
    </row>
    <row r="82" spans="1:12" s="3" customFormat="1" ht="15">
      <c r="A82" s="54"/>
      <c r="K82" s="89"/>
      <c r="L82" s="95"/>
    </row>
    <row r="83" spans="1:12" s="3" customFormat="1" ht="15">
      <c r="A83" s="54"/>
      <c r="K83" s="89"/>
      <c r="L83" s="95"/>
    </row>
    <row r="84" spans="1:12" s="3" customFormat="1" ht="15">
      <c r="A84" s="54"/>
      <c r="K84" s="89"/>
      <c r="L84" s="95"/>
    </row>
    <row r="85" spans="1:12" s="3" customFormat="1" ht="15">
      <c r="A85" s="54"/>
      <c r="K85" s="89"/>
      <c r="L85" s="95"/>
    </row>
    <row r="86" spans="1:12" s="3" customFormat="1" ht="15">
      <c r="A86" s="54"/>
      <c r="K86" s="89"/>
      <c r="L86" s="95"/>
    </row>
    <row r="87" spans="1:12" s="3" customFormat="1" ht="15">
      <c r="A87" s="54"/>
      <c r="K87" s="89"/>
      <c r="L87" s="95"/>
    </row>
    <row r="88" spans="1:12" s="3" customFormat="1" ht="15">
      <c r="A88" s="54"/>
      <c r="K88" s="89"/>
      <c r="L88" s="95"/>
    </row>
    <row r="89" spans="1:12" s="3" customFormat="1" ht="15">
      <c r="A89" s="54"/>
      <c r="K89" s="89"/>
      <c r="L89" s="95"/>
    </row>
    <row r="90" spans="1:12" s="3" customFormat="1" ht="15">
      <c r="A90" s="54"/>
      <c r="K90" s="89"/>
      <c r="L90" s="95"/>
    </row>
    <row r="91" spans="1:12" s="3" customFormat="1" ht="15">
      <c r="A91" s="54"/>
      <c r="K91" s="89"/>
      <c r="L91" s="95"/>
    </row>
    <row r="92" spans="1:12" s="3" customFormat="1" ht="15">
      <c r="A92" s="54"/>
      <c r="K92" s="89"/>
      <c r="L92" s="95"/>
    </row>
    <row r="93" spans="1:12" s="3" customFormat="1" ht="15">
      <c r="A93" s="54"/>
      <c r="K93" s="89"/>
      <c r="L93" s="95"/>
    </row>
    <row r="94" spans="1:12" s="3" customFormat="1" ht="15">
      <c r="A94" s="54"/>
      <c r="K94" s="89"/>
      <c r="L94" s="95"/>
    </row>
    <row r="95" spans="1:12" s="3" customFormat="1" ht="15">
      <c r="A95" s="54"/>
      <c r="K95" s="89"/>
      <c r="L95" s="95"/>
    </row>
    <row r="96" spans="1:12" s="3" customFormat="1" ht="15">
      <c r="A96" s="54"/>
      <c r="K96" s="89"/>
      <c r="L96" s="95"/>
    </row>
    <row r="97" spans="1:12" s="3" customFormat="1" ht="15">
      <c r="A97" s="54"/>
      <c r="K97" s="89"/>
      <c r="L97" s="95"/>
    </row>
    <row r="98" spans="1:12" s="3" customFormat="1" ht="15">
      <c r="A98" s="54"/>
      <c r="K98" s="89"/>
      <c r="L98" s="95"/>
    </row>
    <row r="99" spans="1:12" s="3" customFormat="1" ht="15">
      <c r="A99" s="54"/>
      <c r="K99" s="89"/>
      <c r="L99" s="95"/>
    </row>
    <row r="100" spans="1:12" s="3" customFormat="1" ht="15">
      <c r="A100" s="54"/>
      <c r="K100" s="89"/>
      <c r="L100" s="95"/>
    </row>
    <row r="101" spans="1:12" s="3" customFormat="1" ht="15">
      <c r="A101" s="54"/>
      <c r="K101" s="89"/>
      <c r="L101" s="95"/>
    </row>
    <row r="102" spans="1:12" s="3" customFormat="1" ht="15">
      <c r="A102" s="54"/>
      <c r="K102" s="89"/>
      <c r="L102" s="95"/>
    </row>
    <row r="103" spans="1:12" s="3" customFormat="1" ht="15">
      <c r="A103" s="54"/>
      <c r="K103" s="89"/>
      <c r="L103" s="95"/>
    </row>
    <row r="104" spans="1:12" s="3" customFormat="1" ht="15">
      <c r="A104" s="54"/>
      <c r="K104" s="89"/>
      <c r="L104" s="95"/>
    </row>
    <row r="105" spans="1:12" s="3" customFormat="1" ht="15">
      <c r="A105" s="54"/>
      <c r="K105" s="89"/>
      <c r="L105" s="95"/>
    </row>
    <row r="106" spans="1:12" s="3" customFormat="1" ht="15">
      <c r="A106" s="54"/>
      <c r="K106" s="89"/>
      <c r="L106" s="95"/>
    </row>
    <row r="107" spans="1:12" s="3" customFormat="1" ht="15">
      <c r="A107" s="54"/>
      <c r="K107" s="89"/>
      <c r="L107" s="95"/>
    </row>
    <row r="108" spans="1:12" s="3" customFormat="1" ht="15">
      <c r="A108" s="54"/>
      <c r="K108" s="89"/>
      <c r="L108" s="95"/>
    </row>
    <row r="109" spans="1:12" s="3" customFormat="1" ht="15">
      <c r="A109" s="54"/>
      <c r="K109" s="89"/>
      <c r="L109" s="95"/>
    </row>
    <row r="110" spans="1:12" s="3" customFormat="1" ht="15">
      <c r="A110" s="54"/>
      <c r="K110" s="89"/>
      <c r="L110" s="95"/>
    </row>
    <row r="111" spans="1:12" s="3" customFormat="1" ht="15">
      <c r="A111" s="54"/>
      <c r="K111" s="89"/>
      <c r="L111" s="95"/>
    </row>
    <row r="112" spans="1:12" s="3" customFormat="1" ht="15">
      <c r="A112" s="54"/>
      <c r="K112" s="89"/>
      <c r="L112" s="95"/>
    </row>
    <row r="113" spans="1:12" s="3" customFormat="1" ht="15">
      <c r="A113" s="54"/>
      <c r="K113" s="89"/>
      <c r="L113" s="95"/>
    </row>
    <row r="114" spans="1:12" s="3" customFormat="1" ht="15">
      <c r="A114" s="54"/>
      <c r="K114" s="89"/>
      <c r="L114" s="95"/>
    </row>
  </sheetData>
  <mergeCells count="15">
    <mergeCell ref="A43:L43"/>
    <mergeCell ref="A21:L21"/>
    <mergeCell ref="A28:L28"/>
    <mergeCell ref="A31:L31"/>
    <mergeCell ref="B5:E5"/>
    <mergeCell ref="A8:L8"/>
    <mergeCell ref="A9:L9"/>
    <mergeCell ref="A14:L14"/>
    <mergeCell ref="A16:L16"/>
    <mergeCell ref="A10:L10"/>
    <mergeCell ref="A17:L17"/>
    <mergeCell ref="A22:L22"/>
    <mergeCell ref="A35:L35"/>
    <mergeCell ref="A36:L36"/>
    <mergeCell ref="A33:L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9D1FA8590A3468255F3FA7D39B1DA" ma:contentTypeVersion="8" ma:contentTypeDescription="Create a new document." ma:contentTypeScope="" ma:versionID="4ecce23c3f96ea7cff5bdaa933d696ac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c07eb5e-720c-4c0e-afb7-3f9edc60fc7f" xmlns:ns6="369941d8-ad61-4612-8199-fa251bcdca09" targetNamespace="http://schemas.microsoft.com/office/2006/metadata/properties" ma:root="true" ma:fieldsID="292c560cb096124b334ce2d6d656d32a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c07eb5e-720c-4c0e-afb7-3f9edc60fc7f"/>
    <xsd:import namespace="369941d8-ad61-4612-8199-fa251bcdca09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d0c00c4a-2eec-4eb5-8f29-5755ddae8d62}" ma:internalName="TaxCatchAllLabel" ma:readOnly="true" ma:showField="CatchAllDataLabel" ma:web="369941d8-ad61-4612-8199-fa251bcdca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d0c00c4a-2eec-4eb5-8f29-5755ddae8d62}" ma:internalName="TaxCatchAll" ma:showField="CatchAllData" ma:web="369941d8-ad61-4612-8199-fa251bcdca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7eb5e-720c-4c0e-afb7-3f9edc60f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941d8-ad61-4612-8199-fa251bcdca09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2026-04-21T17:58:05+00:00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Props1.xml><?xml version="1.0" encoding="utf-8"?>
<ds:datastoreItem xmlns:ds="http://schemas.openxmlformats.org/officeDocument/2006/customXml" ds:itemID="{37F65BAA-BB81-494B-819A-C46FDF5844D8}"/>
</file>

<file path=customXml/itemProps2.xml><?xml version="1.0" encoding="utf-8"?>
<ds:datastoreItem xmlns:ds="http://schemas.openxmlformats.org/officeDocument/2006/customXml" ds:itemID="{6CED7E6D-8520-4CBA-8F37-E718AA2F0CDE}"/>
</file>

<file path=customXml/itemProps3.xml><?xml version="1.0" encoding="utf-8"?>
<ds:datastoreItem xmlns:ds="http://schemas.openxmlformats.org/officeDocument/2006/customXml" ds:itemID="{2DAC237D-A7F8-4761-9AE3-753B1EB0DF98}"/>
</file>

<file path=customXml/itemProps4.xml><?xml version="1.0" encoding="utf-8"?>
<ds:datastoreItem xmlns:ds="http://schemas.openxmlformats.org/officeDocument/2006/customXml" ds:itemID="{40A4251A-7DC4-4BAA-A8A6-BFBF21728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Tapia, Rosalva</cp:lastModifiedBy>
  <cp:revision/>
  <dcterms:created xsi:type="dcterms:W3CDTF">2021-11-18T15:28:48Z</dcterms:created>
  <dcterms:modified xsi:type="dcterms:W3CDTF">2026-06-09T21:03:04Z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0x010100D229D1FA8590A3468255F3FA7D39B1DA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e3f09c3df709400db2417a7161762d62">
    <vt:lpwstr/>
  </property>
  <property fmtid="{D5CDD505-2E9C-101B-9397-08002B2CF9AE}" pid="7" name="EPA_x0020_Subject">
    <vt:lpwstr/>
  </property>
  <property fmtid="{D5CDD505-2E9C-101B-9397-08002B2CF9AE}" pid="8" name="EPA Subject">
    <vt:lpwstr/>
  </property>
  <property fmtid="{D5CDD505-2E9C-101B-9397-08002B2CF9AE}" pid="9" name="Document Type">
    <vt:lpwstr/>
  </property>
</Properties>
</file>