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sdagcc.sharepoint.com/sites/FNS-SNAP/Shared Documents/PAND/SAB/State Administration/Forms &amp; ICRs/0584-0587 (Multiple Card Replacement)/2026/Final Clearance Packet - Multiple Card Replacement/"/>
    </mc:Choice>
  </mc:AlternateContent>
  <xr:revisionPtr revIDLastSave="14" documentId="8_{DD412C86-3C1A-4E34-B680-B67007D2A594}" xr6:coauthVersionLast="47" xr6:coauthVersionMax="47" xr10:uidLastSave="{93A91045-EF42-4CFC-9F1C-DB542CD4EE8C}"/>
  <bookViews>
    <workbookView xWindow="28845" yWindow="0" windowWidth="28020" windowHeight="15795" xr2:uid="{FD60ADCB-D7A8-4D19-B599-62CF563C3203}"/>
  </bookViews>
  <sheets>
    <sheet name="FY26 Burden Table" sheetId="2" r:id="rId1"/>
    <sheet name="Comparison to FY23" sheetId="3" r:id="rId2"/>
    <sheet name="FY23 Burden Table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4" l="1"/>
  <c r="E14" i="4"/>
  <c r="E13" i="4"/>
  <c r="C10" i="4"/>
  <c r="E10" i="4" s="1"/>
  <c r="G10" i="4" s="1"/>
  <c r="I10" i="4" s="1"/>
  <c r="F9" i="4"/>
  <c r="C8" i="4"/>
  <c r="E8" i="4" s="1"/>
  <c r="E6" i="4"/>
  <c r="C6" i="4"/>
  <c r="G5" i="4"/>
  <c r="I5" i="4" s="1"/>
  <c r="D5" i="4"/>
  <c r="E4" i="4"/>
  <c r="G4" i="4" s="1"/>
  <c r="I4" i="4" s="1"/>
  <c r="D4" i="4"/>
  <c r="G3" i="4"/>
  <c r="G6" i="4" s="1"/>
  <c r="D3" i="4"/>
  <c r="E3" i="3"/>
  <c r="E2" i="3"/>
  <c r="E13" i="2"/>
  <c r="E7" i="2"/>
  <c r="C4" i="2"/>
  <c r="C6" i="2"/>
  <c r="C12" i="4" l="1"/>
  <c r="G8" i="4"/>
  <c r="D6" i="4"/>
  <c r="I3" i="4"/>
  <c r="I6" i="4" s="1"/>
  <c r="C9" i="4"/>
  <c r="E9" i="4" s="1"/>
  <c r="G9" i="4" s="1"/>
  <c r="I9" i="4" s="1"/>
  <c r="C11" i="4"/>
  <c r="E11" i="4" l="1"/>
  <c r="I8" i="4"/>
  <c r="I11" i="4" s="1"/>
  <c r="I12" i="4" s="1"/>
  <c r="G11" i="4"/>
  <c r="F11" i="4" l="1"/>
  <c r="G12" i="4"/>
  <c r="F12" i="4" s="1"/>
  <c r="F13" i="4" s="1"/>
  <c r="D11" i="4"/>
  <c r="E12" i="4"/>
  <c r="D12" i="4" s="1"/>
  <c r="K15" i="2" l="1"/>
  <c r="N11" i="2"/>
  <c r="N10" i="2"/>
  <c r="K13" i="2"/>
  <c r="N5" i="2"/>
  <c r="N4" i="2"/>
  <c r="K7" i="2" l="1"/>
  <c r="C5" i="2" l="1"/>
  <c r="E4" i="2" l="1"/>
  <c r="E5" i="2"/>
  <c r="S6" i="2" l="1"/>
  <c r="S5" i="2"/>
  <c r="S8" i="2" l="1"/>
  <c r="S9" i="2" s="1"/>
  <c r="I13" i="2"/>
  <c r="I11" i="2"/>
  <c r="I12" i="2"/>
  <c r="C13" i="2"/>
  <c r="I10" i="2"/>
  <c r="E10" i="2"/>
  <c r="G5" i="2" l="1"/>
  <c r="J5" i="2" s="1"/>
  <c r="D10" i="2"/>
  <c r="E11" i="2"/>
  <c r="G4" i="2" l="1"/>
  <c r="G11" i="2"/>
  <c r="J11" i="2" s="1"/>
  <c r="D11" i="2"/>
  <c r="J4" i="2" l="1"/>
  <c r="E12" i="2" l="1"/>
  <c r="C15" i="2"/>
  <c r="E6" i="2"/>
  <c r="G12" i="2" l="1"/>
  <c r="D13" i="2"/>
  <c r="D12" i="2"/>
  <c r="G6" i="2"/>
  <c r="N6" i="2" s="1"/>
  <c r="N7" i="2" s="1"/>
  <c r="J12" i="2" l="1"/>
  <c r="N12" i="2"/>
  <c r="D7" i="2"/>
  <c r="E15" i="2"/>
  <c r="D15" i="2" s="1"/>
  <c r="J6" i="2"/>
  <c r="J7" i="2" s="1"/>
  <c r="G7" i="2"/>
  <c r="G10" i="2"/>
  <c r="G13" i="2" s="1"/>
  <c r="N13" i="2" l="1"/>
  <c r="N15" i="2" s="1"/>
  <c r="F7" i="2"/>
  <c r="G15" i="2"/>
  <c r="F15" i="2" s="1"/>
  <c r="J10" i="2"/>
  <c r="J13" i="2" s="1"/>
  <c r="J15" i="2" l="1"/>
  <c r="Q11" i="2"/>
</calcChain>
</file>

<file path=xl/sharedStrings.xml><?xml version="1.0" encoding="utf-8"?>
<sst xmlns="http://schemas.openxmlformats.org/spreadsheetml/2006/main" count="97" uniqueCount="75">
  <si>
    <t>SECTION OF REG</t>
  </si>
  <si>
    <t>DESCRIPTION</t>
  </si>
  <si>
    <t>NO.  OF RESPONDENTS</t>
  </si>
  <si>
    <t>NO.  OF RESPONSES PER RESPONDENT</t>
  </si>
  <si>
    <t>TOTAL ANNUAL RESPONSES</t>
  </si>
  <si>
    <t>HOURS PER RESPONSE</t>
  </si>
  <si>
    <t>TOTAL ANNUAL BURDEN HOURS</t>
  </si>
  <si>
    <t>BASE HOURLY WAGE RATE</t>
  </si>
  <si>
    <t>FULLY LOADED WAGE RATE</t>
  </si>
  <si>
    <t>TOTAL ANNUALIZED COST OF RESPONDENT BURDEN</t>
  </si>
  <si>
    <t>Previously Approved Burden Hours</t>
  </si>
  <si>
    <t>Change in Burden Hours Due to an Adjustment</t>
  </si>
  <si>
    <t>Change in Burden Hours Due to Program Change</t>
  </si>
  <si>
    <t>Total Difference in Burden Hours</t>
  </si>
  <si>
    <t>Appendix B: FY26 Burden Table 0584-0587</t>
  </si>
  <si>
    <t>A</t>
  </si>
  <si>
    <t>B</t>
  </si>
  <si>
    <t>C</t>
  </si>
  <si>
    <t>D</t>
  </si>
  <si>
    <t>E</t>
  </si>
  <si>
    <t>F</t>
  </si>
  <si>
    <t>G = E x F</t>
  </si>
  <si>
    <t>H</t>
  </si>
  <si>
    <t>I = G x H</t>
  </si>
  <si>
    <t>J</t>
  </si>
  <si>
    <t>K = I x J</t>
  </si>
  <si>
    <t>M = I - L</t>
  </si>
  <si>
    <t>N</t>
  </si>
  <si>
    <t>O = M + N</t>
  </si>
  <si>
    <t xml:space="preserve">Individuals/Households </t>
  </si>
  <si>
    <t xml:space="preserve">Federal Wages </t>
  </si>
  <si>
    <t>274.6(b)(5)</t>
  </si>
  <si>
    <t>Reading Withhold Replacement Card Warning Notice</t>
  </si>
  <si>
    <t>Federal Worker</t>
  </si>
  <si>
    <t>Hours</t>
  </si>
  <si>
    <t>Hourly Wage</t>
  </si>
  <si>
    <t>Total</t>
  </si>
  <si>
    <t>Reading Replacement Card Withheld Notice and Making Contact with State agency</t>
  </si>
  <si>
    <t>GS-12 Program Analyst, Step 1</t>
  </si>
  <si>
    <t>274.6(b)(6)</t>
  </si>
  <si>
    <t>Reading Excessive Replacement  Card Notice</t>
  </si>
  <si>
    <t>GS-14 Branch Chief, Step 1</t>
  </si>
  <si>
    <t>Household Total</t>
  </si>
  <si>
    <t>Total Cost of Federal Workers</t>
  </si>
  <si>
    <t>State Agencies</t>
  </si>
  <si>
    <t>Total Cost with Fringe Benefits</t>
  </si>
  <si>
    <t>Withhold Replacement Card Warning Notice</t>
  </si>
  <si>
    <t>Replacement Card Withheld Notice</t>
  </si>
  <si>
    <t>Total Cost to Federal Government</t>
  </si>
  <si>
    <t>Excessive Replacement  Card Notice</t>
  </si>
  <si>
    <t>State Agency Total</t>
  </si>
  <si>
    <t>Grand Total</t>
  </si>
  <si>
    <t>Requested</t>
  </si>
  <si>
    <t>Program Change Due to New Statute</t>
  </si>
  <si>
    <t>Program Change Due to Agency Discretion</t>
  </si>
  <si>
    <t>Change Due to Adjustment in Agency Estimate</t>
  </si>
  <si>
    <t>Change Due to Potential Violation of the PRA</t>
  </si>
  <si>
    <t>Previously Approved</t>
  </si>
  <si>
    <t>Annual Number of Responses</t>
  </si>
  <si>
    <t>  0</t>
  </si>
  <si>
    <t>Annual  Burden Hours</t>
  </si>
  <si>
    <t>CFR</t>
  </si>
  <si>
    <t>Title</t>
  </si>
  <si>
    <t>Number of Respondents</t>
  </si>
  <si>
    <t>Annual Reports</t>
  </si>
  <si>
    <t>Total Annual Responses</t>
  </si>
  <si>
    <t>Burden Hours per Response</t>
  </si>
  <si>
    <t>Total Burden Hours</t>
  </si>
  <si>
    <t>Hourly Cost to Respondent</t>
  </si>
  <si>
    <t>Cost to Respondent</t>
  </si>
  <si>
    <t>Excessive Replacement Card Notice</t>
  </si>
  <si>
    <t>Subtotal</t>
  </si>
  <si>
    <t>Participating Households</t>
  </si>
  <si>
    <t>Reading Replacement Card Withheld Notice and Making Contact with State Agency</t>
  </si>
  <si>
    <t>For this chart, please see comment in Supporting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</si>
</sst>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#,##0.0000"/>
    <numFmt numFmtId="166" formatCode="0.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8"/>
      <color rgb="FF0070C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FF0000"/>
      <name val="Aptos Narrow"/>
      <family val="2"/>
      <scheme val="minor"/>
    </font>
    <font>
      <b/>
      <sz val="1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3">
    <xf numFmtId="0" fontId="0" fillId="0" borderId="0" xfId="0"/>
    <xf numFmtId="37" fontId="5" fillId="2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4" fontId="6" fillId="0" borderId="2" xfId="2" applyFont="1" applyBorder="1" applyAlignment="1">
      <alignment horizontal="center" vertical="center"/>
    </xf>
    <xf numFmtId="44" fontId="6" fillId="0" borderId="2" xfId="0" applyNumberFormat="1" applyFont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44" fontId="5" fillId="0" borderId="2" xfId="2" applyFont="1" applyBorder="1" applyAlignment="1">
      <alignment horizontal="center" vertical="center"/>
    </xf>
    <xf numFmtId="44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" fontId="7" fillId="6" borderId="2" xfId="1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165" fontId="7" fillId="5" borderId="2" xfId="1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8" fontId="3" fillId="0" borderId="0" xfId="0" applyNumberFormat="1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8" fontId="4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8" fontId="3" fillId="3" borderId="2" xfId="0" applyNumberFormat="1" applyFont="1" applyFill="1" applyBorder="1" applyAlignment="1">
      <alignment horizontal="center" vertical="center" wrapText="1"/>
    </xf>
    <xf numFmtId="37" fontId="5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6" fillId="0" borderId="4" xfId="0" applyNumberFormat="1" applyFont="1" applyBorder="1" applyAlignment="1">
      <alignment horizontal="center" vertical="center"/>
    </xf>
    <xf numFmtId="3" fontId="7" fillId="0" borderId="2" xfId="1" applyNumberFormat="1" applyFont="1" applyFill="1" applyBorder="1" applyAlignment="1">
      <alignment horizontal="center" vertical="center"/>
    </xf>
    <xf numFmtId="3" fontId="7" fillId="5" borderId="2" xfId="1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39" fontId="6" fillId="0" borderId="2" xfId="0" applyNumberFormat="1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39" fontId="4" fillId="2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165" fontId="10" fillId="0" borderId="2" xfId="1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12" xfId="0" applyNumberFormat="1" applyFont="1" applyBorder="1" applyAlignment="1">
      <alignment horizontal="center" vertical="center" wrapText="1"/>
    </xf>
    <xf numFmtId="4" fontId="14" fillId="0" borderId="1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3" fontId="11" fillId="0" borderId="0" xfId="0" applyNumberFormat="1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3" fontId="16" fillId="0" borderId="2" xfId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 wrapText="1"/>
    </xf>
    <xf numFmtId="44" fontId="16" fillId="0" borderId="2" xfId="2" applyFont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2" fontId="12" fillId="9" borderId="2" xfId="0" applyNumberFormat="1" applyFont="1" applyFill="1" applyBorder="1" applyAlignment="1">
      <alignment horizontal="center" vertical="center" wrapText="1"/>
    </xf>
    <xf numFmtId="43" fontId="12" fillId="9" borderId="2" xfId="1" applyFont="1" applyFill="1" applyBorder="1" applyAlignment="1">
      <alignment horizontal="center" vertical="center" wrapText="1"/>
    </xf>
    <xf numFmtId="164" fontId="12" fillId="9" borderId="2" xfId="0" applyNumberFormat="1" applyFont="1" applyFill="1" applyBorder="1" applyAlignment="1">
      <alignment horizontal="center" vertical="center" wrapText="1"/>
    </xf>
    <xf numFmtId="44" fontId="12" fillId="9" borderId="2" xfId="2" applyFont="1" applyFill="1" applyBorder="1" applyAlignment="1">
      <alignment horizontal="center" vertical="center" wrapText="1"/>
    </xf>
    <xf numFmtId="44" fontId="16" fillId="4" borderId="2" xfId="2" applyFont="1" applyFill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166" fontId="12" fillId="9" borderId="2" xfId="0" applyNumberFormat="1" applyFont="1" applyFill="1" applyBorder="1" applyAlignment="1">
      <alignment horizontal="center" vertical="center" wrapText="1"/>
    </xf>
    <xf numFmtId="44" fontId="12" fillId="9" borderId="2" xfId="0" applyNumberFormat="1" applyFont="1" applyFill="1" applyBorder="1" applyAlignment="1">
      <alignment horizontal="center" vertical="center" wrapText="1"/>
    </xf>
    <xf numFmtId="43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4" fontId="2" fillId="0" borderId="2" xfId="0" applyNumberFormat="1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7" fontId="5" fillId="3" borderId="9" xfId="0" applyNumberFormat="1" applyFont="1" applyFill="1" applyBorder="1" applyAlignment="1">
      <alignment horizontal="center" vertical="center"/>
    </xf>
    <xf numFmtId="37" fontId="5" fillId="3" borderId="10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/>
    </xf>
    <xf numFmtId="39" fontId="19" fillId="0" borderId="2" xfId="0" applyNumberFormat="1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CB4F-F663-4670-A9C4-BA2407949518}">
  <dimension ref="A1:S15"/>
  <sheetViews>
    <sheetView tabSelected="1" zoomScaleNormal="100" workbookViewId="0">
      <pane ySplit="1" topLeftCell="A2" activePane="bottomLeft" state="frozen"/>
      <selection pane="bottomLeft" activeCell="Q5" sqref="Q5:Q7"/>
    </sheetView>
  </sheetViews>
  <sheetFormatPr defaultRowHeight="15" x14ac:dyDescent="0.25"/>
  <cols>
    <col min="1" max="1" width="12.85546875" customWidth="1"/>
    <col min="2" max="2" width="15.7109375" customWidth="1"/>
    <col min="3" max="3" width="11.85546875" customWidth="1"/>
    <col min="5" max="5" width="11.140625" customWidth="1"/>
    <col min="6" max="6" width="10.28515625" customWidth="1"/>
    <col min="7" max="7" width="11.5703125" customWidth="1"/>
    <col min="10" max="14" width="14.28515625" customWidth="1"/>
    <col min="16" max="16" width="29.42578125" customWidth="1"/>
    <col min="17" max="17" width="13.7109375" customWidth="1"/>
    <col min="18" max="18" width="12.7109375" customWidth="1"/>
    <col min="19" max="19" width="12.140625" customWidth="1"/>
  </cols>
  <sheetData>
    <row r="1" spans="1:19" ht="67.5" x14ac:dyDescent="0.25">
      <c r="A1" s="1" t="s">
        <v>0</v>
      </c>
      <c r="B1" s="29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P1" s="30" t="s">
        <v>14</v>
      </c>
    </row>
    <row r="2" spans="1:19" ht="25.5" x14ac:dyDescent="0.25">
      <c r="A2" s="38" t="s">
        <v>15</v>
      </c>
      <c r="B2" s="36" t="s">
        <v>16</v>
      </c>
      <c r="C2" s="36" t="s">
        <v>17</v>
      </c>
      <c r="D2" s="36" t="s">
        <v>18</v>
      </c>
      <c r="E2" s="36" t="s">
        <v>19</v>
      </c>
      <c r="F2" s="36" t="s">
        <v>20</v>
      </c>
      <c r="G2" s="36" t="s">
        <v>21</v>
      </c>
      <c r="H2" s="36" t="s">
        <v>22</v>
      </c>
      <c r="I2" s="36" t="s">
        <v>23</v>
      </c>
      <c r="J2" s="36" t="s">
        <v>24</v>
      </c>
      <c r="K2" s="36" t="s">
        <v>25</v>
      </c>
      <c r="L2" s="36" t="s">
        <v>26</v>
      </c>
      <c r="M2" s="36" t="s">
        <v>27</v>
      </c>
      <c r="N2" s="37" t="s">
        <v>28</v>
      </c>
      <c r="P2" s="100" t="s">
        <v>74</v>
      </c>
    </row>
    <row r="3" spans="1:19" x14ac:dyDescent="0.25">
      <c r="A3" s="85" t="s">
        <v>29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P3" s="76" t="s">
        <v>30</v>
      </c>
      <c r="Q3" s="76"/>
      <c r="R3" s="76"/>
      <c r="S3" s="76"/>
    </row>
    <row r="4" spans="1:19" ht="40.5" x14ac:dyDescent="0.25">
      <c r="A4" s="13" t="s">
        <v>31</v>
      </c>
      <c r="B4" s="14" t="s">
        <v>32</v>
      </c>
      <c r="C4" s="32">
        <f>C7*11%</f>
        <v>32127.040000000001</v>
      </c>
      <c r="D4" s="44">
        <v>1</v>
      </c>
      <c r="E4" s="2">
        <f>C4*D4</f>
        <v>32127.040000000001</v>
      </c>
      <c r="F4" s="12">
        <v>3.3399999999999999E-2</v>
      </c>
      <c r="G4" s="15">
        <f>E4*F4</f>
        <v>1073.043136</v>
      </c>
      <c r="H4" s="4">
        <v>7.25</v>
      </c>
      <c r="I4" s="4">
        <v>7.25</v>
      </c>
      <c r="J4" s="5">
        <f>G4*I4</f>
        <v>7779.5627359999999</v>
      </c>
      <c r="K4" s="39">
        <v>1376.81</v>
      </c>
      <c r="L4" s="99">
        <v>303.77</v>
      </c>
      <c r="M4" s="5"/>
      <c r="N4" s="40">
        <f>K4-G4</f>
        <v>303.76686399999994</v>
      </c>
      <c r="P4" s="23" t="s">
        <v>33</v>
      </c>
      <c r="Q4" s="23" t="s">
        <v>34</v>
      </c>
      <c r="R4" s="23" t="s">
        <v>35</v>
      </c>
      <c r="S4" s="23" t="s">
        <v>36</v>
      </c>
    </row>
    <row r="5" spans="1:19" ht="81" x14ac:dyDescent="0.25">
      <c r="A5" s="13" t="s">
        <v>31</v>
      </c>
      <c r="B5" s="16" t="s">
        <v>37</v>
      </c>
      <c r="C5" s="33">
        <f>C4*0.5</f>
        <v>16063.52</v>
      </c>
      <c r="D5" s="44">
        <v>1</v>
      </c>
      <c r="E5" s="2">
        <f>C5*D5</f>
        <v>16063.52</v>
      </c>
      <c r="F5" s="17">
        <v>0.5</v>
      </c>
      <c r="G5" s="15">
        <f>E5*F5</f>
        <v>8031.76</v>
      </c>
      <c r="H5" s="4">
        <v>7.25</v>
      </c>
      <c r="I5" s="4">
        <v>7.25</v>
      </c>
      <c r="J5" s="5">
        <f>G5*I5</f>
        <v>58230.26</v>
      </c>
      <c r="K5" s="39">
        <v>10305.44</v>
      </c>
      <c r="L5" s="99">
        <v>2273.6799999999998</v>
      </c>
      <c r="M5" s="5"/>
      <c r="N5" s="40">
        <f t="shared" ref="N5:N6" si="0">K5-G5</f>
        <v>2273.6800000000003</v>
      </c>
      <c r="P5" s="72" t="s">
        <v>38</v>
      </c>
      <c r="Q5" s="101">
        <v>40</v>
      </c>
      <c r="R5" s="24">
        <v>49.07</v>
      </c>
      <c r="S5" s="71">
        <f>Q5*R5</f>
        <v>1962.8</v>
      </c>
    </row>
    <row r="6" spans="1:19" ht="40.5" customHeight="1" x14ac:dyDescent="0.25">
      <c r="A6" s="14" t="s">
        <v>39</v>
      </c>
      <c r="B6" s="14" t="s">
        <v>40</v>
      </c>
      <c r="C6" s="32">
        <f>C7*88.5%</f>
        <v>258476.64</v>
      </c>
      <c r="D6" s="44">
        <v>1</v>
      </c>
      <c r="E6" s="2">
        <f>C6*D6</f>
        <v>258476.64</v>
      </c>
      <c r="F6" s="12">
        <v>3.3399999999999999E-2</v>
      </c>
      <c r="G6" s="15">
        <f>E6*F6</f>
        <v>8633.1197759999995</v>
      </c>
      <c r="H6" s="4">
        <v>7.25</v>
      </c>
      <c r="I6" s="4">
        <v>7.25</v>
      </c>
      <c r="J6" s="5">
        <f>G6*I6</f>
        <v>62590.118375999999</v>
      </c>
      <c r="K6" s="39">
        <v>11057.51</v>
      </c>
      <c r="L6" s="99">
        <v>2424.39</v>
      </c>
      <c r="M6" s="5"/>
      <c r="N6" s="40">
        <f t="shared" si="0"/>
        <v>2424.3902240000007</v>
      </c>
      <c r="P6" s="83" t="s">
        <v>41</v>
      </c>
      <c r="Q6" s="102">
        <v>20</v>
      </c>
      <c r="R6" s="75">
        <v>68.959999999999994</v>
      </c>
      <c r="S6" s="75">
        <f>Q6*R6</f>
        <v>1379.1999999999998</v>
      </c>
    </row>
    <row r="7" spans="1:19" x14ac:dyDescent="0.25">
      <c r="A7" s="77" t="s">
        <v>42</v>
      </c>
      <c r="B7" s="78"/>
      <c r="C7" s="43">
        <v>292064</v>
      </c>
      <c r="D7" s="45">
        <f>E7/C7</f>
        <v>1</v>
      </c>
      <c r="E7" s="34">
        <f>C7</f>
        <v>292064</v>
      </c>
      <c r="F7" s="7">
        <f>G7/E7</f>
        <v>6.0733000000000009E-2</v>
      </c>
      <c r="G7" s="6">
        <f>SUM(G4:G6)</f>
        <v>17737.922912000002</v>
      </c>
      <c r="H7" s="8">
        <v>7.25</v>
      </c>
      <c r="I7" s="8">
        <v>7.25</v>
      </c>
      <c r="J7" s="9">
        <f>SUM(J4:J6)</f>
        <v>128599.941112</v>
      </c>
      <c r="K7" s="41">
        <f>SUM(K4:K6)</f>
        <v>22739.760000000002</v>
      </c>
      <c r="L7" s="9"/>
      <c r="M7" s="9"/>
      <c r="N7" s="11">
        <f>SUM(N4:N6)</f>
        <v>5001.8370880000011</v>
      </c>
      <c r="P7" s="84"/>
      <c r="Q7" s="102"/>
      <c r="R7" s="75"/>
      <c r="S7" s="75"/>
    </row>
    <row r="8" spans="1:19" ht="24.75" customHeight="1" x14ac:dyDescent="0.25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P8" s="27" t="s">
        <v>43</v>
      </c>
      <c r="Q8" s="27"/>
      <c r="R8" s="27"/>
      <c r="S8" s="28">
        <f>S5+S6</f>
        <v>3342</v>
      </c>
    </row>
    <row r="9" spans="1:19" ht="18.75" customHeight="1" x14ac:dyDescent="0.25">
      <c r="A9" s="88" t="s">
        <v>44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P9" s="25" t="s">
        <v>45</v>
      </c>
      <c r="Q9" s="25"/>
      <c r="R9" s="25"/>
      <c r="S9" s="26">
        <f>S8*1.33</f>
        <v>4444.8600000000006</v>
      </c>
    </row>
    <row r="10" spans="1:19" ht="40.5" x14ac:dyDescent="0.25">
      <c r="A10" s="13" t="s">
        <v>31</v>
      </c>
      <c r="B10" s="14" t="s">
        <v>46</v>
      </c>
      <c r="C10" s="2">
        <v>6</v>
      </c>
      <c r="D10" s="2">
        <f>E10/C10</f>
        <v>5354.5066666666671</v>
      </c>
      <c r="E10" s="2">
        <f>C4</f>
        <v>32127.040000000001</v>
      </c>
      <c r="F10" s="12">
        <v>3.3399999999999999E-2</v>
      </c>
      <c r="G10" s="31">
        <f>SUM(E10*F10)</f>
        <v>1073.043136</v>
      </c>
      <c r="H10" s="4">
        <v>12.98</v>
      </c>
      <c r="I10" s="5">
        <f>H10*1.33</f>
        <v>17.263400000000001</v>
      </c>
      <c r="J10" s="5">
        <f>I10*G10</f>
        <v>18524.3728740224</v>
      </c>
      <c r="K10" s="39">
        <v>1376.81</v>
      </c>
      <c r="L10" s="98">
        <v>303.77</v>
      </c>
      <c r="M10" s="39"/>
      <c r="N10" s="39">
        <f>K10-G10</f>
        <v>303.76686399999994</v>
      </c>
    </row>
    <row r="11" spans="1:19" ht="27" x14ac:dyDescent="0.25">
      <c r="A11" s="13" t="s">
        <v>31</v>
      </c>
      <c r="B11" s="16" t="s">
        <v>47</v>
      </c>
      <c r="C11" s="2">
        <v>6</v>
      </c>
      <c r="D11" s="2">
        <f>E11/C11</f>
        <v>2677.2533333333336</v>
      </c>
      <c r="E11" s="2">
        <f>C5</f>
        <v>16063.52</v>
      </c>
      <c r="F11" s="12">
        <v>3.3399999999999999E-2</v>
      </c>
      <c r="G11" s="3">
        <f>SUM(E11*F11)</f>
        <v>536.521568</v>
      </c>
      <c r="H11" s="4">
        <v>12.98</v>
      </c>
      <c r="I11" s="5">
        <f>H11*1.33</f>
        <v>17.263400000000001</v>
      </c>
      <c r="J11" s="5">
        <f>I11*G11</f>
        <v>9262.1864370111998</v>
      </c>
      <c r="K11" s="39">
        <v>688.4</v>
      </c>
      <c r="L11" s="98">
        <v>151.88</v>
      </c>
      <c r="M11" s="39"/>
      <c r="N11" s="39">
        <f t="shared" ref="N11:N13" si="1">K11-G11</f>
        <v>151.87843199999998</v>
      </c>
      <c r="P11" s="21" t="s">
        <v>48</v>
      </c>
      <c r="Q11" s="70">
        <f>J13+S9</f>
        <v>181268.41925203201</v>
      </c>
    </row>
    <row r="12" spans="1:19" ht="40.5" x14ac:dyDescent="0.25">
      <c r="A12" s="14" t="s">
        <v>39</v>
      </c>
      <c r="B12" s="14" t="s">
        <v>49</v>
      </c>
      <c r="C12" s="2">
        <v>47</v>
      </c>
      <c r="D12" s="2">
        <f>E12/C12</f>
        <v>5499.5029787234043</v>
      </c>
      <c r="E12" s="2">
        <f>C6</f>
        <v>258476.64</v>
      </c>
      <c r="F12" s="12">
        <v>3.3399999999999999E-2</v>
      </c>
      <c r="G12" s="3">
        <f>SUM(E12*F12)</f>
        <v>8633.1197759999995</v>
      </c>
      <c r="H12" s="4">
        <v>12.98</v>
      </c>
      <c r="I12" s="5">
        <f>H12*1.33</f>
        <v>17.263400000000001</v>
      </c>
      <c r="J12" s="5">
        <f>I12*G12</f>
        <v>149036.99994099839</v>
      </c>
      <c r="K12" s="39">
        <v>11057.51</v>
      </c>
      <c r="L12" s="98">
        <v>2424.39</v>
      </c>
      <c r="M12" s="39"/>
      <c r="N12" s="39">
        <f t="shared" si="1"/>
        <v>2424.3902240000007</v>
      </c>
    </row>
    <row r="13" spans="1:19" ht="15" customHeight="1" x14ac:dyDescent="0.25">
      <c r="A13" s="79" t="s">
        <v>50</v>
      </c>
      <c r="B13" s="80"/>
      <c r="C13" s="10">
        <f>C10+C12</f>
        <v>53</v>
      </c>
      <c r="D13" s="10">
        <f>E13/C13</f>
        <v>5510.6415094339627</v>
      </c>
      <c r="E13" s="10">
        <f>C7</f>
        <v>292064</v>
      </c>
      <c r="F13" s="46">
        <v>3.3399999999999999E-2</v>
      </c>
      <c r="G13" s="11">
        <f>SUM(G10:G12)</f>
        <v>10242.68448</v>
      </c>
      <c r="H13" s="8">
        <v>12.98</v>
      </c>
      <c r="I13" s="9">
        <f>H13*1.33</f>
        <v>17.263400000000001</v>
      </c>
      <c r="J13" s="9">
        <f>SUM(J10:J12)</f>
        <v>176823.55925203199</v>
      </c>
      <c r="K13" s="11">
        <f>SUM(K10:K12)</f>
        <v>13122.720000000001</v>
      </c>
      <c r="L13" s="11"/>
      <c r="M13" s="11"/>
      <c r="N13" s="11">
        <f t="shared" si="1"/>
        <v>2880.0355200000013</v>
      </c>
    </row>
    <row r="14" spans="1:19" ht="15" customHeight="1" x14ac:dyDescent="0.25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2"/>
    </row>
    <row r="15" spans="1:19" x14ac:dyDescent="0.25">
      <c r="A15" s="81" t="s">
        <v>51</v>
      </c>
      <c r="B15" s="82"/>
      <c r="C15" s="18">
        <f>C7+C13</f>
        <v>292117</v>
      </c>
      <c r="D15" s="35">
        <f>E15/C15</f>
        <v>1.999637131697231</v>
      </c>
      <c r="E15" s="18">
        <f>E7+E13</f>
        <v>584128</v>
      </c>
      <c r="F15" s="19">
        <f>G15/E15</f>
        <v>4.79015E-2</v>
      </c>
      <c r="G15" s="20">
        <f>G7+G13</f>
        <v>27980.607392000002</v>
      </c>
      <c r="H15" s="21"/>
      <c r="I15" s="21"/>
      <c r="J15" s="22">
        <f>J7+J13</f>
        <v>305423.50036403199</v>
      </c>
      <c r="K15" s="20">
        <f>K7+K13</f>
        <v>35862.480000000003</v>
      </c>
      <c r="L15" s="22"/>
      <c r="M15" s="22"/>
      <c r="N15" s="42">
        <f>N7+N13</f>
        <v>7881.8726080000024</v>
      </c>
    </row>
  </sheetData>
  <mergeCells count="12">
    <mergeCell ref="S6:S7"/>
    <mergeCell ref="P3:S3"/>
    <mergeCell ref="A7:B7"/>
    <mergeCell ref="A13:B13"/>
    <mergeCell ref="A15:B15"/>
    <mergeCell ref="P6:P7"/>
    <mergeCell ref="Q6:Q7"/>
    <mergeCell ref="R6:R7"/>
    <mergeCell ref="A3:N3"/>
    <mergeCell ref="A8:N8"/>
    <mergeCell ref="A9:N9"/>
    <mergeCell ref="A14:N1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2617-04D2-4EE5-B6FD-E48616B77BAA}">
  <dimension ref="A1:G3"/>
  <sheetViews>
    <sheetView workbookViewId="0">
      <selection activeCell="B12" sqref="B12:B13"/>
    </sheetView>
  </sheetViews>
  <sheetFormatPr defaultRowHeight="15" x14ac:dyDescent="0.25"/>
  <cols>
    <col min="1" max="1" width="10" customWidth="1"/>
    <col min="2" max="2" width="10.140625" bestFit="1" customWidth="1"/>
    <col min="4" max="4" width="9.7109375" customWidth="1"/>
    <col min="5" max="5" width="14.85546875" customWidth="1"/>
    <col min="7" max="7" width="10.140625" bestFit="1" customWidth="1"/>
  </cols>
  <sheetData>
    <row r="1" spans="1:7" ht="90" x14ac:dyDescent="0.25">
      <c r="A1" s="47"/>
      <c r="B1" s="47" t="s">
        <v>52</v>
      </c>
      <c r="C1" s="47" t="s">
        <v>53</v>
      </c>
      <c r="D1" s="47" t="s">
        <v>54</v>
      </c>
      <c r="E1" s="47" t="s">
        <v>55</v>
      </c>
      <c r="F1" s="47" t="s">
        <v>56</v>
      </c>
      <c r="G1" s="47" t="s">
        <v>57</v>
      </c>
    </row>
    <row r="2" spans="1:7" ht="75" x14ac:dyDescent="0.25">
      <c r="A2" s="48" t="s">
        <v>58</v>
      </c>
      <c r="B2" s="49">
        <v>584128</v>
      </c>
      <c r="C2" s="49" t="s">
        <v>59</v>
      </c>
      <c r="D2" s="49" t="s">
        <v>59</v>
      </c>
      <c r="E2" s="49">
        <f>G2-B2</f>
        <v>201663</v>
      </c>
      <c r="F2" s="49" t="s">
        <v>59</v>
      </c>
      <c r="G2" s="49">
        <v>785791</v>
      </c>
    </row>
    <row r="3" spans="1:7" ht="45" x14ac:dyDescent="0.25">
      <c r="A3" s="48" t="s">
        <v>60</v>
      </c>
      <c r="B3" s="50">
        <v>27980.61</v>
      </c>
      <c r="C3" s="49" t="s">
        <v>59</v>
      </c>
      <c r="D3" s="49" t="s">
        <v>59</v>
      </c>
      <c r="E3" s="50">
        <f>G3-B3</f>
        <v>7881.8600000000006</v>
      </c>
      <c r="F3" s="49" t="s">
        <v>59</v>
      </c>
      <c r="G3" s="50">
        <v>35862.47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624B-344B-4305-A6E3-F71622C2BE6A}">
  <dimension ref="A1:P18"/>
  <sheetViews>
    <sheetView workbookViewId="0">
      <selection activeCell="F14" sqref="E13:F14"/>
    </sheetView>
  </sheetViews>
  <sheetFormatPr defaultRowHeight="15" x14ac:dyDescent="0.25"/>
  <cols>
    <col min="1" max="1" width="17" customWidth="1"/>
    <col min="2" max="2" width="12.5703125" customWidth="1"/>
    <col min="3" max="3" width="12.7109375" customWidth="1"/>
    <col min="4" max="4" width="10.7109375" customWidth="1"/>
    <col min="5" max="5" width="13" customWidth="1"/>
    <col min="6" max="6" width="10.5703125" bestFit="1" customWidth="1"/>
    <col min="7" max="7" width="15.5703125" customWidth="1"/>
    <col min="8" max="8" width="11.42578125" customWidth="1"/>
    <col min="9" max="9" width="14" customWidth="1"/>
  </cols>
  <sheetData>
    <row r="1" spans="1:16" ht="57" x14ac:dyDescent="0.25">
      <c r="A1" s="54" t="s">
        <v>61</v>
      </c>
      <c r="B1" s="54" t="s">
        <v>62</v>
      </c>
      <c r="C1" s="54" t="s">
        <v>63</v>
      </c>
      <c r="D1" s="54" t="s">
        <v>64</v>
      </c>
      <c r="E1" s="54" t="s">
        <v>65</v>
      </c>
      <c r="F1" s="54" t="s">
        <v>66</v>
      </c>
      <c r="G1" s="54" t="s">
        <v>67</v>
      </c>
      <c r="H1" s="54" t="s">
        <v>68</v>
      </c>
      <c r="I1" s="54" t="s">
        <v>69</v>
      </c>
      <c r="O1" s="51"/>
      <c r="P1" s="51"/>
    </row>
    <row r="2" spans="1:16" x14ac:dyDescent="0.25">
      <c r="A2" s="93" t="s">
        <v>44</v>
      </c>
      <c r="B2" s="94"/>
      <c r="C2" s="94"/>
      <c r="D2" s="94"/>
      <c r="E2" s="94"/>
      <c r="F2" s="94"/>
      <c r="G2" s="94"/>
      <c r="H2" s="94"/>
      <c r="I2" s="95"/>
      <c r="O2" s="51"/>
      <c r="P2" s="51"/>
    </row>
    <row r="3" spans="1:16" ht="75" x14ac:dyDescent="0.25">
      <c r="A3" s="55" t="s">
        <v>31</v>
      </c>
      <c r="B3" s="55" t="s">
        <v>46</v>
      </c>
      <c r="C3" s="55">
        <v>6</v>
      </c>
      <c r="D3" s="56">
        <f>E3/C3</f>
        <v>6870.293333333334</v>
      </c>
      <c r="E3" s="56">
        <v>41221.760000000002</v>
      </c>
      <c r="F3" s="57">
        <v>3.3399999999999999E-2</v>
      </c>
      <c r="G3" s="56">
        <f>F3*E3</f>
        <v>1376.8067840000001</v>
      </c>
      <c r="H3" s="58">
        <v>11.68</v>
      </c>
      <c r="I3" s="58">
        <f>H3*G3</f>
        <v>16081.103237120002</v>
      </c>
      <c r="K3" s="69">
        <v>23.35</v>
      </c>
      <c r="O3" s="51"/>
    </row>
    <row r="4" spans="1:16" ht="60" x14ac:dyDescent="0.25">
      <c r="A4" s="55" t="s">
        <v>31</v>
      </c>
      <c r="B4" s="55" t="s">
        <v>47</v>
      </c>
      <c r="C4" s="55">
        <v>6</v>
      </c>
      <c r="D4" s="56">
        <f>E4/C4</f>
        <v>3435.146666666667</v>
      </c>
      <c r="E4" s="56">
        <f>E3/2</f>
        <v>20610.88</v>
      </c>
      <c r="F4" s="57">
        <v>3.3399999999999999E-2</v>
      </c>
      <c r="G4" s="56">
        <f t="shared" ref="G4:G5" si="0">F4*E4</f>
        <v>688.40339200000005</v>
      </c>
      <c r="H4" s="58">
        <v>11.68</v>
      </c>
      <c r="I4" s="58">
        <f t="shared" ref="I4:I5" si="1">H4*G4</f>
        <v>8040.5516185600009</v>
      </c>
      <c r="K4" s="69">
        <f>K3/2</f>
        <v>11.675000000000001</v>
      </c>
      <c r="O4" s="51"/>
    </row>
    <row r="5" spans="1:16" ht="45" x14ac:dyDescent="0.25">
      <c r="A5" s="55" t="s">
        <v>39</v>
      </c>
      <c r="B5" s="55" t="s">
        <v>70</v>
      </c>
      <c r="C5" s="55">
        <v>47</v>
      </c>
      <c r="D5" s="56">
        <f>E5/C5</f>
        <v>7043.8955319148945</v>
      </c>
      <c r="E5" s="56">
        <v>331063.09000000003</v>
      </c>
      <c r="F5" s="57">
        <v>3.3399999999999999E-2</v>
      </c>
      <c r="G5" s="56">
        <f t="shared" si="0"/>
        <v>11057.507206</v>
      </c>
      <c r="H5" s="58">
        <v>11.68</v>
      </c>
      <c r="I5" s="58">
        <f t="shared" si="1"/>
        <v>129151.68416608</v>
      </c>
      <c r="O5" s="51"/>
      <c r="P5" s="51"/>
    </row>
    <row r="6" spans="1:16" x14ac:dyDescent="0.25">
      <c r="A6" s="96" t="s">
        <v>71</v>
      </c>
      <c r="B6" s="97"/>
      <c r="C6" s="59">
        <f>SUM(C3+C5)</f>
        <v>53</v>
      </c>
      <c r="D6" s="60">
        <f>E6/C6</f>
        <v>7413.1269811320763</v>
      </c>
      <c r="E6" s="61">
        <f>SUM(E3:E5)</f>
        <v>392895.73000000004</v>
      </c>
      <c r="F6" s="62">
        <v>3.3399999999999999E-2</v>
      </c>
      <c r="G6" s="61">
        <f>SUM(G3:G5)</f>
        <v>13122.717382000001</v>
      </c>
      <c r="H6" s="59"/>
      <c r="I6" s="63">
        <f>SUM(I3:I5)</f>
        <v>153273.33902176001</v>
      </c>
      <c r="O6" s="51"/>
      <c r="P6" s="51"/>
    </row>
    <row r="7" spans="1:16" x14ac:dyDescent="0.25">
      <c r="A7" s="93" t="s">
        <v>72</v>
      </c>
      <c r="B7" s="94"/>
      <c r="C7" s="94"/>
      <c r="D7" s="94"/>
      <c r="E7" s="94"/>
      <c r="F7" s="94"/>
      <c r="G7" s="94"/>
      <c r="H7" s="94"/>
      <c r="I7" s="95"/>
      <c r="O7" s="51"/>
      <c r="P7" s="51"/>
    </row>
    <row r="8" spans="1:16" ht="90" x14ac:dyDescent="0.25">
      <c r="A8" s="55" t="s">
        <v>31</v>
      </c>
      <c r="B8" s="73" t="s">
        <v>32</v>
      </c>
      <c r="C8" s="56">
        <f>E3</f>
        <v>41221.760000000002</v>
      </c>
      <c r="D8" s="55">
        <v>1</v>
      </c>
      <c r="E8" s="56">
        <f>(D8*C8)</f>
        <v>41221.760000000002</v>
      </c>
      <c r="F8" s="57">
        <v>3.3399999999999999E-2</v>
      </c>
      <c r="G8" s="56">
        <f>E8*F8</f>
        <v>1376.8067840000001</v>
      </c>
      <c r="H8" s="58">
        <v>7.25</v>
      </c>
      <c r="I8" s="64">
        <f>(H8*G8)</f>
        <v>9981.8491840000006</v>
      </c>
      <c r="O8" s="51"/>
      <c r="P8" s="51"/>
    </row>
    <row r="9" spans="1:16" ht="120" x14ac:dyDescent="0.25">
      <c r="A9" s="55" t="s">
        <v>31</v>
      </c>
      <c r="B9" s="74" t="s">
        <v>73</v>
      </c>
      <c r="C9" s="56">
        <f>C8/2</f>
        <v>20610.88</v>
      </c>
      <c r="D9" s="55">
        <v>1</v>
      </c>
      <c r="E9" s="56">
        <f t="shared" ref="E9:E10" si="2">(D9*C9)</f>
        <v>20610.88</v>
      </c>
      <c r="F9" s="65">
        <f>(30/60)</f>
        <v>0.5</v>
      </c>
      <c r="G9" s="56">
        <f t="shared" ref="G9" si="3">(F9*E9)</f>
        <v>10305.44</v>
      </c>
      <c r="H9" s="58">
        <v>7.25</v>
      </c>
      <c r="I9" s="64">
        <f t="shared" ref="I9:I10" si="4">(H9*G9)</f>
        <v>74714.44</v>
      </c>
      <c r="O9" s="51"/>
      <c r="P9" s="51"/>
    </row>
    <row r="10" spans="1:16" ht="60" x14ac:dyDescent="0.25">
      <c r="A10" s="55" t="s">
        <v>39</v>
      </c>
      <c r="B10" s="73" t="s">
        <v>40</v>
      </c>
      <c r="C10" s="56">
        <f>E5</f>
        <v>331063.09000000003</v>
      </c>
      <c r="D10" s="55">
        <v>1</v>
      </c>
      <c r="E10" s="56">
        <f t="shared" si="2"/>
        <v>331063.09000000003</v>
      </c>
      <c r="F10" s="57">
        <v>3.3399999999999999E-2</v>
      </c>
      <c r="G10" s="56">
        <f>(F10*E10)</f>
        <v>11057.507206</v>
      </c>
      <c r="H10" s="58">
        <v>7.25</v>
      </c>
      <c r="I10" s="64">
        <f t="shared" si="4"/>
        <v>80166.927243500002</v>
      </c>
      <c r="J10" s="51"/>
      <c r="K10" s="51"/>
      <c r="L10" s="51"/>
      <c r="M10" s="51"/>
      <c r="N10" s="51"/>
      <c r="O10" s="51"/>
      <c r="P10" s="51"/>
    </row>
    <row r="11" spans="1:16" x14ac:dyDescent="0.25">
      <c r="A11" s="96" t="s">
        <v>71</v>
      </c>
      <c r="B11" s="97"/>
      <c r="C11" s="61">
        <f>C8+C10</f>
        <v>372284.85000000003</v>
      </c>
      <c r="D11" s="60">
        <f>(E11/C11)</f>
        <v>1.0553631983681313</v>
      </c>
      <c r="E11" s="61">
        <f>SUM(E8:E10)</f>
        <v>392895.73000000004</v>
      </c>
      <c r="F11" s="66">
        <f>G11/E11</f>
        <v>5.7877325340237214E-2</v>
      </c>
      <c r="G11" s="61">
        <f>SUM(G8:G10)</f>
        <v>22739.753990000001</v>
      </c>
      <c r="H11" s="59"/>
      <c r="I11" s="63">
        <f>SUM(I8:I10)</f>
        <v>164863.21642750001</v>
      </c>
      <c r="J11" s="52"/>
      <c r="K11" s="52"/>
      <c r="L11" s="52"/>
      <c r="M11" s="52"/>
      <c r="N11" s="52"/>
      <c r="O11" s="52"/>
      <c r="P11" s="52"/>
    </row>
    <row r="12" spans="1:16" x14ac:dyDescent="0.25">
      <c r="A12" s="96" t="s">
        <v>51</v>
      </c>
      <c r="B12" s="97"/>
      <c r="C12" s="61">
        <f>C6+C11</f>
        <v>372337.85000000003</v>
      </c>
      <c r="D12" s="60">
        <f>E12/C12</f>
        <v>2.1104259478320562</v>
      </c>
      <c r="E12" s="61">
        <f>E6+E11</f>
        <v>785791.46000000008</v>
      </c>
      <c r="F12" s="62">
        <f>G12/E12</f>
        <v>4.5638662670118603E-2</v>
      </c>
      <c r="G12" s="61">
        <f>G6+G11</f>
        <v>35862.471372</v>
      </c>
      <c r="H12" s="59"/>
      <c r="I12" s="67">
        <f>I11+I6</f>
        <v>318136.55544926005</v>
      </c>
      <c r="J12" s="51"/>
      <c r="K12" s="51"/>
      <c r="L12" s="51"/>
      <c r="M12" s="51"/>
      <c r="N12" s="51"/>
      <c r="O12" s="51"/>
      <c r="P12" s="51"/>
    </row>
    <row r="13" spans="1:16" x14ac:dyDescent="0.25">
      <c r="A13" s="51"/>
      <c r="B13" s="51"/>
      <c r="C13" s="53"/>
      <c r="D13" s="51"/>
      <c r="E13" s="68">
        <f>E3+E5</f>
        <v>372284.85000000003</v>
      </c>
      <c r="F13" s="69">
        <f>F12*60</f>
        <v>2.7383197602071161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1:16" x14ac:dyDescent="0.25">
      <c r="A14" s="51"/>
      <c r="B14" s="51"/>
      <c r="C14" s="51"/>
      <c r="D14" s="51"/>
      <c r="E14" s="68">
        <f>E13+53</f>
        <v>372337.85000000003</v>
      </c>
      <c r="F14" s="69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16" x14ac:dyDescent="0.25">
      <c r="A15" s="51"/>
      <c r="B15" s="51"/>
      <c r="C15" s="51"/>
      <c r="D15" s="51"/>
      <c r="E15" s="69"/>
      <c r="F15" s="69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1:16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8" spans="1:16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</row>
  </sheetData>
  <mergeCells count="5">
    <mergeCell ref="A7:I7"/>
    <mergeCell ref="A2:I2"/>
    <mergeCell ref="A11:B11"/>
    <mergeCell ref="A12:B12"/>
    <mergeCell ref="A6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MovedtoFinal_x003f_ xmlns="ecf624fd-d71f-4fb0-b10a-ca34a99f6b63">true</MovedtoFinal_x003f_>
    <lcf76f155ced4ddcb4097134ff3c332f xmlns="ecf624fd-d71f-4fb0-b10a-ca34a99f6b63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72219E140EF439EA3A5E815526697" ma:contentTypeVersion="21" ma:contentTypeDescription="Create a new document." ma:contentTypeScope="" ma:versionID="5e05e8bf78dc781eef0d8e5e835dbd3c">
  <xsd:schema xmlns:xsd="http://www.w3.org/2001/XMLSchema" xmlns:xs="http://www.w3.org/2001/XMLSchema" xmlns:p="http://schemas.microsoft.com/office/2006/metadata/properties" xmlns:ns1="http://schemas.microsoft.com/sharepoint/v3" xmlns:ns2="ecf624fd-d71f-4fb0-b10a-ca34a99f6b63" xmlns:ns3="3ae1a219-f1fd-468f-b2c7-b4766e985bb7" xmlns:ns4="73fb875a-8af9-4255-b008-0995492d31cd" targetNamespace="http://schemas.microsoft.com/office/2006/metadata/properties" ma:root="true" ma:fieldsID="141b0dc27492a17ceafb592e20878a57" ns1:_="" ns2:_="" ns3:_="" ns4:_="">
    <xsd:import namespace="http://schemas.microsoft.com/sharepoint/v3"/>
    <xsd:import namespace="ecf624fd-d71f-4fb0-b10a-ca34a99f6b63"/>
    <xsd:import namespace="3ae1a219-f1fd-468f-b2c7-b4766e985bb7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ovedtoFinal_x003f_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624fd-d71f-4fb0-b10a-ca34a99f6b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ovedtoFinal_x003f_" ma:index="22" nillable="true" ma:displayName="Moved to Final?" ma:default="1" ma:description="Moved individually or bundled with others into the Final Folder." ma:format="Dropdown" ma:internalName="MovedtoFinal_x003f_">
      <xsd:simpleType>
        <xsd:restriction base="dms:Boolea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1a219-f1fd-468f-b2c7-b4766e985b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188b618-126b-41af-83b5-177d0922ab20}" ma:internalName="TaxCatchAll" ma:showField="CatchAllData" ma:web="3ae1a219-f1fd-468f-b2c7-b4766e985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1EC770-CF51-4BB4-BA8B-9DF4D1DE8F25}">
  <ds:schemaRefs>
    <ds:schemaRef ds:uri="3ae1a219-f1fd-468f-b2c7-b4766e985bb7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3fb875a-8af9-4255-b008-0995492d31cd"/>
    <ds:schemaRef ds:uri="ecf624fd-d71f-4fb0-b10a-ca34a99f6b6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54D3FA2-0310-481D-9FA9-E2E2D73E1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f624fd-d71f-4fb0-b10a-ca34a99f6b63"/>
    <ds:schemaRef ds:uri="3ae1a219-f1fd-468f-b2c7-b4766e985bb7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A69B4E-229D-4CAF-ACB0-5D8EF0EC519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FY26 Burden Table</vt:lpstr>
      <vt:lpstr>Comparison to FY23</vt:lpstr>
      <vt:lpstr>FY23 Burden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Ragan, Jennifer - FNS</dc:creator>
  <cp:keywords/>
  <dc:description/>
  <cp:lastModifiedBy>Stewart, Kelly - FNS</cp:lastModifiedBy>
  <cp:revision/>
  <dcterms:created xsi:type="dcterms:W3CDTF">2025-05-22T13:29:41Z</dcterms:created>
  <dcterms:modified xsi:type="dcterms:W3CDTF">2026-06-09T15:15:12Z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0x01010056172219E140EF439EA3A5E815526697</vt:lpwstr>
  </property>
  <property fmtid="{D5CDD505-2E9C-101B-9397-08002B2CF9AE}" pid="3" name="MediaServiceImageTags">
    <vt:lpwstr/>
  </property>
</Properties>
</file>