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codeName="ThisWorkbook"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Change Requuest For Proposed DGA Rule 6.10.26/From PO 6.17.26/"/>
    </mc:Choice>
  </mc:AlternateContent>
  <xr:revisionPtr revIDLastSave="7" documentId="8_{0997E5F8-6930-460F-AA23-440697C237F5}" xr6:coauthVersionLast="47" xr6:coauthVersionMax="47" xr10:uidLastSave="{BC7E837F-9A56-40B8-BA5E-389DF62B23F8}"/>
  <bookViews>
    <workbookView xWindow="-110" yWindow="-110" windowWidth="19420" windowHeight="10300" tabRatio="817" activeTab="4" xr2:uid="{00000000-000D-0000-FFFF-FFFF00000000}"/>
  </bookViews>
  <sheets>
    <sheet name="Reporting" sheetId="27" r:id="rId1"/>
    <sheet name="RecordKeeping" sheetId="8" r:id="rId2"/>
    <sheet name="PublicNotification" sheetId="31" r:id="rId3"/>
    <sheet name="Data" sheetId="33" r:id="rId4"/>
    <sheet name="60 day Summ" sheetId="28" r:id="rId5"/>
    <sheet name="Sheet1" sheetId="34" r:id="rId6"/>
  </sheets>
  <definedNames>
    <definedName name="_xlnm._FilterDatabase" localSheetId="2" hidden="1">PublicNotification!$A$3:$N$15</definedName>
    <definedName name="_xlnm._FilterDatabase" localSheetId="1" hidden="1">RecordKeeping!$A$4:$Q$49</definedName>
    <definedName name="_xlnm._FilterDatabase" localSheetId="0" hidden="1">Reporting!$A$4:$Q$36</definedName>
    <definedName name="Local_Educational_Agency___School_Food_Authority_Level">PublicNotification!#REF!</definedName>
    <definedName name="_xlnm.Print_Area" localSheetId="4">'60 day Summ'!$B$2:$C$9</definedName>
    <definedName name="_xlnm.Print_Area" localSheetId="2">PublicNotification!$A$1:$N$16</definedName>
    <definedName name="_xlnm.Print_Area" localSheetId="1">RecordKeeping!$A$2:$Q$50</definedName>
    <definedName name="_xlnm.Print_Area" localSheetId="0">Reporting!$A$2:$Q$39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8" l="1"/>
  <c r="I9" i="27"/>
  <c r="H22" i="27" l="1"/>
  <c r="E10" i="31" l="1"/>
  <c r="K34" i="8" l="1"/>
  <c r="K32" i="8"/>
  <c r="K24" i="8"/>
  <c r="I8" i="8"/>
  <c r="H8" i="8"/>
  <c r="H7" i="27"/>
  <c r="L9" i="31" l="1"/>
  <c r="L5" i="31"/>
  <c r="O27" i="27"/>
  <c r="N21" i="8" l="1"/>
  <c r="H36" i="8"/>
  <c r="J36" i="8" s="1"/>
  <c r="L36" i="8" s="1"/>
  <c r="O36" i="8" s="1"/>
  <c r="H35" i="8"/>
  <c r="H34" i="8"/>
  <c r="H33" i="8"/>
  <c r="H32" i="8"/>
  <c r="H31" i="8"/>
  <c r="H30" i="8"/>
  <c r="H29" i="8"/>
  <c r="H28" i="8"/>
  <c r="H27" i="8"/>
  <c r="H26" i="8"/>
  <c r="H24" i="8"/>
  <c r="H23" i="8"/>
  <c r="Q36" i="8" l="1"/>
  <c r="I18" i="8"/>
  <c r="J18" i="8" s="1"/>
  <c r="L18" i="8" s="1"/>
  <c r="H19" i="8"/>
  <c r="H18" i="8"/>
  <c r="H17" i="8"/>
  <c r="H16" i="8"/>
  <c r="H15" i="8"/>
  <c r="H14" i="8"/>
  <c r="H13" i="8"/>
  <c r="H12" i="8"/>
  <c r="H11" i="8"/>
  <c r="H10" i="8"/>
  <c r="H9" i="8"/>
  <c r="H7" i="8"/>
  <c r="H6" i="8"/>
  <c r="D15" i="33"/>
  <c r="D16" i="33"/>
  <c r="D14" i="33"/>
  <c r="Q18" i="8" l="1"/>
  <c r="O18" i="8"/>
  <c r="J6" i="8"/>
  <c r="L6" i="8" s="1"/>
  <c r="H21" i="8"/>
  <c r="H26" i="27"/>
  <c r="J26" i="27" s="1"/>
  <c r="L26" i="27" s="1"/>
  <c r="H25" i="27"/>
  <c r="J25" i="27" s="1"/>
  <c r="L25" i="27" s="1"/>
  <c r="H24" i="27"/>
  <c r="H23" i="27"/>
  <c r="D13" i="33"/>
  <c r="J8" i="8" s="1"/>
  <c r="I14" i="27"/>
  <c r="H14" i="27"/>
  <c r="H13" i="27"/>
  <c r="J13" i="27" s="1"/>
  <c r="L13" i="27" s="1"/>
  <c r="O13" i="27" s="1"/>
  <c r="Q6" i="8" l="1"/>
  <c r="O6" i="8"/>
  <c r="O26" i="27"/>
  <c r="L8" i="8"/>
  <c r="O8" i="8" s="1"/>
  <c r="D19" i="33"/>
  <c r="J14" i="27"/>
  <c r="L14" i="27" s="1"/>
  <c r="Q25" i="27"/>
  <c r="Q13" i="27"/>
  <c r="J7" i="27"/>
  <c r="L7" i="27" s="1"/>
  <c r="O14" i="27" l="1"/>
  <c r="M16" i="27"/>
  <c r="O25" i="27"/>
  <c r="Q26" i="27"/>
  <c r="Q8" i="8"/>
  <c r="Q14" i="27"/>
  <c r="O7" i="27"/>
  <c r="Q7" i="27"/>
  <c r="D18" i="33" l="1"/>
  <c r="I7" i="8" l="1"/>
  <c r="I44" i="8" l="1"/>
  <c r="I43" i="8"/>
  <c r="I24" i="8"/>
  <c r="I34" i="8"/>
  <c r="I27" i="8"/>
  <c r="E9" i="31" l="1"/>
  <c r="F5" i="31"/>
  <c r="E5" i="31"/>
  <c r="H45" i="8"/>
  <c r="H44" i="8"/>
  <c r="H43" i="8"/>
  <c r="H42" i="8"/>
  <c r="H41" i="8"/>
  <c r="J24" i="8"/>
  <c r="L24" i="8" s="1"/>
  <c r="O24" i="8" s="1"/>
  <c r="H25" i="8"/>
  <c r="J25" i="8" s="1"/>
  <c r="L25" i="8" s="1"/>
  <c r="O25" i="8" s="1"/>
  <c r="J35" i="8"/>
  <c r="L35" i="8" s="1"/>
  <c r="O35" i="8" s="1"/>
  <c r="J34" i="8"/>
  <c r="L34" i="8" s="1"/>
  <c r="O34" i="8" s="1"/>
  <c r="J33" i="8"/>
  <c r="L33" i="8" s="1"/>
  <c r="O33" i="8" s="1"/>
  <c r="J32" i="8"/>
  <c r="L32" i="8" s="1"/>
  <c r="O32" i="8" s="1"/>
  <c r="J31" i="8"/>
  <c r="L31" i="8" s="1"/>
  <c r="O31" i="8" s="1"/>
  <c r="J30" i="8"/>
  <c r="L30" i="8" s="1"/>
  <c r="O30" i="8" s="1"/>
  <c r="J29" i="8"/>
  <c r="L29" i="8" s="1"/>
  <c r="O29" i="8" s="1"/>
  <c r="J28" i="8"/>
  <c r="L28" i="8" s="1"/>
  <c r="O28" i="8" s="1"/>
  <c r="J27" i="8"/>
  <c r="L27" i="8" s="1"/>
  <c r="O27" i="8" s="1"/>
  <c r="J26" i="8"/>
  <c r="L26" i="8" s="1"/>
  <c r="O26" i="8" s="1"/>
  <c r="I16" i="8"/>
  <c r="I15" i="8"/>
  <c r="I13" i="8"/>
  <c r="I12" i="8"/>
  <c r="I9" i="8"/>
  <c r="I10" i="8" l="1"/>
  <c r="D33" i="33" l="1"/>
  <c r="F33" i="33" l="1"/>
  <c r="F31" i="33"/>
  <c r="F30" i="33"/>
  <c r="D26" i="33" l="1"/>
  <c r="H19" i="27"/>
  <c r="H21" i="27"/>
  <c r="H20" i="27"/>
  <c r="H18" i="27"/>
  <c r="H27" i="27" l="1"/>
  <c r="J19" i="8"/>
  <c r="H37" i="8"/>
  <c r="J37" i="8" s="1"/>
  <c r="L37" i="8" s="1"/>
  <c r="O37" i="8" s="1"/>
  <c r="L19" i="8" l="1"/>
  <c r="O19" i="8" s="1"/>
  <c r="I19" i="8"/>
  <c r="J15" i="27"/>
  <c r="L15" i="27" s="1"/>
  <c r="I25" i="33"/>
  <c r="D25" i="33" l="1"/>
  <c r="H15" i="27" l="1"/>
  <c r="I15" i="27" s="1"/>
  <c r="H8" i="27"/>
  <c r="H6" i="27"/>
  <c r="H11" i="27"/>
  <c r="H10" i="27"/>
  <c r="H16" i="27" l="1"/>
  <c r="Q15" i="27"/>
  <c r="O15" i="27"/>
  <c r="J12" i="27"/>
  <c r="L12" i="27" s="1"/>
  <c r="O12" i="27" s="1"/>
  <c r="Q12" i="27" l="1"/>
  <c r="Q34" i="8" l="1"/>
  <c r="Q35" i="8"/>
  <c r="Q25" i="8"/>
  <c r="Q24" i="8"/>
  <c r="Q37" i="8"/>
  <c r="Q19" i="8"/>
  <c r="Q27" i="27"/>
  <c r="N16" i="27"/>
  <c r="H35" i="27" l="1"/>
  <c r="M35" i="27" l="1"/>
  <c r="N35" i="27"/>
  <c r="P35" i="27"/>
  <c r="J35" i="27" l="1"/>
  <c r="L35" i="27" l="1"/>
  <c r="Q35" i="27"/>
  <c r="O35" i="27"/>
  <c r="J8" i="27" l="1"/>
  <c r="L8" i="27" s="1"/>
  <c r="O8" i="27" l="1"/>
  <c r="Q8" i="27"/>
  <c r="K7" i="31"/>
  <c r="K11" i="31"/>
  <c r="K14" i="31"/>
  <c r="K15" i="31" s="1"/>
  <c r="J7" i="8" l="1"/>
  <c r="L7" i="8" l="1"/>
  <c r="O7" i="8" s="1"/>
  <c r="J6" i="27"/>
  <c r="J11" i="27"/>
  <c r="L6" i="27" l="1"/>
  <c r="O6" i="27" s="1"/>
  <c r="Q7" i="8"/>
  <c r="G9" i="31"/>
  <c r="Q6" i="27" l="1"/>
  <c r="I9" i="31"/>
  <c r="N9" i="31" s="1"/>
  <c r="H48" i="8"/>
  <c r="L7" i="31"/>
  <c r="N14" i="31"/>
  <c r="M14" i="31"/>
  <c r="L14" i="31"/>
  <c r="J14" i="31"/>
  <c r="I14" i="31"/>
  <c r="G14" i="31"/>
  <c r="F14" i="31"/>
  <c r="E14" i="31"/>
  <c r="E11" i="31"/>
  <c r="G10" i="31"/>
  <c r="I10" i="31" s="1"/>
  <c r="J7" i="31"/>
  <c r="E7" i="31"/>
  <c r="G5" i="31"/>
  <c r="N10" i="31" l="1"/>
  <c r="L10" i="31"/>
  <c r="L11" i="31" s="1"/>
  <c r="L15" i="31" s="1"/>
  <c r="G11" i="31"/>
  <c r="H14" i="31"/>
  <c r="M11" i="31"/>
  <c r="G7" i="31"/>
  <c r="E15" i="31"/>
  <c r="I5" i="31"/>
  <c r="G15" i="31" l="1"/>
  <c r="I11" i="31"/>
  <c r="J11" i="31"/>
  <c r="J15" i="31" s="1"/>
  <c r="F11" i="31"/>
  <c r="F7" i="31"/>
  <c r="I7" i="31"/>
  <c r="N5" i="31"/>
  <c r="M7" i="31" s="1"/>
  <c r="M15" i="31" s="1"/>
  <c r="H11" i="31" l="1"/>
  <c r="N11" i="31"/>
  <c r="F15" i="31"/>
  <c r="I15" i="31"/>
  <c r="H7" i="31"/>
  <c r="N7" i="31"/>
  <c r="N15" i="31" l="1"/>
  <c r="H15" i="31"/>
  <c r="J9" i="8"/>
  <c r="L9" i="8" l="1"/>
  <c r="O9" i="8" s="1"/>
  <c r="H29" i="27"/>
  <c r="Q9" i="8" l="1"/>
  <c r="N48" i="8"/>
  <c r="J42" i="8"/>
  <c r="L42" i="8" s="1"/>
  <c r="N39" i="8"/>
  <c r="Q26" i="8"/>
  <c r="J38" i="8"/>
  <c r="L38" i="8" s="1"/>
  <c r="Q38" i="8" s="1"/>
  <c r="Q42" i="8" l="1"/>
  <c r="O42" i="8"/>
  <c r="J20" i="8"/>
  <c r="L20" i="8" s="1"/>
  <c r="Q20" i="8" s="1"/>
  <c r="N32" i="27"/>
  <c r="M32" i="27"/>
  <c r="J24" i="27"/>
  <c r="J23" i="27"/>
  <c r="L23" i="27" s="1"/>
  <c r="J22" i="27"/>
  <c r="L22" i="27" s="1"/>
  <c r="J21" i="27"/>
  <c r="J20" i="27"/>
  <c r="L20" i="27" s="1"/>
  <c r="J19" i="27"/>
  <c r="L19" i="27" s="1"/>
  <c r="J18" i="27"/>
  <c r="L18" i="27" s="1"/>
  <c r="J46" i="8"/>
  <c r="L46" i="8" s="1"/>
  <c r="J47" i="8"/>
  <c r="L47" i="8" s="1"/>
  <c r="H32" i="27"/>
  <c r="H36" i="27" s="1"/>
  <c r="J31" i="27"/>
  <c r="J10" i="27"/>
  <c r="L10" i="27" s="1"/>
  <c r="Q31" i="8"/>
  <c r="Q30" i="8"/>
  <c r="Q29" i="8"/>
  <c r="J16" i="8"/>
  <c r="L16" i="8" s="1"/>
  <c r="M16" i="8" l="1"/>
  <c r="M21" i="8" s="1"/>
  <c r="Q23" i="27"/>
  <c r="O23" i="27"/>
  <c r="Q20" i="27"/>
  <c r="O20" i="27"/>
  <c r="Q19" i="27"/>
  <c r="O19" i="27"/>
  <c r="Q22" i="27"/>
  <c r="L31" i="27"/>
  <c r="Q10" i="27"/>
  <c r="O10" i="27"/>
  <c r="M18" i="27"/>
  <c r="Q18" i="27" s="1"/>
  <c r="L21" i="27"/>
  <c r="L24" i="27"/>
  <c r="Q33" i="8"/>
  <c r="Q28" i="8"/>
  <c r="Q32" i="8"/>
  <c r="Q27" i="8"/>
  <c r="J29" i="27"/>
  <c r="J44" i="8"/>
  <c r="L44" i="8" s="1"/>
  <c r="J43" i="8"/>
  <c r="L43" i="8" s="1"/>
  <c r="Q47" i="8"/>
  <c r="J23" i="8"/>
  <c r="J15" i="8"/>
  <c r="L15" i="8" s="1"/>
  <c r="J13" i="8"/>
  <c r="L13" i="8" s="1"/>
  <c r="J12" i="8"/>
  <c r="J11" i="8"/>
  <c r="J10" i="8"/>
  <c r="J14" i="8"/>
  <c r="L14" i="8" s="1"/>
  <c r="J45" i="8"/>
  <c r="L45" i="8" s="1"/>
  <c r="L11" i="27"/>
  <c r="J9" i="27"/>
  <c r="J16" i="27" s="1"/>
  <c r="O16" i="8" l="1"/>
  <c r="Q13" i="8"/>
  <c r="O13" i="8"/>
  <c r="Q15" i="8"/>
  <c r="O15" i="8"/>
  <c r="Q14" i="8"/>
  <c r="O14" i="8"/>
  <c r="O22" i="27"/>
  <c r="O18" i="27"/>
  <c r="Q31" i="27"/>
  <c r="O31" i="27"/>
  <c r="O32" i="27" s="1"/>
  <c r="L23" i="8"/>
  <c r="M23" i="8" s="1"/>
  <c r="M39" i="8" s="1"/>
  <c r="J39" i="8"/>
  <c r="Q43" i="8"/>
  <c r="O43" i="8"/>
  <c r="Q45" i="8"/>
  <c r="O45" i="8"/>
  <c r="Q44" i="8"/>
  <c r="O44" i="8"/>
  <c r="O11" i="27"/>
  <c r="Q11" i="27"/>
  <c r="M24" i="27"/>
  <c r="Q24" i="27" s="1"/>
  <c r="M21" i="27"/>
  <c r="Q21" i="27" s="1"/>
  <c r="L9" i="27"/>
  <c r="L16" i="27" s="1"/>
  <c r="L29" i="27"/>
  <c r="P29" i="27"/>
  <c r="Q16" i="8"/>
  <c r="L11" i="8"/>
  <c r="O11" i="8" s="1"/>
  <c r="L12" i="8"/>
  <c r="O12" i="8" s="1"/>
  <c r="L10" i="8"/>
  <c r="O10" i="8" s="1"/>
  <c r="J32" i="27"/>
  <c r="J36" i="27" s="1"/>
  <c r="J17" i="8"/>
  <c r="J21" i="8" s="1"/>
  <c r="L39" i="8" l="1"/>
  <c r="O23" i="8"/>
  <c r="O39" i="8" s="1"/>
  <c r="O24" i="27"/>
  <c r="O21" i="27"/>
  <c r="O9" i="27"/>
  <c r="O16" i="27" s="1"/>
  <c r="Q9" i="27"/>
  <c r="Q16" i="27" s="1"/>
  <c r="L17" i="8"/>
  <c r="Q11" i="8"/>
  <c r="Q12" i="8"/>
  <c r="Q10" i="8"/>
  <c r="L32" i="27"/>
  <c r="M29" i="27"/>
  <c r="M36" i="27" s="1"/>
  <c r="L21" i="8" l="1"/>
  <c r="O17" i="8"/>
  <c r="O21" i="8" s="1"/>
  <c r="L36" i="27"/>
  <c r="P16" i="27"/>
  <c r="Q17" i="8"/>
  <c r="Q21" i="8" s="1"/>
  <c r="P32" i="27"/>
  <c r="Q32" i="27"/>
  <c r="K21" i="8"/>
  <c r="H39" i="8"/>
  <c r="H49" i="8" s="1"/>
  <c r="P36" i="27" l="1"/>
  <c r="P21" i="8"/>
  <c r="I21" i="8" l="1"/>
  <c r="Q29" i="27"/>
  <c r="Q36" i="27" l="1"/>
  <c r="H39" i="27"/>
  <c r="Q23" i="8"/>
  <c r="Q39" i="8" s="1"/>
  <c r="P39" i="8" l="1"/>
  <c r="C3" i="28"/>
  <c r="K29" i="27"/>
  <c r="I39" i="8"/>
  <c r="I29" i="27"/>
  <c r="K39" i="8"/>
  <c r="D39" i="27"/>
  <c r="Q38" i="27"/>
  <c r="P38" i="27"/>
  <c r="O38" i="27"/>
  <c r="N38" i="27"/>
  <c r="M38" i="27"/>
  <c r="L38" i="27"/>
  <c r="K38" i="27"/>
  <c r="J38" i="27"/>
  <c r="I38" i="27"/>
  <c r="H38" i="27"/>
  <c r="D38" i="27"/>
  <c r="O29" i="27"/>
  <c r="O36" i="27" s="1"/>
  <c r="N29" i="27"/>
  <c r="N36" i="27" s="1"/>
  <c r="J41" i="8"/>
  <c r="J48" i="8" l="1"/>
  <c r="I48" i="8" s="1"/>
  <c r="L41" i="8"/>
  <c r="I16" i="27"/>
  <c r="K16" i="27"/>
  <c r="J39" i="27"/>
  <c r="N39" i="27"/>
  <c r="O39" i="27"/>
  <c r="P39" i="27"/>
  <c r="M39" i="27"/>
  <c r="N49" i="8"/>
  <c r="C11" i="28" s="1"/>
  <c r="M41" i="8" l="1"/>
  <c r="M48" i="8" s="1"/>
  <c r="M49" i="8" s="1"/>
  <c r="C8" i="28" s="1"/>
  <c r="L48" i="8"/>
  <c r="I39" i="27"/>
  <c r="L39" i="27"/>
  <c r="K39" i="27" s="1"/>
  <c r="J49" i="8"/>
  <c r="Q41" i="8" l="1"/>
  <c r="Q48" i="8" s="1"/>
  <c r="Q49" i="8" s="1"/>
  <c r="O41" i="8"/>
  <c r="O48" i="8" s="1"/>
  <c r="O49" i="8" s="1"/>
  <c r="I49" i="8"/>
  <c r="L49" i="8"/>
  <c r="K48" i="8"/>
  <c r="Q39" i="27"/>
  <c r="P48" i="8" l="1"/>
  <c r="P49" i="8" s="1"/>
  <c r="C10" i="28" s="1"/>
  <c r="C9" i="28"/>
  <c r="C7" i="28"/>
  <c r="K49" i="8"/>
  <c r="K32" i="27" l="1"/>
  <c r="I32" i="27"/>
  <c r="C4" i="28" l="1"/>
  <c r="I36" i="27"/>
  <c r="K36" i="27"/>
  <c r="C6"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sweeks</author>
    <author>Gaddie, Wesley - FNS</author>
  </authors>
  <commentList>
    <comment ref="I11" authorId="0" shapeId="0" xr:uid="{00000000-0006-0000-0100-000003000000}">
      <text>
        <r>
          <rPr>
            <b/>
            <sz val="9"/>
            <color indexed="81"/>
            <rFont val="Tahoma"/>
            <family val="2"/>
          </rPr>
          <t>reported annually on the FNS-13</t>
        </r>
      </text>
    </comment>
    <comment ref="K27" authorId="0" shapeId="0" xr:uid="{00000000-0006-0000-0100-000008000000}">
      <text>
        <r>
          <rPr>
            <b/>
            <sz val="9"/>
            <color indexed="81"/>
            <rFont val="Tahoma"/>
            <family val="2"/>
          </rPr>
          <t xml:space="preserve">Often automated with little manual review </t>
        </r>
      </text>
    </comment>
    <comment ref="H41" authorId="1" shapeId="0" xr:uid="{00000000-0006-0000-0100-000009000000}">
      <text>
        <r>
          <rPr>
            <b/>
            <sz val="9"/>
            <color indexed="81"/>
            <rFont val="Tahoma"/>
            <family val="2"/>
          </rPr>
          <t>Estimate 30% of schools might have this occur.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Gaddie, Wesley - FNS</author>
  </authors>
  <commentList>
    <comment ref="E10" authorId="0" shapeId="0" xr:uid="{00000000-0006-0000-0200-000003000000}">
      <text>
        <r>
          <rPr>
            <b/>
            <sz val="9"/>
            <color indexed="81"/>
            <rFont val="Tahoma"/>
            <family val="2"/>
          </rPr>
          <t>Gaddie, Wesley - FNS:</t>
        </r>
        <r>
          <rPr>
            <sz val="9"/>
            <color indexed="81"/>
            <rFont val="Tahoma"/>
            <family val="2"/>
          </rPr>
          <t xml:space="preserve">
</t>
        </r>
        <r>
          <rPr>
            <sz val="16"/>
            <color indexed="81"/>
            <rFont val="Tahoma"/>
            <family val="2"/>
          </rPr>
          <t>#of SFAs/3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tc={FCA7DC4A-99B9-49D6-9351-DF5AF536CC1A}</author>
  </authors>
  <commentList>
    <comment ref="E2" authorId="0" shapeId="0" xr:uid="{FCA7DC4A-99B9-49D6-9351-DF5AF536CC1A}">
      <text>
        <t xml:space="preserve">[Threaded comment]
Your version of Excel allows you to read this threaded comment; however, any edits to it will get removed if the file is opened in a newer version of Excel. Learn more: https://go.microsoft.com/fwlink/?linkid=870924
Comment:
    Note: This assumptions tab is copied from the SFSP Non-Congregate Burden table
</t>
      </text>
    </comment>
  </commentList>
</comments>
</file>

<file path=xl/sharedStrings.xml><?xml version="1.0" encoding="utf-8"?>
<sst xmlns="http://schemas.openxmlformats.org/spreadsheetml/2006/main" count="467" uniqueCount="254">
  <si>
    <t xml:space="preserve">Reporting </t>
  </si>
  <si>
    <t>A</t>
  </si>
  <si>
    <t>B</t>
  </si>
  <si>
    <t>C = (A*B)</t>
  </si>
  <si>
    <t>D</t>
  </si>
  <si>
    <t>E= (C*D)</t>
  </si>
  <si>
    <t>F</t>
  </si>
  <si>
    <t>G =E-F</t>
  </si>
  <si>
    <t>Justification</t>
  </si>
  <si>
    <t>Program Rule</t>
  </si>
  <si>
    <t>CFR Citation</t>
  </si>
  <si>
    <t>Title</t>
  </si>
  <si>
    <t>Form Number</t>
  </si>
  <si>
    <t>Estimated # Respondents</t>
  </si>
  <si>
    <t>Responses per Respondents</t>
  </si>
  <si>
    <t>Total Annual Records</t>
  </si>
  <si>
    <t>Estimated Avg. # of Hours Per Response</t>
  </si>
  <si>
    <t xml:space="preserve">Estimated Total Hours            </t>
  </si>
  <si>
    <t>Current OMB Approved Burden Hrs</t>
  </si>
  <si>
    <t>Existing Requirements in Use without OMB approval</t>
  </si>
  <si>
    <t>Due to an Adjustment</t>
  </si>
  <si>
    <t>Total Difference</t>
  </si>
  <si>
    <t>State Agency Level</t>
  </si>
  <si>
    <t>210.18(i)(3)</t>
  </si>
  <si>
    <t>SA notifies SFAs in writing of review findings, corrective actions, deadlines, and potential fiscal action with grounds and right to appeal.</t>
  </si>
  <si>
    <t>210.19(f)</t>
  </si>
  <si>
    <t>SA provides the CACFP SA with a list of all NSLP schools with at least 50% or more children eligible for free or reduced-price meals by February 1 each year.</t>
  </si>
  <si>
    <t>210.20(a)(7)</t>
  </si>
  <si>
    <t>SA reports to FNS schools' compliance with the food safety inspections requirements.</t>
  </si>
  <si>
    <t>210.5(d)(2)(ii)</t>
  </si>
  <si>
    <t>210.18 (c-h)</t>
  </si>
  <si>
    <t xml:space="preserve">SA completes documentation used to conduct Administrative Review. </t>
  </si>
  <si>
    <t>210.20(a)(2)&amp;(3)&amp;(4)&amp;(8)&amp;(9) &amp; 210.5(d)(1)&amp;(2) &amp; 210.14(e)(7) &amp; 210.17(g), 210.20(a)(5) &amp; 210.18(n) &amp; (o)(2)</t>
  </si>
  <si>
    <t>SA reporting burden for electronic reports accounted  for in the Food Program Reporting System (FPRS) ICR #0584-0594.</t>
  </si>
  <si>
    <t>FNS-10, FNS-13, FNS-777, FNS-640, FNS-828</t>
  </si>
  <si>
    <t>210.30(b)(1)(iv)</t>
  </si>
  <si>
    <t>State agency reviews and approves/denies each request to hire a school nutrition program director in a medium or large LEA who does not meet professional standards educational criteria</t>
  </si>
  <si>
    <t>*</t>
  </si>
  <si>
    <t>State Agency Level Total</t>
  </si>
  <si>
    <t>School Food Authority/Local Education Agency Level</t>
  </si>
  <si>
    <t>210.9(b)(21)</t>
  </si>
  <si>
    <t>SFA provides SA with list of all schools with at least 50% free or reduced-price enrolled children and the attendance boundaries for those schools upon request of a CACFP sponsor of homes.</t>
  </si>
  <si>
    <t>210.9(c)(7)</t>
  </si>
  <si>
    <t>SFAs review NSLP afterschool care programs</t>
  </si>
  <si>
    <t>210.15(a)(1) &amp; 210.8(b)&amp;(c)</t>
  </si>
  <si>
    <t>SFA submits to the SA monthly claims for reimbursement and eligibility data for enrolled children for October.</t>
  </si>
  <si>
    <t>210.15(a)(2)&amp;(4) &amp; 210.9(a&amp;b) &amp; 210.7(d)(2)</t>
  </si>
  <si>
    <t>SFA submits to the SA an application, agreement, Free and Reduced Price Policy Statement, commodity preference, and annual certifications.</t>
  </si>
  <si>
    <t>210.15(a)(3) &amp; 210.18(j)(2)</t>
  </si>
  <si>
    <t>SFA submits to the SA a written response to reviews documenting corrective action for Program deficiencies.</t>
  </si>
  <si>
    <t>210.15(a)(7)</t>
  </si>
  <si>
    <t>SFA reports to the SA the number of food safety inspections obtained by each school.</t>
  </si>
  <si>
    <t>210.15(a)(8) &amp; 210.14(e)(7)</t>
  </si>
  <si>
    <t>School food authorities shall report prices of paid lunches for each school to the State agency.</t>
  </si>
  <si>
    <t>SFAs develop and submit request to hire a school nutrition program director in medium or large LEA who does not meet professional standards educational criteria</t>
  </si>
  <si>
    <t>School Food Authority Level Total</t>
  </si>
  <si>
    <t>School Level</t>
  </si>
  <si>
    <t>210.13(b)</t>
  </si>
  <si>
    <t>Schools shall post the most recent food safety inspection and provide a copy upon request.</t>
  </si>
  <si>
    <t xml:space="preserve">School Level Total </t>
  </si>
  <si>
    <t>Household Level</t>
  </si>
  <si>
    <t>Household Total</t>
  </si>
  <si>
    <t xml:space="preserve"> Total Reporting Burden</t>
  </si>
  <si>
    <t>Legend</t>
  </si>
  <si>
    <t>Enter Data</t>
  </si>
  <si>
    <t>Calculation; Do not enter data</t>
  </si>
  <si>
    <t>Item</t>
  </si>
  <si>
    <t>Estimate in Previously Approved ICR</t>
  </si>
  <si>
    <t>Updated Estimate</t>
  </si>
  <si>
    <t>Difference in Estimate</t>
  </si>
  <si>
    <t>Notes</t>
  </si>
  <si>
    <t>Number</t>
  </si>
  <si>
    <t>Data Source</t>
  </si>
  <si>
    <t>Business Level</t>
  </si>
  <si>
    <t>n/a</t>
  </si>
  <si>
    <t>Figure used in ICR for Summer IFR</t>
  </si>
  <si>
    <t>Consultation with FNSROs.</t>
  </si>
  <si>
    <t xml:space="preserve">Percent of rural non-congregate sites utilizing the home delivery alternative service </t>
  </si>
  <si>
    <t>Noncongregate sponsors July 2024 from unpublished FNS (EAR) survey: INCLUDES SSO</t>
  </si>
  <si>
    <r>
      <t xml:space="preserve">Table 1:
</t>
    </r>
    <r>
      <rPr>
        <b/>
        <sz val="11"/>
        <color rgb="FF000000"/>
        <rFont val="Calibri"/>
        <family val="2"/>
      </rPr>
      <t>1,446 non-congregate sponsors (incl SSO)</t>
    </r>
    <r>
      <rPr>
        <sz val="11"/>
        <color theme="1"/>
        <rFont val="Calibri"/>
        <family val="2"/>
        <scheme val="minor"/>
      </rPr>
      <t xml:space="preserve">
1,144 SFSP (non-SSO) sponsors
836 SFSP SFA sponsors
73.1% of SFSP sponsors are SFAs
26.9% of SFSP sponsors are non-SFAs</t>
    </r>
  </si>
  <si>
    <t>Table 1 July 2024 EAR survey</t>
  </si>
  <si>
    <t xml:space="preserve">Number of households that participate in the Program at a Non-Profit Private Sponsor site </t>
  </si>
  <si>
    <t>National Database, "Ln 33 Col F - Avg. Daily Atten of Spons Reptd Line 30,Total" for FY2018, data field. Data current as of July 13, 2023.</t>
  </si>
  <si>
    <t>Number of rural households that would participate at a rural non-congregate site.</t>
  </si>
  <si>
    <t>ADA residential camps</t>
  </si>
  <si>
    <t>ADA residential camps, FNS-418, NDB</t>
  </si>
  <si>
    <t>2018 NDB figure used in ICR for Summer IFR. (Updated in July 2025 with 2018 NDB data, this would be 59,008. Make adjustment on renewal of SFSP ICR.)</t>
  </si>
  <si>
    <t xml:space="preserve">Number of rural households that would have to file a form of written consent for participation </t>
  </si>
  <si>
    <t>Recordkeeping</t>
  </si>
  <si>
    <t>Estimated # Record-keepers</t>
  </si>
  <si>
    <t>Records Per Recordkeeper</t>
  </si>
  <si>
    <t>Estimated Avg. # of Hours Per Record</t>
  </si>
  <si>
    <t>Due to Program Change - Rule</t>
  </si>
  <si>
    <t>210.18(h)(2)(iv)</t>
  </si>
  <si>
    <t>SA maintains documentation of LEA/SFA compliance with nutrition standards for competitive foods.</t>
  </si>
  <si>
    <t>210.20(b)(1&amp;2) &amp; 210.23(c) &amp; 210.5</t>
  </si>
  <si>
    <t>SA maintains accounting records and source documents to control the receipt, custody and disbursement of Federal NSLP funds and documentation supporting all SFA claims paid by the SA.</t>
  </si>
  <si>
    <t>FNS-10</t>
  </si>
  <si>
    <t>210.20(b)(3) &amp; 210.17(g)&amp;(h)</t>
  </si>
  <si>
    <t>SA maintains documentation to support the amount of State funds reported  for State revenue matching requirements.</t>
  </si>
  <si>
    <t>FNS-13</t>
  </si>
  <si>
    <t xml:space="preserve">210.20(b)(6) &amp; 210.18(f)(k,l,m,(o) &amp; 210.23(c) </t>
  </si>
  <si>
    <t>SA maintains records of all reviews (including Program violations, corrective action, fiscal action and withholding of payments).</t>
  </si>
  <si>
    <t>FNS-640</t>
  </si>
  <si>
    <t>210.20(b)(7) &amp; 210.19(c) &amp; 210.18(o)</t>
  </si>
  <si>
    <t>SA maintains documentation of fiscal action taken to disallow improper claims submitted by SFAs, as determined through claims processing, reviews, and USDA audits.</t>
  </si>
  <si>
    <t xml:space="preserve">SA completes and maintains documentation used to conduct Administrative Review. </t>
  </si>
  <si>
    <t>210.20(b)(10) &amp; 210.19(b)</t>
  </si>
  <si>
    <t>SA shall prepare records on schools eligible to received USDA donated foods  and maintain records on the annual food preference survey.</t>
  </si>
  <si>
    <t>210.20(b)(11)</t>
  </si>
  <si>
    <t>SA maintains records from SFAs of food safety inspections obtained by schools.</t>
  </si>
  <si>
    <t>SA maintains records of paid reimbursable lunch prices obtained from SFAs.</t>
  </si>
  <si>
    <t>FNS-828</t>
  </si>
  <si>
    <t>210.20(b)(14)</t>
  </si>
  <si>
    <t>SA maintains documentation of compliance with professional standards for State directors of School Nutrition Programs.</t>
  </si>
  <si>
    <t>SA maintains SFAs' requests to hire individuals in medium or large LEAs who do not meet professional standards educational criteria</t>
  </si>
  <si>
    <t>210.9(b)(19)</t>
  </si>
  <si>
    <t>SFA maintains files of children directly certified.</t>
  </si>
  <si>
    <t>210.11(b)(2)</t>
  </si>
  <si>
    <t>LEAs &amp; SFAs maintain documentation of compliance with nutrition standards for all competitive food for sale to students.</t>
  </si>
  <si>
    <t>210.15(b)(1) &amp; 210.8(a)(5)</t>
  </si>
  <si>
    <t>SFA maintains documentation of participation data by school to support monthly Claim for Reimbursement and data used in the claims review process.</t>
  </si>
  <si>
    <t>210.15(b)(2) &amp; 210.7(d)(2)</t>
  </si>
  <si>
    <t>SFAs maintain documentation to support performance based reimbursement and the attestation of compliance.</t>
  </si>
  <si>
    <t>210.15(b)(4) &amp; 210.9(b)(18 &amp; 20)</t>
  </si>
  <si>
    <t>SFA maintains files of school meal applications.</t>
  </si>
  <si>
    <t>210.15(b)(6) &amp; 210.14(e)</t>
  </si>
  <si>
    <t>SFA maintains calculations of average paid lunch prices and adjustments.</t>
  </si>
  <si>
    <t>210.15(b)(7) &amp; 210.14(f)</t>
  </si>
  <si>
    <t>SFA documents revenue from sale of nonprogram foods accrues to the nonprofit school food service account and is compliant with requirements.</t>
  </si>
  <si>
    <t>SFA maintains documentation of compliance with professional standards for school nutrition directors, managers and personnel.</t>
  </si>
  <si>
    <t>210.15(b)(9) and 210.31(f)</t>
  </si>
  <si>
    <t>SFA/LEA must retain records to document compliance with the local school wellness policy requirements in 210.30(f).</t>
  </si>
  <si>
    <t>SFA maintains documentation of requests to hire individuals in medium or large LEAs who do not meet professional standards educational criteria</t>
  </si>
  <si>
    <t>210.21(d)(5)</t>
  </si>
  <si>
    <t>SFA maintains documentation demonstrating that their non-domestic food purchases do not exceed the specified annual threshold.</t>
  </si>
  <si>
    <t>210.21(d)(3)</t>
  </si>
  <si>
    <t>SFAs include language requiring Buy American in all procurement procedures, solicitations, and contracts and maintain such documentation.</t>
  </si>
  <si>
    <t>210.10(c)(3)</t>
  </si>
  <si>
    <t>SFAs maintain records to demonstrate that schools are tribally operated, are operated by the Bureau of Indian Education, or serve primarily American Indian or Alaska Native students.</t>
  </si>
  <si>
    <t xml:space="preserve">210.10(a)(3) </t>
  </si>
  <si>
    <t>SFAs develop menu records (beyond regular menu maintenance) that meet updated and new FNS specifications from the rule (which also includes following all previous rule menu specifications).</t>
  </si>
  <si>
    <t xml:space="preserve">School Level </t>
  </si>
  <si>
    <t>210.10(m)</t>
  </si>
  <si>
    <t>School maintains written statements signed by a licensed physician of the need for substitutions and recommending alternate foods.</t>
  </si>
  <si>
    <t>Organizations responsible for food service in schools maintain records.</t>
  </si>
  <si>
    <t>210.15(b)(1)</t>
  </si>
  <si>
    <t>School maintains documentation of participation data by school to support the Claim for Reimbursement.</t>
  </si>
  <si>
    <t>210.15(b)(2)(3) &amp; 210.10(a)(3)</t>
  </si>
  <si>
    <t>Schools maintain production and menu records.</t>
  </si>
  <si>
    <t>210.15(b)(5) &amp; 210.13(b&amp;c)</t>
  </si>
  <si>
    <t>School maintains food safety records and records from most recent food safety inspection.</t>
  </si>
  <si>
    <t>School Level Total</t>
  </si>
  <si>
    <t xml:space="preserve"> Total Recordkeeping Burden</t>
  </si>
  <si>
    <t>Public Notification</t>
  </si>
  <si>
    <t>210.18(m)(1)</t>
  </si>
  <si>
    <t>SA must post a summary of the most recent administrative review results of SFAs on the SA website and make a copy available upon request.</t>
  </si>
  <si>
    <t xml:space="preserve">210.31(d)(2) </t>
  </si>
  <si>
    <t>LEA must inform the public annually about the content and implementation of the local school wellness policy and any updates.</t>
  </si>
  <si>
    <t>210.31(d)(3), e(2), e(3)</t>
  </si>
  <si>
    <t>LEA must conduct triennial assessments of schools' compliance with the local school wellness policy and inform public about progress.</t>
  </si>
  <si>
    <t>Local Educational Agency / School Food Authority Level Total</t>
  </si>
  <si>
    <t xml:space="preserve"> Total Public Notirifcation Burden</t>
  </si>
  <si>
    <t xml:space="preserve">SUMMARY OF BURDEN RECORDKEEPING &amp; REPORTING </t>
  </si>
  <si>
    <t>TOTAL NO. RESPONDENTS</t>
  </si>
  <si>
    <t>AVERAGE NO. RESPONSES PER RESPONDENT</t>
  </si>
  <si>
    <t>TOTAL ANNUAL RESPONSES</t>
  </si>
  <si>
    <t>AVERAGE HOURS PER RESPONSE</t>
  </si>
  <si>
    <t>TOTAL BURDEN HOURS</t>
  </si>
  <si>
    <t xml:space="preserve">CURRENT OMB INVENTORY </t>
  </si>
  <si>
    <t>DIFFERENCE (NEW BURDEN REQUESTED)</t>
  </si>
  <si>
    <t>DIFFERENCE DUE TO ADJUSTMENT</t>
  </si>
  <si>
    <t>DIFFERENCE DUE TO EXISITING REQUIREMENTS IN USE WITHOUT OMB APPROVAL</t>
  </si>
  <si>
    <t>Previously Approved ICR</t>
  </si>
  <si>
    <t>Review of Regulations</t>
  </si>
  <si>
    <t>NSLP</t>
  </si>
  <si>
    <t>NSLP State Agencies</t>
  </si>
  <si>
    <t>State agency reviews and approves/denies each request to hire a school nutrition program director in a medium or large LEA who does not meet professional standards educational criterion</t>
  </si>
  <si>
    <t>Number of SFAs</t>
  </si>
  <si>
    <t>Percent of SFAs subject to an Administrative Review each year</t>
  </si>
  <si>
    <t>Noncongregate SSO sponsors, July 2024 from unpublished FNS (EAR) survey: 1,446 - 1,144.</t>
  </si>
  <si>
    <r>
      <rPr>
        <b/>
        <sz val="11"/>
        <color theme="1"/>
        <rFont val="Calibri"/>
        <family val="2"/>
      </rPr>
      <t>On next NSLP baseline renewal:</t>
    </r>
    <r>
      <rPr>
        <sz val="11"/>
        <color theme="1"/>
        <rFont val="Calibri"/>
        <family val="2"/>
      </rPr>
      <t xml:space="preserve"> Update with current AR review cycle (once every x years or x%)</t>
    </r>
  </si>
  <si>
    <t>Number hardcoded into burden table in most recent NSLP baseline ICR. Annual, informal CN survey of states? FNS-742? FY 202#</t>
  </si>
  <si>
    <t>Number hardcoded into burden table in most recent NSLP baseline ICR. Old Administrative Review cycle, FY 202#</t>
  </si>
  <si>
    <t>Number hardcoded into burden table in most recent NSLP baseline ICR.</t>
  </si>
  <si>
    <t>Number hardcoded into burden table in most recent NSLP baseline ICR. This should equal the number of SFAs that have responsibility for one or more area-eligible or non-area-eligible afterschool snack programs.</t>
  </si>
  <si>
    <r>
      <rPr>
        <b/>
        <sz val="11"/>
        <color theme="1"/>
        <rFont val="Calibri"/>
        <family val="2"/>
      </rPr>
      <t xml:space="preserve">On next NSLP baseline renewal: </t>
    </r>
    <r>
      <rPr>
        <sz val="11"/>
        <color theme="1"/>
        <rFont val="Calibri"/>
        <family val="2"/>
      </rPr>
      <t xml:space="preserve">get the number or percent of SFAs with at least one school that operates an afterschool snack program (source TBD). </t>
    </r>
  </si>
  <si>
    <r>
      <rPr>
        <b/>
        <sz val="11"/>
        <color theme="1"/>
        <rFont val="Calibri"/>
        <family val="2"/>
      </rPr>
      <t>On next NSLP baseline renewal:</t>
    </r>
    <r>
      <rPr>
        <sz val="11"/>
        <color theme="1"/>
        <rFont val="Calibri"/>
        <family val="2"/>
      </rPr>
      <t xml:space="preserve"> This should equal:
[2 x (the number of schools and RCCIs with an NSLP afterschool snack program from FNS-10, NDB)] </t>
    </r>
    <r>
      <rPr>
        <sz val="11"/>
        <color theme="1"/>
        <rFont val="Aptos Narrow"/>
        <family val="2"/>
      </rPr>
      <t>÷</t>
    </r>
    <r>
      <rPr>
        <sz val="8.8000000000000007"/>
        <color theme="1"/>
        <rFont val="Calibri"/>
        <family val="2"/>
      </rPr>
      <t xml:space="preserve"> (</t>
    </r>
    <r>
      <rPr>
        <sz val="11"/>
        <color theme="1"/>
        <rFont val="Calibri"/>
        <family val="2"/>
      </rPr>
      <t>the number of SFAs responsible for at least one afterschool snack program).</t>
    </r>
  </si>
  <si>
    <t>Total national number of afterschool care reviews per year (the "total number of responses")</t>
  </si>
  <si>
    <t>Number of SFAs that are responsible for one or more afterschool care programs (the "estimated number of respondents")</t>
  </si>
  <si>
    <t>Number of NSLP afterschool snack program reviews per SFA per year (the "responses per respndent")</t>
  </si>
  <si>
    <t>Hard-coded 2 in the most recent NSLP baseline renewal refers to the 2-times-per year review requirement for each NSLP afterschool snack program. It really should equal the average number of reviews per sponsor that is responsible for at least one afterschool snack program.</t>
  </si>
  <si>
    <t>Number of NSLP-participating public and private schools</t>
  </si>
  <si>
    <t>Number hardcoded into burden table in most recent NSLP baseline ICR. NDB FY 202#</t>
  </si>
  <si>
    <r>
      <rPr>
        <b/>
        <sz val="11"/>
        <color theme="1"/>
        <rFont val="Calibri"/>
        <family val="2"/>
      </rPr>
      <t xml:space="preserve">On next NSLP baseline renewal: </t>
    </r>
    <r>
      <rPr>
        <sz val="11"/>
        <color theme="1"/>
        <rFont val="Calibri"/>
        <family val="2"/>
      </rPr>
      <t>This should equal the number of schools and RCCIs that participate in the NSLP afterschool snack program times 2 (because they must be reviewed twice per year):
2 x (FNS-10, Part B - Oct. only, line 12aG + 13aG + 14aG)
For FY 2025 this would have been 2 x 18,293 = 36,586  (see NBD tab.)</t>
    </r>
  </si>
  <si>
    <t>Number of SFAs subject to an Administrative Review each year</t>
  </si>
  <si>
    <r>
      <rPr>
        <b/>
        <sz val="11"/>
        <color theme="1"/>
        <rFont val="Calibri"/>
        <family val="2"/>
      </rPr>
      <t xml:space="preserve">On next NSLP baseline renewal: </t>
    </r>
    <r>
      <rPr>
        <sz val="11"/>
        <color theme="1"/>
        <rFont val="Calibri"/>
        <family val="2"/>
      </rPr>
      <t>Replace this with a calculation using an updated SFA count, updated Administrative Review schedule (ex: one review every x years), and a current number of NSLP state agencies.</t>
    </r>
  </si>
  <si>
    <t>Number of SFA candidates in medium and large SFAs who do not meet regulatory professional standards requirements and whose qualifications must be reviewed by the state.</t>
  </si>
  <si>
    <t>Update with SFSP renewal. Use 2024 or 2025 data (depending on what's most current when the SFSP baseline ICR is renewed).</t>
  </si>
  <si>
    <t>Figure used in 11-13-25 ICR for Summer IFR</t>
  </si>
  <si>
    <t>Calc: [Number of rural households that would participate at asite] * [Percent of rural non-congregate sites utilizing the home delivery service option].</t>
  </si>
  <si>
    <t>210.20(b)(12) &amp; 210.14(e)(7)</t>
  </si>
  <si>
    <t>Number of SFAs that oversee BIE-administered schools or schools that primarily serve Ameriucan Indian or Alaska native students</t>
  </si>
  <si>
    <r>
      <rPr>
        <b/>
        <sz val="11"/>
        <color theme="1"/>
        <rFont val="Calibri"/>
        <family val="2"/>
      </rPr>
      <t xml:space="preserve">On next NSLP baseline renewal: </t>
    </r>
    <r>
      <rPr>
        <sz val="11"/>
        <color theme="1"/>
        <rFont val="Calibri"/>
        <family val="2"/>
      </rPr>
      <t>Update this with new information from states.</t>
    </r>
  </si>
  <si>
    <r>
      <rPr>
        <b/>
        <sz val="11"/>
        <color theme="1"/>
        <rFont val="Calibri"/>
        <family val="2"/>
      </rPr>
      <t>On next NSLP baseline renewal:</t>
    </r>
    <r>
      <rPr>
        <sz val="11"/>
        <color theme="1"/>
        <rFont val="Calibri"/>
        <family val="2"/>
      </rPr>
      <t xml:space="preserve"> Update with most current year's school count from the FNS-10, NDB. (For FY 2025 this would have been 94,005.)</t>
    </r>
  </si>
  <si>
    <r>
      <rPr>
        <b/>
        <sz val="11"/>
        <color theme="1"/>
        <rFont val="Calibri"/>
        <family val="2"/>
      </rPr>
      <t>On next NSLP baseline renewal:</t>
    </r>
    <r>
      <rPr>
        <sz val="11"/>
        <color theme="1"/>
        <rFont val="Calibri"/>
        <family val="2"/>
      </rPr>
      <t xml:space="preserve"> Update with most current year's data from states (or FNS-742 record count). </t>
    </r>
  </si>
  <si>
    <r>
      <rPr>
        <b/>
        <sz val="11"/>
        <color theme="1"/>
        <rFont val="Calibri"/>
        <family val="2"/>
      </rPr>
      <t>On next NSLP baseline renewal:</t>
    </r>
    <r>
      <rPr>
        <sz val="11"/>
        <color theme="1"/>
        <rFont val="Calibri"/>
        <family val="2"/>
      </rPr>
      <t xml:space="preserve"> Revise using non-congregate data from the updated FNS-418 and FNS-10.</t>
    </r>
  </si>
  <si>
    <r>
      <rPr>
        <b/>
        <sz val="11"/>
        <color theme="1"/>
        <rFont val="Calibri"/>
        <family val="2"/>
      </rPr>
      <t xml:space="preserve">On next NSLP baseline renewal: </t>
    </r>
    <r>
      <rPr>
        <sz val="11"/>
        <color theme="1"/>
        <rFont val="Calibri"/>
        <family val="2"/>
      </rPr>
      <t xml:space="preserve">Revisit this 5% assumption and update with new information from states. The hard-coded 951 is equal 5% of SFAs, based on other hard-coded figures in the most recent NSLP baseline spreadsheet: the hard-coded 113.339 SFAs subject to an AR each year </t>
    </r>
    <r>
      <rPr>
        <sz val="11"/>
        <color theme="1"/>
        <rFont val="Aptos Narrow"/>
        <family val="2"/>
      </rPr>
      <t>÷</t>
    </r>
    <r>
      <rPr>
        <sz val="11"/>
        <color theme="1"/>
        <rFont val="Calibri"/>
        <family val="2"/>
      </rPr>
      <t xml:space="preserve"> the hard-coded 1/3 share of SFAs subject to AR per year x the hard-coded 56 (state agencies) = 19,040.952 SFAs.  19,040.952 </t>
    </r>
    <r>
      <rPr>
        <sz val="11"/>
        <color theme="1"/>
        <rFont val="Aptos Narrow"/>
        <family val="2"/>
      </rPr>
      <t>÷</t>
    </r>
    <r>
      <rPr>
        <sz val="11"/>
        <color theme="1"/>
        <rFont val="Calibri"/>
        <family val="2"/>
      </rPr>
      <t xml:space="preserve"> the hard-coded 951 = 4.9945%.</t>
    </r>
  </si>
  <si>
    <t>Full or partial months in the school year. (This is how many times SFAs and schools would respond to a monthly reporting or recordkeeping requirement.)</t>
  </si>
  <si>
    <t xml:space="preserve">School days in a typical school year.  (This is how many times SFAs and schools would respond to a daily reporting or recordkeeping requirement.) </t>
  </si>
  <si>
    <t>Most recent change to this line item is from the 2023 CN Integrity Final Rule (RIN 0584-AE08).</t>
  </si>
  <si>
    <t>Average number of SFAs subject to an Administrative Review each year per state agency. The 2023 CN Integrity Final Rule changed the review schedule from once every 3 years to once every 5.</t>
  </si>
  <si>
    <t>210.5(d)(3)</t>
  </si>
  <si>
    <t>SAs with a review cycle longer than 3-years submit a plan to FNS describing the criteria that it will use to identify high-risk SFAs for targeted follow-up reviews.</t>
  </si>
  <si>
    <t>SAs submit an annual report to FNS detailing the disbursement of performance-based reimbursement to SFAs.</t>
  </si>
  <si>
    <t>CN Integrity</t>
  </si>
  <si>
    <t>210.21(h)</t>
  </si>
  <si>
    <t>State agencies must complete procurement training requirements annually.</t>
  </si>
  <si>
    <t>210.26(b)(4)</t>
  </si>
  <si>
    <t>SAs must notify SFAs of fine and specific violations or actions that constituted the fine, and of appeal rights and procedures; submit a copy of the notice to FNS.</t>
  </si>
  <si>
    <t>Estimate used in 2023 Final Child Nutrition Integrity Rule</t>
  </si>
  <si>
    <t>Number of state agencies that impose fines on SFAs under 210.26</t>
  </si>
  <si>
    <t>Assumes 5 of 56 SAs impose fines on one or more SFAs.</t>
  </si>
  <si>
    <t>This was hard-coded in the CN Integrity Rule ICR as 3,803.8. It should be 19,019 / 5. (The CN Integrity Rule changed the 3-year review cycle to 5 years in 2023.)</t>
  </si>
  <si>
    <t>SFAs must complete procurement training requirements annually.</t>
  </si>
  <si>
    <t>210.26(b)(5)</t>
  </si>
  <si>
    <t>SFAs may appeal SA's determination of violations and fines. SFAs must submit to the State agency any pertinent information, explanation, or evidence addressing the Program violations identified by the SA. Any SFA seeking to appeal the SA determination must follow SA appeal procedures.</t>
  </si>
  <si>
    <t xml:space="preserve">210.20(b)(6) &amp; 210.18(f), (k,l,m),(o) &amp; 210.23(c) </t>
  </si>
  <si>
    <t>210.18 (c)</t>
  </si>
  <si>
    <t>SA completes and maintains documentation used to conduct targeted Follow Up Administrative Review.</t>
  </si>
  <si>
    <t>Percent of SFAs that were subject to an AR that were then subject to a targeted follow-up review each year.</t>
  </si>
  <si>
    <t>Estimate used in CN Integrity Final Rule</t>
  </si>
  <si>
    <t>Length of time for a targeted follow-up AR relative to a full AR.</t>
  </si>
  <si>
    <t>Time it takes to complete the recordkeeping requirements for a full Administrative review</t>
  </si>
  <si>
    <t>Estimate used in CN Integrity Final Rule. This is implied by the 16 hours hard-coded in the Integrity Rule ICR table and the note that says the targeted follow-up review takes 1/3 as long as a full AR.</t>
  </si>
  <si>
    <t>210.15(b)(8)</t>
  </si>
  <si>
    <t>State agencies must maintain records to document compliance with the procurement training requirements.</t>
  </si>
  <si>
    <t>210.26(b)</t>
  </si>
  <si>
    <t>State agencies must maintain records to related fines and specific violations</t>
  </si>
  <si>
    <t>School food authorities must maintain document compliance with the procurement training requirements.</t>
  </si>
  <si>
    <t>210.18(c)(1)-(3)</t>
  </si>
  <si>
    <t>210.18 (c)(1)-(3)</t>
  </si>
  <si>
    <t>This provision is eliminated. SA no longer has to complete and maintain documentation used to conduct targeted Follow Up Administrative Review.</t>
  </si>
  <si>
    <t>National School Lunch Program</t>
  </si>
  <si>
    <r>
      <t xml:space="preserve">210.15(b)(8); </t>
    </r>
    <r>
      <rPr>
        <b/>
        <sz val="11"/>
        <color rgb="FFC00000"/>
        <rFont val="Calibri"/>
        <family val="2"/>
      </rPr>
      <t>210.30(h)</t>
    </r>
  </si>
  <si>
    <t>210.18(c)(2)</t>
  </si>
  <si>
    <t>Most recent change is from the 2023 CN Integrity Final Rule (RIN 0584-AE08).</t>
  </si>
  <si>
    <t>Technical correction: the citation previously referred to 210.30(g); it has been corrected to point to 210.30(h).</t>
  </si>
  <si>
    <t>Burden Chart for OMB Control Number 0584-0006, Merge with 0584-0610</t>
  </si>
  <si>
    <t>SAs submit an annual report to FNA detailing the disbursement of performance-based reimbursement to SFAs.</t>
  </si>
  <si>
    <t>SA reports to FNA schools' compliance with the food safety inspections requirements.</t>
  </si>
  <si>
    <t>SAs must notify SFAs of fine and specific violations or actions that constituted the fine, and of appeal rights and procedures; submit a copy of the notice to FNA.</t>
  </si>
  <si>
    <t>SAs with a review cycle longer than 3-years submit a plan to FNA describing the criteria that it will use to identify high-risk SFAs for targeted follow-up reviews.</t>
  </si>
  <si>
    <t>SFAs develop menu records (beyond regular menu maintenance) that meet updated and new FNA specifications from the rule (which also includes following all previous rule menu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</si>
</sst>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4" formatCode="_(&quot;$&quot;* #,##0.00_);_(&quot;$&quot;* \(#,##0.00\);_(&quot;$&quot;* &quot;-&quot;??_);_(@_)"/>
    <numFmt numFmtId="43" formatCode="_(* #,##0.00_);_(* \(#,##0.00\);_(* &quot;-&quot;??_);_(@_)"/>
    <numFmt numFmtId="164" formatCode="#,##0.000"/>
    <numFmt numFmtId="165" formatCode="_(* #,##0.000_);_(* \(#,##0.000\);_(* &quot;-&quot;??_);_(@_)"/>
    <numFmt numFmtId="166" formatCode="_(* #,##0_);_(* \(#,##0\);_(* &quot;-&quot;??_);_(@_)"/>
    <numFmt numFmtId="167" formatCode="_(* #,##0.0_);_(* \(#,##0.0\);_(* &quot;-&quot;??_);_(@_)"/>
    <numFmt numFmtId="168" formatCode="0.000"/>
    <numFmt numFmtId="169" formatCode="#,##0.0"/>
    <numFmt numFmtId="170" formatCode="#,##0.000_);\(#,##0.000\)"/>
    <numFmt numFmtId="171" formatCode="0.0%"/>
  </numFmts>
  <fonts count="44"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name val="Calibri"/>
      <family val="2"/>
      <scheme val="minor"/>
    </font>
    <font>
      <b/>
      <sz val="14"/>
      <color indexed="8"/>
      <name val="Calibri"/>
      <family val="2"/>
      <scheme val="minor"/>
    </font>
    <font>
      <sz val="11"/>
      <name val="Calibri"/>
      <family val="2"/>
      <scheme val="minor"/>
    </font>
    <font>
      <sz val="12"/>
      <color theme="1"/>
      <name val="Times New Roman"/>
      <family val="1"/>
    </font>
    <font>
      <b/>
      <sz val="11"/>
      <name val="Calibri"/>
      <family val="2"/>
      <scheme val="minor"/>
    </font>
    <font>
      <sz val="11"/>
      <color theme="1"/>
      <name val="Calibri"/>
      <family val="2"/>
    </font>
    <font>
      <sz val="11"/>
      <name val="Calibri"/>
      <family val="2"/>
    </font>
    <font>
      <sz val="10"/>
      <color indexed="54"/>
      <name val="Arial"/>
      <family val="2"/>
    </font>
    <font>
      <sz val="9"/>
      <color indexed="81"/>
      <name val="Tahoma"/>
      <family val="2"/>
    </font>
    <font>
      <b/>
      <sz val="9"/>
      <color indexed="81"/>
      <name val="Tahoma"/>
      <family val="2"/>
    </font>
    <font>
      <sz val="11"/>
      <color theme="1"/>
      <name val="Calibri"/>
      <family val="2"/>
      <scheme val="minor"/>
    </font>
    <font>
      <b/>
      <sz val="20"/>
      <name val="Cambria"/>
      <family val="1"/>
      <scheme val="major"/>
    </font>
    <font>
      <sz val="16"/>
      <color indexed="81"/>
      <name val="Tahoma"/>
      <family val="2"/>
    </font>
    <font>
      <sz val="11"/>
      <color rgb="FF006100"/>
      <name val="Calibri"/>
      <family val="2"/>
      <scheme val="minor"/>
    </font>
    <font>
      <b/>
      <sz val="14"/>
      <name val="Calibri"/>
      <family val="2"/>
      <scheme val="minor"/>
    </font>
    <font>
      <sz val="11"/>
      <color rgb="FF000000"/>
      <name val="Calibri"/>
      <family val="2"/>
    </font>
    <font>
      <b/>
      <sz val="18"/>
      <color rgb="FF000000"/>
      <name val="Calibri"/>
      <family val="2"/>
    </font>
    <font>
      <sz val="18"/>
      <color rgb="FF000000"/>
      <name val="Calibri"/>
      <family val="2"/>
    </font>
    <font>
      <b/>
      <sz val="11"/>
      <color rgb="FF000000"/>
      <name val="Calibri"/>
      <family val="2"/>
    </font>
    <font>
      <b/>
      <sz val="16"/>
      <color rgb="FF000000"/>
      <name val="Calibri"/>
      <family val="2"/>
    </font>
    <font>
      <b/>
      <sz val="18"/>
      <color theme="1"/>
      <name val="Calibri"/>
      <family val="2"/>
    </font>
    <font>
      <sz val="14"/>
      <color theme="1"/>
      <name val="Calibri"/>
      <family val="2"/>
      <scheme val="minor"/>
    </font>
    <font>
      <b/>
      <sz val="11"/>
      <name val="Calibri"/>
      <family val="2"/>
    </font>
    <font>
      <b/>
      <sz val="16"/>
      <name val="Calibri"/>
      <family val="2"/>
      <scheme val="minor"/>
    </font>
    <font>
      <sz val="12"/>
      <name val="Calibri"/>
      <family val="2"/>
      <scheme val="minor"/>
    </font>
    <font>
      <b/>
      <sz val="11"/>
      <color theme="1"/>
      <name val="Calibri"/>
      <family val="2"/>
    </font>
    <font>
      <sz val="11"/>
      <color theme="1"/>
      <name val="Aptos Narrow"/>
      <family val="2"/>
    </font>
    <font>
      <sz val="8.8000000000000007"/>
      <color theme="1"/>
      <name val="Calibri"/>
      <family val="2"/>
    </font>
    <font>
      <sz val="11"/>
      <color indexed="8"/>
      <name val="Calibri"/>
      <family val="2"/>
      <scheme val="minor"/>
    </font>
    <font>
      <b/>
      <sz val="11"/>
      <color indexed="8"/>
      <name val="Calibri"/>
      <family val="2"/>
      <scheme val="minor"/>
    </font>
    <font>
      <b/>
      <sz val="13"/>
      <color theme="1"/>
      <name val="Calibri"/>
      <family val="2"/>
      <scheme val="minor"/>
    </font>
    <font>
      <b/>
      <sz val="11"/>
      <color rgb="FFC00000"/>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C6EFCE"/>
      </patternFill>
    </fill>
    <fill>
      <patternFill patternType="solid">
        <fgColor rgb="FFFFFF00"/>
        <bgColor indexed="64"/>
      </patternFill>
    </fill>
    <fill>
      <patternFill patternType="solid">
        <fgColor rgb="FF95B3D7"/>
        <bgColor rgb="FF000000"/>
      </patternFill>
    </fill>
    <fill>
      <patternFill patternType="solid">
        <fgColor theme="0"/>
        <bgColor indexed="64"/>
      </patternFill>
    </fill>
    <fill>
      <patternFill patternType="solid">
        <fgColor theme="4" tint="0.39997558519241921"/>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9">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 fillId="0" borderId="0"/>
    <xf numFmtId="43" fontId="22" fillId="0" borderId="0" applyFont="0" applyFill="0" applyBorder="0" applyAlignment="0" applyProtection="0"/>
    <xf numFmtId="0" fontId="25" fillId="12" borderId="0" applyNumberFormat="0" applyBorder="0" applyAlignment="0" applyProtection="0"/>
    <xf numFmtId="9" fontId="22" fillId="0" borderId="0" applyFont="0" applyFill="0" applyBorder="0" applyAlignment="0" applyProtection="0"/>
  </cellStyleXfs>
  <cellXfs count="342">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166" fontId="5" fillId="0" borderId="1" xfId="3" applyNumberFormat="1" applyFont="1" applyFill="1" applyBorder="1" applyAlignment="1" applyProtection="1">
      <alignment vertical="center"/>
    </xf>
    <xf numFmtId="43" fontId="5" fillId="0" borderId="1" xfId="3" applyFont="1" applyFill="1" applyBorder="1" applyAlignment="1" applyProtection="1">
      <alignment vertical="center" wrapText="1"/>
      <protection locked="0"/>
    </xf>
    <xf numFmtId="43" fontId="6" fillId="0" borderId="1" xfId="3" applyFont="1" applyFill="1" applyBorder="1" applyAlignment="1" applyProtection="1">
      <alignment horizontal="center" vertical="center" wrapText="1"/>
      <protection locked="0"/>
    </xf>
    <xf numFmtId="166" fontId="5" fillId="0" borderId="1" xfId="3" applyNumberFormat="1" applyFont="1" applyFill="1" applyBorder="1" applyAlignment="1" applyProtection="1">
      <alignment vertical="center"/>
      <protection locked="0"/>
    </xf>
    <xf numFmtId="0" fontId="7" fillId="2" borderId="2" xfId="1" applyFont="1" applyFill="1" applyBorder="1" applyAlignment="1">
      <alignment horizontal="center" vertical="center" wrapText="1"/>
    </xf>
    <xf numFmtId="0" fontId="9" fillId="0" borderId="6" xfId="4" applyFont="1" applyBorder="1" applyAlignment="1">
      <alignment horizontal="center"/>
    </xf>
    <xf numFmtId="0" fontId="11" fillId="0" borderId="7" xfId="4" applyFont="1" applyBorder="1" applyAlignment="1">
      <alignment horizontal="center"/>
    </xf>
    <xf numFmtId="0" fontId="11" fillId="0" borderId="8" xfId="4" applyFont="1" applyBorder="1" applyAlignment="1">
      <alignment horizontal="center"/>
    </xf>
    <xf numFmtId="43" fontId="6" fillId="0" borderId="9" xfId="3" applyFont="1" applyFill="1" applyBorder="1" applyAlignment="1" applyProtection="1">
      <alignment horizontal="center" vertical="center" wrapText="1"/>
      <protection locked="0"/>
    </xf>
    <xf numFmtId="0" fontId="7" fillId="3" borderId="9"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0" xfId="1" applyFont="1" applyFill="1" applyBorder="1" applyAlignment="1">
      <alignment horizontal="center" vertical="center" wrapText="1"/>
    </xf>
    <xf numFmtId="164" fontId="0" fillId="0" borderId="0" xfId="0" applyNumberFormat="1"/>
    <xf numFmtId="0" fontId="7" fillId="2" borderId="0" xfId="1" applyFont="1" applyFill="1" applyAlignment="1">
      <alignment horizontal="center" vertical="center" wrapText="1"/>
    </xf>
    <xf numFmtId="43" fontId="5" fillId="6" borderId="2" xfId="3" applyFont="1" applyFill="1" applyBorder="1" applyAlignment="1" applyProtection="1">
      <alignment vertical="center" wrapText="1"/>
      <protection locked="0"/>
    </xf>
    <xf numFmtId="43" fontId="6" fillId="6" borderId="1" xfId="3" applyFont="1" applyFill="1" applyBorder="1" applyAlignment="1" applyProtection="1">
      <alignment horizontal="center" vertical="center" wrapText="1"/>
      <protection locked="0"/>
    </xf>
    <xf numFmtId="166" fontId="5" fillId="6" borderId="1" xfId="3" applyNumberFormat="1" applyFont="1" applyFill="1" applyBorder="1" applyAlignment="1" applyProtection="1">
      <alignment vertical="center"/>
    </xf>
    <xf numFmtId="166" fontId="5" fillId="6" borderId="10" xfId="3" applyNumberFormat="1" applyFont="1" applyFill="1" applyBorder="1" applyAlignment="1" applyProtection="1">
      <alignment vertical="center"/>
    </xf>
    <xf numFmtId="43" fontId="12" fillId="6" borderId="1" xfId="3" applyFont="1" applyFill="1" applyBorder="1" applyAlignment="1" applyProtection="1">
      <alignment horizontal="right" vertical="center" wrapText="1"/>
      <protection locked="0"/>
    </xf>
    <xf numFmtId="43" fontId="6" fillId="5" borderId="11" xfId="3" applyFont="1" applyFill="1" applyBorder="1" applyAlignment="1" applyProtection="1">
      <alignment horizontal="center" vertical="center"/>
    </xf>
    <xf numFmtId="43" fontId="6" fillId="5" borderId="12" xfId="3" applyFont="1" applyFill="1" applyBorder="1" applyAlignment="1" applyProtection="1">
      <alignment vertical="center" wrapText="1"/>
    </xf>
    <xf numFmtId="43" fontId="12" fillId="5" borderId="13" xfId="3" applyFont="1" applyFill="1" applyBorder="1" applyAlignment="1" applyProtection="1">
      <alignment horizontal="right" vertical="center"/>
    </xf>
    <xf numFmtId="43" fontId="6" fillId="5" borderId="13" xfId="3" applyFont="1" applyFill="1" applyBorder="1" applyAlignment="1" applyProtection="1">
      <alignment horizontal="center" vertical="center"/>
    </xf>
    <xf numFmtId="167" fontId="14" fillId="8" borderId="0" xfId="0" applyNumberFormat="1" applyFont="1" applyFill="1"/>
    <xf numFmtId="166" fontId="5" fillId="7" borderId="1" xfId="3" applyNumberFormat="1" applyFont="1" applyFill="1" applyBorder="1" applyAlignment="1" applyProtection="1">
      <alignment vertical="center"/>
    </xf>
    <xf numFmtId="0" fontId="0" fillId="0" borderId="26" xfId="0" applyBorder="1"/>
    <xf numFmtId="3" fontId="15" fillId="0" borderId="27" xfId="0" applyNumberFormat="1" applyFont="1" applyBorder="1" applyAlignment="1">
      <alignment horizontal="right"/>
    </xf>
    <xf numFmtId="0" fontId="15" fillId="0" borderId="15" xfId="0" applyFont="1" applyBorder="1"/>
    <xf numFmtId="0" fontId="16" fillId="8" borderId="18" xfId="0" applyFont="1" applyFill="1" applyBorder="1" applyAlignment="1">
      <alignment horizontal="left"/>
    </xf>
    <xf numFmtId="166" fontId="18" fillId="0" borderId="1" xfId="3" applyNumberFormat="1" applyFont="1" applyFill="1" applyBorder="1" applyAlignment="1" applyProtection="1">
      <alignment vertical="center"/>
      <protection locked="0"/>
    </xf>
    <xf numFmtId="166" fontId="18" fillId="0" borderId="10" xfId="3" applyNumberFormat="1" applyFont="1" applyFill="1" applyBorder="1" applyAlignment="1" applyProtection="1">
      <alignment vertical="center"/>
    </xf>
    <xf numFmtId="0" fontId="18" fillId="0" borderId="1" xfId="0" applyFont="1" applyBorder="1" applyAlignment="1">
      <alignment vertical="center" wrapText="1"/>
    </xf>
    <xf numFmtId="0" fontId="18" fillId="0" borderId="1" xfId="1" applyFont="1" applyBorder="1" applyAlignment="1">
      <alignment vertical="center"/>
    </xf>
    <xf numFmtId="3" fontId="18" fillId="0" borderId="1" xfId="1" applyNumberFormat="1" applyFont="1" applyBorder="1" applyAlignment="1">
      <alignment vertical="center"/>
    </xf>
    <xf numFmtId="0" fontId="18" fillId="0" borderId="1" xfId="1" applyFont="1" applyBorder="1" applyAlignment="1">
      <alignment vertical="center" wrapText="1"/>
    </xf>
    <xf numFmtId="0" fontId="0" fillId="0" borderId="1" xfId="0" applyBorder="1" applyAlignment="1">
      <alignment vertical="center" wrapText="1"/>
    </xf>
    <xf numFmtId="3" fontId="0" fillId="0" borderId="1" xfId="0" applyNumberFormat="1" applyBorder="1" applyAlignment="1">
      <alignment vertical="center" wrapText="1"/>
    </xf>
    <xf numFmtId="1" fontId="5" fillId="0" borderId="1" xfId="3" applyNumberFormat="1" applyFont="1" applyFill="1" applyBorder="1" applyAlignment="1" applyProtection="1">
      <alignment vertical="center"/>
      <protection locked="0"/>
    </xf>
    <xf numFmtId="0" fontId="6" fillId="7" borderId="1" xfId="3" applyNumberFormat="1" applyFont="1" applyFill="1" applyBorder="1" applyAlignment="1" applyProtection="1">
      <alignment horizontal="center" vertical="center" wrapText="1"/>
      <protection locked="0"/>
    </xf>
    <xf numFmtId="0" fontId="6" fillId="0" borderId="9" xfId="3" applyNumberFormat="1" applyFont="1" applyFill="1" applyBorder="1" applyAlignment="1" applyProtection="1">
      <alignment horizontal="center" vertical="center" wrapText="1"/>
      <protection locked="0"/>
    </xf>
    <xf numFmtId="1" fontId="6" fillId="7" borderId="1" xfId="3" applyNumberFormat="1" applyFont="1" applyFill="1" applyBorder="1" applyAlignment="1" applyProtection="1">
      <alignment horizontal="center" vertical="center"/>
      <protection locked="0"/>
    </xf>
    <xf numFmtId="3" fontId="5" fillId="0" borderId="1" xfId="3" applyNumberFormat="1" applyFont="1" applyFill="1" applyBorder="1" applyAlignment="1" applyProtection="1">
      <alignment vertical="center"/>
    </xf>
    <xf numFmtId="3" fontId="5" fillId="0" borderId="1" xfId="3" applyNumberFormat="1" applyFont="1" applyFill="1" applyBorder="1" applyAlignment="1" applyProtection="1">
      <alignment vertical="center"/>
      <protection locked="0"/>
    </xf>
    <xf numFmtId="3" fontId="5" fillId="7"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protection locked="0"/>
    </xf>
    <xf numFmtId="3" fontId="2" fillId="0" borderId="1" xfId="1" applyNumberFormat="1" applyBorder="1" applyAlignment="1">
      <alignment vertical="center"/>
    </xf>
    <xf numFmtId="39" fontId="6" fillId="5" borderId="13" xfId="3" applyNumberFormat="1" applyFont="1" applyFill="1" applyBorder="1" applyProtection="1"/>
    <xf numFmtId="0" fontId="6" fillId="5" borderId="12" xfId="3" applyNumberFormat="1" applyFont="1" applyFill="1" applyBorder="1" applyAlignment="1" applyProtection="1">
      <alignment vertical="center" wrapText="1"/>
    </xf>
    <xf numFmtId="0" fontId="12" fillId="5" borderId="13" xfId="3" applyNumberFormat="1" applyFont="1" applyFill="1" applyBorder="1" applyAlignment="1" applyProtection="1">
      <alignment horizontal="right" vertical="center"/>
    </xf>
    <xf numFmtId="0" fontId="6" fillId="5" borderId="13" xfId="3" applyNumberFormat="1" applyFont="1" applyFill="1" applyBorder="1" applyAlignment="1" applyProtection="1">
      <alignment horizontal="center" vertical="center"/>
    </xf>
    <xf numFmtId="37" fontId="6" fillId="5" borderId="13" xfId="3" applyNumberFormat="1" applyFont="1" applyFill="1" applyBorder="1" applyProtection="1"/>
    <xf numFmtId="2" fontId="6" fillId="5" borderId="13" xfId="3" applyNumberFormat="1" applyFont="1" applyFill="1" applyBorder="1" applyProtection="1"/>
    <xf numFmtId="37" fontId="14" fillId="8" borderId="0" xfId="0" applyNumberFormat="1" applyFont="1" applyFill="1"/>
    <xf numFmtId="37" fontId="14" fillId="8" borderId="19" xfId="0" applyNumberFormat="1" applyFont="1" applyFill="1" applyBorder="1"/>
    <xf numFmtId="2" fontId="14" fillId="8" borderId="0" xfId="0" applyNumberFormat="1" applyFont="1" applyFill="1"/>
    <xf numFmtId="3" fontId="14" fillId="8" borderId="0" xfId="0" applyNumberFormat="1" applyFont="1" applyFill="1"/>
    <xf numFmtId="37" fontId="6" fillId="5" borderId="14" xfId="3" applyNumberFormat="1" applyFont="1" applyFill="1" applyBorder="1" applyProtection="1"/>
    <xf numFmtId="2" fontId="14" fillId="7" borderId="1" xfId="3" applyNumberFormat="1" applyFont="1" applyFill="1" applyBorder="1" applyAlignment="1" applyProtection="1">
      <alignment vertical="center"/>
    </xf>
    <xf numFmtId="37" fontId="18" fillId="0" borderId="1" xfId="3" applyNumberFormat="1" applyFont="1" applyFill="1" applyBorder="1" applyAlignment="1" applyProtection="1">
      <alignment vertical="center"/>
      <protection locked="0"/>
    </xf>
    <xf numFmtId="3" fontId="5" fillId="6" borderId="1" xfId="3" applyNumberFormat="1" applyFont="1" applyFill="1" applyBorder="1" applyAlignment="1" applyProtection="1">
      <alignment vertical="center"/>
    </xf>
    <xf numFmtId="43" fontId="5" fillId="6" borderId="1" xfId="3" applyFont="1" applyFill="1" applyBorder="1" applyAlignment="1" applyProtection="1">
      <alignment vertical="center"/>
    </xf>
    <xf numFmtId="168" fontId="14" fillId="7" borderId="1" xfId="3" applyNumberFormat="1" applyFont="1" applyFill="1" applyBorder="1" applyAlignment="1" applyProtection="1">
      <alignment vertical="center"/>
    </xf>
    <xf numFmtId="41" fontId="6" fillId="5" borderId="13" xfId="3" applyNumberFormat="1" applyFont="1" applyFill="1" applyBorder="1" applyProtection="1"/>
    <xf numFmtId="43" fontId="5" fillId="0" borderId="9" xfId="3" applyFont="1" applyFill="1" applyBorder="1" applyAlignment="1" applyProtection="1">
      <alignment horizontal="center" vertical="center" wrapText="1"/>
      <protection locked="0"/>
    </xf>
    <xf numFmtId="0" fontId="5" fillId="0" borderId="2" xfId="3" applyNumberFormat="1" applyFont="1" applyFill="1" applyBorder="1" applyAlignment="1" applyProtection="1">
      <alignment vertical="center" wrapText="1"/>
      <protection locked="0"/>
    </xf>
    <xf numFmtId="0" fontId="17" fillId="0" borderId="1" xfId="0" applyFont="1" applyBorder="1" applyAlignment="1">
      <alignment vertical="center"/>
    </xf>
    <xf numFmtId="4" fontId="17" fillId="0" borderId="1" xfId="0" applyNumberFormat="1" applyFont="1" applyBorder="1" applyAlignment="1">
      <alignment vertical="center"/>
    </xf>
    <xf numFmtId="0" fontId="5" fillId="0" borderId="9" xfId="3" applyNumberFormat="1" applyFont="1" applyFill="1" applyBorder="1" applyAlignment="1" applyProtection="1">
      <alignment horizontal="center" vertical="center" wrapText="1"/>
      <protection locked="0"/>
    </xf>
    <xf numFmtId="0" fontId="7" fillId="9" borderId="9" xfId="1" applyFont="1" applyFill="1" applyBorder="1" applyAlignment="1">
      <alignment horizontal="center" vertical="center" wrapText="1"/>
    </xf>
    <xf numFmtId="0" fontId="9" fillId="0" borderId="7" xfId="5" applyFont="1" applyBorder="1" applyAlignment="1">
      <alignment horizontal="center"/>
    </xf>
    <xf numFmtId="0" fontId="10" fillId="0" borderId="7" xfId="5" applyFont="1" applyBorder="1" applyAlignment="1">
      <alignment horizontal="center"/>
    </xf>
    <xf numFmtId="0" fontId="11" fillId="0" borderId="7" xfId="5" applyFont="1" applyBorder="1" applyAlignment="1">
      <alignment horizontal="center"/>
    </xf>
    <xf numFmtId="0" fontId="11" fillId="0" borderId="8" xfId="5" applyFont="1" applyBorder="1" applyAlignment="1">
      <alignment horizontal="center"/>
    </xf>
    <xf numFmtId="0" fontId="4" fillId="0" borderId="0" xfId="5" applyFont="1" applyAlignment="1">
      <alignment horizontal="center" vertical="center" wrapText="1"/>
    </xf>
    <xf numFmtId="0" fontId="4" fillId="0" borderId="0" xfId="5" applyFont="1" applyAlignment="1">
      <alignment horizontal="center"/>
    </xf>
    <xf numFmtId="0" fontId="7" fillId="10" borderId="1" xfId="1" applyFont="1" applyFill="1" applyBorder="1" applyAlignment="1">
      <alignment horizontal="center" vertical="center" wrapText="1"/>
    </xf>
    <xf numFmtId="0" fontId="7" fillId="10" borderId="10" xfId="1" applyFont="1" applyFill="1" applyBorder="1" applyAlignment="1">
      <alignment horizontal="center" vertical="center" wrapText="1"/>
    </xf>
    <xf numFmtId="37" fontId="14" fillId="0" borderId="1" xfId="6" applyNumberFormat="1" applyFont="1" applyFill="1" applyBorder="1" applyAlignment="1" applyProtection="1">
      <alignment vertical="center"/>
      <protection locked="0"/>
    </xf>
    <xf numFmtId="1" fontId="5" fillId="0" borderId="1" xfId="6" applyNumberFormat="1" applyFont="1" applyFill="1" applyBorder="1" applyAlignment="1" applyProtection="1">
      <alignment vertical="center"/>
      <protection locked="0"/>
    </xf>
    <xf numFmtId="37" fontId="18" fillId="0" borderId="1" xfId="6" applyNumberFormat="1" applyFont="1" applyFill="1" applyBorder="1" applyAlignment="1" applyProtection="1">
      <alignment vertical="center"/>
    </xf>
    <xf numFmtId="39" fontId="14" fillId="0" borderId="1" xfId="6" applyNumberFormat="1" applyFont="1" applyFill="1" applyBorder="1" applyAlignment="1" applyProtection="1">
      <alignment vertical="center"/>
      <protection locked="0"/>
    </xf>
    <xf numFmtId="169" fontId="18" fillId="0" borderId="4" xfId="6" applyNumberFormat="1" applyFont="1" applyFill="1" applyBorder="1" applyAlignment="1" applyProtection="1">
      <alignment vertical="center"/>
    </xf>
    <xf numFmtId="169" fontId="18" fillId="0" borderId="1" xfId="1" applyNumberFormat="1" applyFont="1" applyBorder="1" applyAlignment="1">
      <alignment vertical="center"/>
    </xf>
    <xf numFmtId="1" fontId="14" fillId="0" borderId="10" xfId="6" applyNumberFormat="1" applyFont="1" applyFill="1" applyBorder="1" applyAlignment="1" applyProtection="1">
      <alignment vertical="center"/>
    </xf>
    <xf numFmtId="0" fontId="5" fillId="11" borderId="2" xfId="6" applyNumberFormat="1" applyFont="1" applyFill="1" applyBorder="1" applyAlignment="1" applyProtection="1">
      <alignment vertical="center" wrapText="1"/>
      <protection locked="0"/>
    </xf>
    <xf numFmtId="0" fontId="12" fillId="11" borderId="1" xfId="6" applyNumberFormat="1" applyFont="1" applyFill="1" applyBorder="1" applyAlignment="1" applyProtection="1">
      <alignment horizontal="right" vertical="center" wrapText="1"/>
      <protection locked="0"/>
    </xf>
    <xf numFmtId="1" fontId="6" fillId="11" borderId="1" xfId="6" applyNumberFormat="1" applyFont="1" applyFill="1" applyBorder="1" applyAlignment="1" applyProtection="1">
      <alignment horizontal="center" vertical="center"/>
      <protection locked="0"/>
    </xf>
    <xf numFmtId="1" fontId="14" fillId="11" borderId="1" xfId="6" applyNumberFormat="1" applyFont="1" applyFill="1" applyBorder="1" applyAlignment="1" applyProtection="1">
      <alignment vertical="center"/>
    </xf>
    <xf numFmtId="2" fontId="14" fillId="11" borderId="1" xfId="6" applyNumberFormat="1" applyFont="1" applyFill="1" applyBorder="1" applyAlignment="1" applyProtection="1">
      <alignment vertical="center"/>
    </xf>
    <xf numFmtId="37" fontId="14" fillId="11" borderId="1" xfId="6" applyNumberFormat="1" applyFont="1" applyFill="1" applyBorder="1" applyAlignment="1" applyProtection="1">
      <alignment vertical="center"/>
    </xf>
    <xf numFmtId="1" fontId="14" fillId="11" borderId="10" xfId="6" applyNumberFormat="1" applyFont="1" applyFill="1" applyBorder="1" applyAlignment="1" applyProtection="1">
      <alignment vertical="center"/>
    </xf>
    <xf numFmtId="3" fontId="5" fillId="0" borderId="1" xfId="6" applyNumberFormat="1" applyFont="1" applyFill="1" applyBorder="1" applyAlignment="1" applyProtection="1">
      <alignment vertical="center"/>
    </xf>
    <xf numFmtId="3" fontId="5" fillId="0" borderId="1" xfId="6" applyNumberFormat="1" applyFont="1" applyFill="1" applyBorder="1" applyAlignment="1" applyProtection="1">
      <alignment vertical="center"/>
      <protection locked="0"/>
    </xf>
    <xf numFmtId="3" fontId="5" fillId="0" borderId="10" xfId="6" applyNumberFormat="1" applyFont="1" applyFill="1" applyBorder="1" applyAlignment="1" applyProtection="1">
      <alignment vertical="center"/>
    </xf>
    <xf numFmtId="0" fontId="6" fillId="11" borderId="1" xfId="6" applyNumberFormat="1" applyFont="1" applyFill="1" applyBorder="1" applyAlignment="1" applyProtection="1">
      <alignment horizontal="center" vertical="center" wrapText="1"/>
      <protection locked="0"/>
    </xf>
    <xf numFmtId="3" fontId="5" fillId="11" borderId="1" xfId="6" applyNumberFormat="1" applyFont="1" applyFill="1" applyBorder="1" applyAlignment="1" applyProtection="1">
      <alignment vertical="center"/>
    </xf>
    <xf numFmtId="3" fontId="5" fillId="11" borderId="1" xfId="6" applyNumberFormat="1" applyFont="1" applyFill="1" applyBorder="1" applyAlignment="1" applyProtection="1">
      <alignment vertical="center"/>
      <protection locked="0"/>
    </xf>
    <xf numFmtId="3" fontId="5" fillId="11" borderId="10" xfId="6" applyNumberFormat="1" applyFont="1" applyFill="1" applyBorder="1" applyAlignment="1" applyProtection="1">
      <alignment vertical="center"/>
    </xf>
    <xf numFmtId="2" fontId="18" fillId="0" borderId="1" xfId="1" applyNumberFormat="1" applyFont="1" applyBorder="1" applyAlignment="1">
      <alignment vertical="center"/>
    </xf>
    <xf numFmtId="37" fontId="5" fillId="0" borderId="1" xfId="6" applyNumberFormat="1" applyFont="1" applyFill="1" applyBorder="1" applyAlignment="1" applyProtection="1">
      <alignment vertical="center"/>
    </xf>
    <xf numFmtId="2" fontId="5" fillId="0" borderId="1" xfId="6" applyNumberFormat="1" applyFont="1" applyFill="1" applyBorder="1" applyAlignment="1" applyProtection="1">
      <alignment vertical="center"/>
      <protection locked="0"/>
    </xf>
    <xf numFmtId="166" fontId="5" fillId="11" borderId="1" xfId="6" applyNumberFormat="1" applyFont="1" applyFill="1" applyBorder="1" applyAlignment="1" applyProtection="1">
      <alignment vertical="center"/>
    </xf>
    <xf numFmtId="2" fontId="5" fillId="11" borderId="1" xfId="6" applyNumberFormat="1" applyFont="1" applyFill="1" applyBorder="1" applyAlignment="1" applyProtection="1">
      <alignment vertical="center"/>
    </xf>
    <xf numFmtId="37" fontId="5" fillId="11" borderId="10" xfId="6" applyNumberFormat="1" applyFont="1" applyFill="1" applyBorder="1" applyAlignment="1" applyProtection="1">
      <alignment vertical="center"/>
    </xf>
    <xf numFmtId="0" fontId="6" fillId="5" borderId="12" xfId="6" applyNumberFormat="1" applyFont="1" applyFill="1" applyBorder="1" applyAlignment="1" applyProtection="1">
      <alignment vertical="center" wrapText="1"/>
    </xf>
    <xf numFmtId="0" fontId="12" fillId="5" borderId="13" xfId="6" applyNumberFormat="1" applyFont="1" applyFill="1" applyBorder="1" applyAlignment="1" applyProtection="1">
      <alignment horizontal="right" vertical="center"/>
    </xf>
    <xf numFmtId="0" fontId="6" fillId="5" borderId="13" xfId="6" applyNumberFormat="1" applyFont="1" applyFill="1" applyBorder="1" applyAlignment="1" applyProtection="1">
      <alignment horizontal="center" vertical="center"/>
    </xf>
    <xf numFmtId="37" fontId="6" fillId="5" borderId="13" xfId="6" applyNumberFormat="1" applyFont="1" applyFill="1" applyBorder="1" applyProtection="1"/>
    <xf numFmtId="2" fontId="6" fillId="5" borderId="13" xfId="6" applyNumberFormat="1" applyFont="1" applyFill="1" applyBorder="1" applyProtection="1"/>
    <xf numFmtId="166" fontId="6" fillId="5" borderId="13" xfId="6" applyNumberFormat="1" applyFont="1" applyFill="1" applyBorder="1" applyProtection="1"/>
    <xf numFmtId="37" fontId="6" fillId="5" borderId="14" xfId="6" applyNumberFormat="1" applyFont="1" applyFill="1" applyBorder="1" applyProtection="1"/>
    <xf numFmtId="0" fontId="18" fillId="0" borderId="2" xfId="1" applyFont="1" applyBorder="1" applyAlignment="1">
      <alignment horizontal="left" vertical="center" wrapText="1"/>
    </xf>
    <xf numFmtId="3" fontId="17" fillId="0" borderId="1" xfId="0" applyNumberFormat="1" applyFont="1" applyBorder="1" applyAlignment="1">
      <alignment vertical="center"/>
    </xf>
    <xf numFmtId="0" fontId="6" fillId="0" borderId="0" xfId="3" applyNumberFormat="1" applyFont="1" applyFill="1" applyBorder="1" applyAlignment="1" applyProtection="1">
      <alignment horizontal="center" vertical="center" wrapText="1"/>
      <protection locked="0"/>
    </xf>
    <xf numFmtId="0" fontId="6" fillId="0" borderId="0" xfId="3" applyNumberFormat="1" applyFont="1" applyFill="1" applyBorder="1" applyAlignment="1" applyProtection="1">
      <alignment horizontal="center" vertical="center"/>
    </xf>
    <xf numFmtId="43" fontId="6" fillId="0" borderId="0" xfId="3" applyFont="1" applyFill="1" applyBorder="1" applyAlignment="1" applyProtection="1">
      <alignment horizontal="center" vertical="center" wrapText="1"/>
      <protection locked="0"/>
    </xf>
    <xf numFmtId="43" fontId="6" fillId="11" borderId="9" xfId="3" applyFont="1" applyFill="1" applyBorder="1" applyAlignment="1" applyProtection="1">
      <alignment horizontal="center" vertical="center" wrapText="1"/>
      <protection locked="0"/>
    </xf>
    <xf numFmtId="43" fontId="6" fillId="5" borderId="11" xfId="3" applyFont="1" applyFill="1" applyBorder="1" applyAlignment="1" applyProtection="1">
      <alignment horizontal="center" vertical="center" wrapText="1"/>
      <protection locked="0"/>
    </xf>
    <xf numFmtId="166" fontId="5" fillId="0" borderId="1" xfId="6" applyNumberFormat="1" applyFont="1" applyFill="1" applyBorder="1" applyAlignment="1" applyProtection="1">
      <alignment vertical="center"/>
      <protection locked="0"/>
    </xf>
    <xf numFmtId="0" fontId="18" fillId="0" borderId="1" xfId="1" applyFont="1" applyBorder="1"/>
    <xf numFmtId="4" fontId="5" fillId="0" borderId="1" xfId="6" applyNumberFormat="1" applyFont="1" applyFill="1" applyBorder="1" applyAlignment="1" applyProtection="1">
      <alignment vertical="center"/>
      <protection locked="0"/>
    </xf>
    <xf numFmtId="0" fontId="18" fillId="0" borderId="1" xfId="0" applyFont="1" applyBorder="1" applyAlignment="1">
      <alignment vertical="center"/>
    </xf>
    <xf numFmtId="1" fontId="2" fillId="0" borderId="1" xfId="0" applyNumberFormat="1" applyFont="1" applyBorder="1" applyAlignment="1">
      <alignment vertical="center"/>
    </xf>
    <xf numFmtId="3" fontId="15" fillId="0" borderId="17" xfId="0" applyNumberFormat="1" applyFont="1" applyBorder="1"/>
    <xf numFmtId="43" fontId="14" fillId="7" borderId="1" xfId="26" applyFont="1" applyFill="1" applyBorder="1" applyAlignment="1" applyProtection="1">
      <alignment vertical="center"/>
    </xf>
    <xf numFmtId="43" fontId="6" fillId="5" borderId="13" xfId="26" applyFont="1" applyFill="1" applyBorder="1" applyProtection="1"/>
    <xf numFmtId="0" fontId="6" fillId="7" borderId="28" xfId="3" applyNumberFormat="1" applyFont="1" applyFill="1" applyBorder="1" applyAlignment="1" applyProtection="1">
      <alignment horizontal="center" vertical="center" wrapText="1"/>
      <protection locked="0"/>
    </xf>
    <xf numFmtId="166" fontId="5" fillId="7" borderId="28" xfId="3" applyNumberFormat="1" applyFont="1" applyFill="1" applyBorder="1" applyAlignment="1" applyProtection="1">
      <alignment vertical="center"/>
    </xf>
    <xf numFmtId="168" fontId="14" fillId="7" borderId="28" xfId="3" applyNumberFormat="1" applyFont="1" applyFill="1" applyBorder="1" applyAlignment="1" applyProtection="1">
      <alignment vertical="center"/>
    </xf>
    <xf numFmtId="2" fontId="14" fillId="7" borderId="28" xfId="3" applyNumberFormat="1" applyFont="1" applyFill="1" applyBorder="1" applyAlignment="1" applyProtection="1">
      <alignment vertical="center"/>
    </xf>
    <xf numFmtId="0" fontId="27" fillId="0" borderId="1" xfId="0" applyFont="1" applyBorder="1" applyAlignment="1">
      <alignment vertical="center" wrapText="1"/>
    </xf>
    <xf numFmtId="0" fontId="17" fillId="0" borderId="0" xfId="0" applyFont="1"/>
    <xf numFmtId="0" fontId="17" fillId="0" borderId="0" xfId="0" applyFont="1" applyAlignment="1">
      <alignment horizontal="center" vertical="center"/>
    </xf>
    <xf numFmtId="0" fontId="30" fillId="0" borderId="0" xfId="0" applyFont="1" applyAlignment="1">
      <alignment horizontal="center" vertical="center"/>
    </xf>
    <xf numFmtId="0" fontId="30" fillId="14" borderId="1" xfId="0" applyFont="1" applyFill="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17" fillId="0" borderId="1" xfId="0" applyFont="1" applyBorder="1" applyAlignment="1">
      <alignment horizontal="left" vertical="center" wrapText="1"/>
    </xf>
    <xf numFmtId="3" fontId="17" fillId="0" borderId="1" xfId="0" applyNumberFormat="1" applyFont="1" applyBorder="1" applyAlignment="1">
      <alignment horizontal="center" vertical="center"/>
    </xf>
    <xf numFmtId="171" fontId="17" fillId="0" borderId="1" xfId="28" applyNumberFormat="1" applyFont="1" applyFill="1" applyBorder="1" applyAlignment="1">
      <alignment horizontal="center" vertical="center"/>
    </xf>
    <xf numFmtId="0" fontId="17" fillId="0" borderId="1" xfId="0" applyFont="1" applyBorder="1" applyAlignment="1">
      <alignment vertical="center" wrapText="1"/>
    </xf>
    <xf numFmtId="9" fontId="17" fillId="0" borderId="1" xfId="28" applyFont="1" applyFill="1" applyBorder="1" applyAlignment="1">
      <alignment horizontal="center" vertical="center"/>
    </xf>
    <xf numFmtId="3" fontId="17" fillId="0" borderId="1" xfId="28" applyNumberFormat="1" applyFont="1" applyFill="1" applyBorder="1" applyAlignment="1">
      <alignment horizontal="center" vertical="center"/>
    </xf>
    <xf numFmtId="0" fontId="32" fillId="0" borderId="0" xfId="0" applyFont="1"/>
    <xf numFmtId="0" fontId="18" fillId="15" borderId="2" xfId="1" applyFont="1" applyFill="1" applyBorder="1" applyAlignment="1">
      <alignment horizontal="left" vertical="center" wrapText="1"/>
    </xf>
    <xf numFmtId="0" fontId="18" fillId="15" borderId="1" xfId="1" applyFont="1" applyFill="1" applyBorder="1" applyAlignment="1">
      <alignment vertical="center" wrapText="1"/>
    </xf>
    <xf numFmtId="0" fontId="18" fillId="15" borderId="2" xfId="1" applyFont="1" applyFill="1" applyBorder="1" applyAlignment="1">
      <alignment vertical="center" wrapText="1"/>
    </xf>
    <xf numFmtId="0" fontId="16" fillId="8" borderId="0" xfId="0" applyFont="1" applyFill="1" applyAlignment="1">
      <alignment horizontal="left"/>
    </xf>
    <xf numFmtId="0" fontId="34" fillId="0" borderId="6" xfId="5" applyFont="1" applyBorder="1" applyAlignment="1">
      <alignment horizontal="center"/>
    </xf>
    <xf numFmtId="3" fontId="14" fillId="0" borderId="1" xfId="3" applyNumberFormat="1" applyFont="1" applyFill="1" applyBorder="1" applyAlignment="1" applyProtection="1">
      <alignment vertical="center"/>
      <protection locked="0"/>
    </xf>
    <xf numFmtId="3" fontId="14" fillId="7" borderId="1" xfId="3" applyNumberFormat="1" applyFont="1" applyFill="1" applyBorder="1" applyAlignment="1" applyProtection="1">
      <alignment vertical="center"/>
    </xf>
    <xf numFmtId="3" fontId="14" fillId="7" borderId="1" xfId="26" applyNumberFormat="1" applyFont="1" applyFill="1" applyBorder="1" applyAlignment="1" applyProtection="1">
      <alignment vertical="center"/>
    </xf>
    <xf numFmtId="3" fontId="18" fillId="0" borderId="1" xfId="3" applyNumberFormat="1" applyFont="1" applyFill="1" applyBorder="1" applyAlignment="1" applyProtection="1">
      <alignment vertical="center"/>
      <protection locked="0"/>
    </xf>
    <xf numFmtId="3" fontId="2" fillId="0" borderId="28" xfId="0" applyNumberFormat="1" applyFont="1" applyBorder="1" applyAlignment="1">
      <alignment vertical="center"/>
    </xf>
    <xf numFmtId="4" fontId="14" fillId="0" borderId="1" xfId="3" applyNumberFormat="1" applyFont="1" applyFill="1" applyBorder="1" applyAlignment="1" applyProtection="1">
      <alignment vertical="center"/>
      <protection locked="0"/>
    </xf>
    <xf numFmtId="4" fontId="14" fillId="7" borderId="1" xfId="3" applyNumberFormat="1" applyFont="1" applyFill="1" applyBorder="1" applyAlignment="1" applyProtection="1">
      <alignment vertical="center"/>
    </xf>
    <xf numFmtId="0" fontId="14" fillId="0" borderId="0" xfId="0" applyFont="1"/>
    <xf numFmtId="0" fontId="5" fillId="2" borderId="2"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1" xfId="1" applyFont="1" applyFill="1" applyBorder="1" applyAlignment="1">
      <alignment horizontal="center" vertical="center" wrapText="1"/>
    </xf>
    <xf numFmtId="3" fontId="18" fillId="0" borderId="1" xfId="0" applyNumberFormat="1" applyFont="1" applyBorder="1" applyAlignment="1">
      <alignment vertical="center"/>
    </xf>
    <xf numFmtId="4" fontId="18" fillId="0" borderId="1" xfId="0" applyNumberFormat="1" applyFont="1" applyBorder="1" applyAlignment="1">
      <alignment vertical="center"/>
    </xf>
    <xf numFmtId="0" fontId="14" fillId="0" borderId="1" xfId="27" applyFont="1" applyFill="1" applyBorder="1" applyAlignment="1">
      <alignment vertical="center" wrapText="1"/>
    </xf>
    <xf numFmtId="3" fontId="14" fillId="0" borderId="1" xfId="27" applyNumberFormat="1" applyFont="1" applyFill="1" applyBorder="1" applyAlignment="1" applyProtection="1">
      <alignment vertical="center"/>
      <protection locked="0"/>
    </xf>
    <xf numFmtId="3" fontId="14" fillId="0" borderId="1" xfId="0" applyNumberFormat="1" applyFont="1" applyBorder="1" applyAlignment="1">
      <alignment vertical="center" wrapText="1"/>
    </xf>
    <xf numFmtId="4" fontId="14" fillId="0" borderId="1" xfId="0" applyNumberFormat="1" applyFont="1" applyBorder="1" applyAlignment="1">
      <alignment vertical="center" wrapText="1"/>
    </xf>
    <xf numFmtId="0" fontId="36" fillId="4" borderId="22" xfId="0" applyFont="1" applyFill="1" applyBorder="1" applyAlignment="1">
      <alignment horizontal="center" vertical="center" wrapText="1"/>
    </xf>
    <xf numFmtId="0" fontId="36" fillId="4" borderId="32"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36" fillId="4" borderId="24" xfId="0" applyFont="1" applyFill="1" applyBorder="1" applyAlignment="1">
      <alignment horizontal="center" vertical="center" wrapText="1"/>
    </xf>
    <xf numFmtId="0" fontId="26" fillId="5" borderId="11" xfId="3" applyNumberFormat="1" applyFont="1" applyFill="1" applyBorder="1" applyAlignment="1" applyProtection="1">
      <alignment horizontal="left" vertical="center"/>
    </xf>
    <xf numFmtId="0" fontId="12" fillId="0" borderId="9" xfId="3" applyNumberFormat="1" applyFont="1" applyFill="1" applyBorder="1" applyAlignment="1" applyProtection="1">
      <alignment horizontal="center" vertical="center" wrapText="1"/>
      <protection locked="0"/>
    </xf>
    <xf numFmtId="0" fontId="5" fillId="4" borderId="4" xfId="1" applyFont="1" applyFill="1" applyBorder="1" applyAlignment="1">
      <alignment horizontal="center" vertical="center" wrapText="1"/>
    </xf>
    <xf numFmtId="4" fontId="5" fillId="0" borderId="4" xfId="3" applyNumberFormat="1" applyFont="1" applyFill="1" applyBorder="1" applyAlignment="1" applyProtection="1">
      <alignment vertical="center"/>
    </xf>
    <xf numFmtId="4" fontId="5" fillId="7" borderId="4" xfId="3" applyNumberFormat="1" applyFont="1" applyFill="1" applyBorder="1" applyAlignment="1" applyProtection="1">
      <alignment vertical="center"/>
    </xf>
    <xf numFmtId="3" fontId="5" fillId="0" borderId="4" xfId="3" applyNumberFormat="1" applyFont="1" applyFill="1" applyBorder="1" applyAlignment="1" applyProtection="1">
      <alignment vertical="center"/>
    </xf>
    <xf numFmtId="37" fontId="5" fillId="7" borderId="4" xfId="3" applyNumberFormat="1" applyFont="1" applyFill="1" applyBorder="1" applyAlignment="1" applyProtection="1">
      <alignment vertical="center"/>
    </xf>
    <xf numFmtId="4" fontId="5" fillId="7" borderId="33" xfId="3" applyNumberFormat="1" applyFont="1" applyFill="1" applyBorder="1" applyAlignment="1" applyProtection="1">
      <alignment vertical="center"/>
    </xf>
    <xf numFmtId="4" fontId="6" fillId="5" borderId="34" xfId="3" applyNumberFormat="1" applyFont="1" applyFill="1" applyBorder="1" applyProtection="1"/>
    <xf numFmtId="0" fontId="5" fillId="2" borderId="1" xfId="1" applyFont="1" applyFill="1" applyBorder="1" applyAlignment="1">
      <alignment horizontal="center" vertical="center" wrapText="1"/>
    </xf>
    <xf numFmtId="0" fontId="14" fillId="0" borderId="1" xfId="0" applyFont="1" applyBorder="1" applyAlignment="1">
      <alignment vertical="center" wrapText="1"/>
    </xf>
    <xf numFmtId="0" fontId="12" fillId="0" borderId="30" xfId="27" applyNumberFormat="1" applyFont="1" applyFill="1" applyBorder="1" applyAlignment="1" applyProtection="1">
      <alignment horizontal="center" vertical="center" wrapText="1"/>
      <protection locked="0"/>
    </xf>
    <xf numFmtId="0" fontId="14" fillId="0" borderId="31" xfId="27" applyNumberFormat="1" applyFont="1" applyFill="1" applyBorder="1" applyAlignment="1" applyProtection="1">
      <alignment vertical="center" wrapText="1"/>
      <protection locked="0"/>
    </xf>
    <xf numFmtId="0" fontId="14" fillId="0" borderId="28" xfId="27" applyNumberFormat="1" applyFont="1" applyFill="1" applyBorder="1" applyAlignment="1" applyProtection="1">
      <alignment horizontal="center" vertical="center" wrapText="1"/>
      <protection locked="0"/>
    </xf>
    <xf numFmtId="166" fontId="14" fillId="0" borderId="28" xfId="27" applyNumberFormat="1" applyFont="1" applyFill="1" applyBorder="1" applyAlignment="1" applyProtection="1">
      <alignment vertical="center"/>
    </xf>
    <xf numFmtId="168" fontId="14" fillId="0" borderId="28" xfId="27" applyNumberFormat="1" applyFont="1" applyFill="1" applyBorder="1" applyAlignment="1" applyProtection="1">
      <alignment vertical="center"/>
    </xf>
    <xf numFmtId="2" fontId="14" fillId="0" borderId="28" xfId="27" applyNumberFormat="1" applyFont="1" applyFill="1" applyBorder="1" applyAlignment="1" applyProtection="1">
      <alignment vertical="center"/>
    </xf>
    <xf numFmtId="4" fontId="14" fillId="0" borderId="33" xfId="27" applyNumberFormat="1" applyFont="1" applyFill="1" applyBorder="1" applyAlignment="1" applyProtection="1">
      <alignment vertical="center"/>
    </xf>
    <xf numFmtId="0" fontId="17" fillId="13" borderId="1" xfId="0" applyFont="1" applyFill="1" applyBorder="1" applyAlignment="1">
      <alignment vertical="top" wrapText="1"/>
    </xf>
    <xf numFmtId="0" fontId="17" fillId="13" borderId="1" xfId="0" applyFont="1" applyFill="1" applyBorder="1" applyAlignment="1">
      <alignment vertical="center" wrapText="1"/>
    </xf>
    <xf numFmtId="0" fontId="17" fillId="0" borderId="1" xfId="0" applyFont="1" applyBorder="1" applyAlignment="1">
      <alignment vertical="top" wrapText="1"/>
    </xf>
    <xf numFmtId="0" fontId="0" fillId="0" borderId="1" xfId="0" applyBorder="1" applyAlignment="1">
      <alignment horizontal="left"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1" fillId="0" borderId="0" xfId="0" applyFont="1" applyAlignment="1">
      <alignment vertical="center" wrapText="1"/>
    </xf>
    <xf numFmtId="0" fontId="1" fillId="13" borderId="0" xfId="0" applyFont="1" applyFill="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43" fontId="14" fillId="0" borderId="9" xfId="3" applyFont="1" applyFill="1" applyBorder="1" applyAlignment="1" applyProtection="1">
      <alignment horizontal="center" vertical="center" wrapText="1"/>
      <protection locked="0"/>
    </xf>
    <xf numFmtId="166" fontId="14" fillId="0" borderId="10" xfId="3" applyNumberFormat="1" applyFont="1" applyFill="1" applyBorder="1" applyAlignment="1" applyProtection="1">
      <alignment vertical="center"/>
    </xf>
    <xf numFmtId="0" fontId="14" fillId="0" borderId="9" xfId="3" applyNumberFormat="1" applyFont="1" applyFill="1" applyBorder="1" applyAlignment="1" applyProtection="1">
      <alignment horizontal="center" vertical="center" wrapText="1"/>
      <protection locked="0"/>
    </xf>
    <xf numFmtId="166" fontId="14" fillId="0" borderId="1" xfId="3" applyNumberFormat="1" applyFont="1" applyFill="1" applyBorder="1" applyAlignment="1" applyProtection="1">
      <alignment vertical="center"/>
    </xf>
    <xf numFmtId="0" fontId="22" fillId="0" borderId="0" xfId="0" applyFont="1"/>
    <xf numFmtId="0" fontId="40" fillId="9" borderId="9" xfId="1" applyFont="1" applyFill="1" applyBorder="1" applyAlignment="1">
      <alignment horizontal="center" vertical="center" wrapText="1"/>
    </xf>
    <xf numFmtId="43" fontId="14" fillId="6" borderId="2" xfId="3" applyFont="1" applyFill="1" applyBorder="1" applyAlignment="1" applyProtection="1">
      <alignment vertical="center" wrapText="1"/>
      <protection locked="0"/>
    </xf>
    <xf numFmtId="43" fontId="16" fillId="6" borderId="1" xfId="3" applyFont="1" applyFill="1" applyBorder="1" applyAlignment="1" applyProtection="1">
      <alignment horizontal="right" vertical="center" wrapText="1"/>
      <protection locked="0"/>
    </xf>
    <xf numFmtId="43" fontId="16" fillId="6" borderId="1" xfId="3" applyFont="1" applyFill="1" applyBorder="1" applyAlignment="1" applyProtection="1">
      <alignment horizontal="center" vertical="center" wrapText="1"/>
      <protection locked="0"/>
    </xf>
    <xf numFmtId="166" fontId="14" fillId="6" borderId="1" xfId="3" applyNumberFormat="1" applyFont="1" applyFill="1" applyBorder="1" applyAlignment="1" applyProtection="1">
      <alignment vertical="center"/>
    </xf>
    <xf numFmtId="43" fontId="14" fillId="6" borderId="1" xfId="3" applyFont="1" applyFill="1" applyBorder="1" applyAlignment="1" applyProtection="1">
      <alignment vertical="center"/>
    </xf>
    <xf numFmtId="3" fontId="14" fillId="6" borderId="1" xfId="3" applyNumberFormat="1" applyFont="1" applyFill="1" applyBorder="1" applyAlignment="1" applyProtection="1">
      <alignment vertical="center"/>
    </xf>
    <xf numFmtId="3" fontId="14" fillId="6" borderId="10" xfId="3" applyNumberFormat="1" applyFont="1" applyFill="1" applyBorder="1" applyAlignment="1" applyProtection="1">
      <alignment vertical="center"/>
    </xf>
    <xf numFmtId="0" fontId="22" fillId="0" borderId="1" xfId="0" applyFont="1" applyBorder="1" applyAlignment="1">
      <alignment vertical="center" wrapText="1"/>
    </xf>
    <xf numFmtId="3" fontId="22" fillId="0" borderId="1" xfId="0" applyNumberFormat="1" applyFont="1" applyBorder="1" applyAlignment="1">
      <alignment vertical="center" wrapText="1"/>
    </xf>
    <xf numFmtId="4" fontId="22" fillId="0" borderId="1" xfId="0" applyNumberFormat="1" applyFont="1" applyBorder="1" applyAlignment="1">
      <alignment vertical="center" wrapText="1"/>
    </xf>
    <xf numFmtId="0" fontId="14" fillId="6" borderId="2" xfId="3" applyNumberFormat="1" applyFont="1" applyFill="1" applyBorder="1" applyAlignment="1" applyProtection="1">
      <alignment vertical="center" wrapText="1"/>
      <protection locked="0"/>
    </xf>
    <xf numFmtId="0" fontId="16" fillId="6" borderId="1" xfId="3" applyNumberFormat="1" applyFont="1" applyFill="1" applyBorder="1" applyAlignment="1" applyProtection="1">
      <alignment horizontal="right" vertical="center" wrapText="1"/>
      <protection locked="0"/>
    </xf>
    <xf numFmtId="0" fontId="16" fillId="6" borderId="1" xfId="3" applyNumberFormat="1" applyFont="1" applyFill="1" applyBorder="1" applyAlignment="1" applyProtection="1">
      <alignment horizontal="center" vertical="center" wrapText="1"/>
      <protection locked="0"/>
    </xf>
    <xf numFmtId="41" fontId="14" fillId="6" borderId="1" xfId="3" applyNumberFormat="1" applyFont="1" applyFill="1" applyBorder="1" applyAlignment="1" applyProtection="1">
      <alignment vertical="center"/>
    </xf>
    <xf numFmtId="37" fontId="14" fillId="6" borderId="1" xfId="3" applyNumberFormat="1" applyFont="1" applyFill="1" applyBorder="1" applyAlignment="1" applyProtection="1">
      <alignment vertical="center"/>
    </xf>
    <xf numFmtId="37" fontId="14" fillId="6" borderId="10" xfId="3" applyNumberFormat="1" applyFont="1" applyFill="1" applyBorder="1" applyAlignment="1" applyProtection="1">
      <alignment vertical="center"/>
    </xf>
    <xf numFmtId="0" fontId="14" fillId="0" borderId="2" xfId="3" applyNumberFormat="1" applyFont="1" applyFill="1" applyBorder="1" applyAlignment="1" applyProtection="1">
      <alignment vertical="center" wrapText="1"/>
      <protection locked="0"/>
    </xf>
    <xf numFmtId="43" fontId="14" fillId="0" borderId="1" xfId="3" applyFont="1" applyFill="1" applyBorder="1" applyAlignment="1" applyProtection="1">
      <alignment vertical="center" wrapText="1"/>
      <protection locked="0"/>
    </xf>
    <xf numFmtId="43" fontId="16" fillId="0" borderId="1" xfId="3" applyFont="1" applyFill="1" applyBorder="1" applyAlignment="1" applyProtection="1">
      <alignment horizontal="center" vertical="center" wrapText="1"/>
      <protection locked="0"/>
    </xf>
    <xf numFmtId="166" fontId="14" fillId="0" borderId="1" xfId="6" applyNumberFormat="1" applyFont="1" applyFill="1" applyBorder="1" applyAlignment="1" applyProtection="1">
      <alignment vertical="center"/>
      <protection locked="0"/>
    </xf>
    <xf numFmtId="166" fontId="14" fillId="0" borderId="1" xfId="3" applyNumberFormat="1" applyFont="1" applyFill="1" applyBorder="1" applyAlignment="1" applyProtection="1">
      <alignment vertical="center"/>
      <protection locked="0"/>
    </xf>
    <xf numFmtId="2" fontId="14" fillId="0" borderId="1" xfId="3" applyNumberFormat="1" applyFont="1" applyFill="1" applyBorder="1" applyAlignment="1" applyProtection="1">
      <alignment vertical="center"/>
      <protection locked="0"/>
    </xf>
    <xf numFmtId="165" fontId="14" fillId="0" borderId="1" xfId="3" applyNumberFormat="1" applyFont="1" applyFill="1" applyBorder="1" applyAlignment="1" applyProtection="1">
      <alignment vertical="center"/>
      <protection locked="0"/>
    </xf>
    <xf numFmtId="0" fontId="18" fillId="0" borderId="2" xfId="0" applyFont="1" applyBorder="1" applyAlignment="1">
      <alignment horizontal="center" vertical="center" wrapText="1"/>
    </xf>
    <xf numFmtId="0" fontId="18" fillId="0" borderId="1" xfId="0" applyFont="1" applyBorder="1" applyAlignment="1">
      <alignment horizontal="left" vertical="center" wrapText="1"/>
    </xf>
    <xf numFmtId="170" fontId="0" fillId="0" borderId="0" xfId="0" applyNumberFormat="1"/>
    <xf numFmtId="3" fontId="17" fillId="16" borderId="1" xfId="28" applyNumberFormat="1" applyFont="1" applyFill="1" applyBorder="1" applyAlignment="1">
      <alignment horizontal="center" vertical="center"/>
    </xf>
    <xf numFmtId="171" fontId="17" fillId="16" borderId="1" xfId="28" applyNumberFormat="1" applyFont="1" applyFill="1" applyBorder="1" applyAlignment="1">
      <alignment horizontal="center" vertical="center"/>
    </xf>
    <xf numFmtId="3" fontId="17" fillId="16" borderId="1" xfId="0" applyNumberFormat="1" applyFont="1" applyFill="1" applyBorder="1" applyAlignment="1">
      <alignment horizontal="center" vertical="center"/>
    </xf>
    <xf numFmtId="1" fontId="17" fillId="16" borderId="1" xfId="28" applyNumberFormat="1" applyFont="1" applyFill="1" applyBorder="1" applyAlignment="1">
      <alignment horizontal="center" vertical="center"/>
    </xf>
    <xf numFmtId="9" fontId="17" fillId="16" borderId="1" xfId="28" applyFont="1" applyFill="1" applyBorder="1" applyAlignment="1">
      <alignment horizontal="center" vertical="center"/>
    </xf>
    <xf numFmtId="3" fontId="14" fillId="6" borderId="1" xfId="0" applyNumberFormat="1" applyFont="1" applyFill="1" applyBorder="1" applyAlignment="1">
      <alignment horizontal="center" vertical="center"/>
    </xf>
    <xf numFmtId="3" fontId="0" fillId="6" borderId="1" xfId="26" applyNumberFormat="1" applyFont="1" applyFill="1" applyBorder="1" applyAlignment="1">
      <alignment horizontal="center" vertical="center"/>
    </xf>
    <xf numFmtId="0" fontId="7" fillId="3" borderId="3" xfId="1" applyFont="1" applyFill="1" applyBorder="1" applyAlignment="1">
      <alignment horizontal="center" vertical="center" wrapText="1"/>
    </xf>
    <xf numFmtId="2" fontId="15" fillId="0" borderId="27" xfId="0" applyNumberFormat="1" applyFont="1" applyBorder="1" applyAlignment="1">
      <alignment horizontal="right"/>
    </xf>
    <xf numFmtId="0" fontId="0" fillId="0" borderId="35" xfId="0" applyBorder="1" applyAlignment="1">
      <alignment vertical="center" wrapText="1"/>
    </xf>
    <xf numFmtId="164" fontId="5" fillId="7" borderId="1" xfId="3" applyNumberFormat="1" applyFont="1" applyFill="1" applyBorder="1" applyAlignment="1" applyProtection="1">
      <alignment vertical="center"/>
    </xf>
    <xf numFmtId="170" fontId="5" fillId="7" borderId="1" xfId="3" applyNumberFormat="1" applyFont="1" applyFill="1" applyBorder="1" applyAlignment="1" applyProtection="1">
      <alignment vertical="center"/>
    </xf>
    <xf numFmtId="164" fontId="14" fillId="6" borderId="1" xfId="3" applyNumberFormat="1" applyFont="1" applyFill="1" applyBorder="1" applyAlignment="1" applyProtection="1">
      <alignment vertical="center"/>
    </xf>
    <xf numFmtId="164" fontId="22" fillId="0" borderId="1" xfId="0" applyNumberFormat="1" applyFont="1" applyBorder="1" applyAlignment="1">
      <alignment vertical="center" wrapText="1"/>
    </xf>
    <xf numFmtId="164" fontId="17" fillId="0" borderId="1" xfId="0" applyNumberFormat="1" applyFont="1" applyBorder="1" applyAlignment="1">
      <alignment vertical="center"/>
    </xf>
    <xf numFmtId="164" fontId="14" fillId="11" borderId="1" xfId="6" applyNumberFormat="1" applyFont="1" applyFill="1" applyBorder="1" applyAlignment="1" applyProtection="1">
      <alignment vertical="center"/>
    </xf>
    <xf numFmtId="164" fontId="5" fillId="11" borderId="1" xfId="6" applyNumberFormat="1" applyFont="1" applyFill="1" applyBorder="1" applyAlignment="1" applyProtection="1">
      <alignment vertical="center"/>
    </xf>
    <xf numFmtId="170" fontId="6" fillId="5" borderId="13" xfId="6" applyNumberFormat="1" applyFont="1" applyFill="1" applyBorder="1" applyProtection="1"/>
    <xf numFmtId="170" fontId="6" fillId="5" borderId="13" xfId="3" applyNumberFormat="1" applyFont="1" applyFill="1" applyBorder="1" applyProtection="1"/>
    <xf numFmtId="3" fontId="2" fillId="0" borderId="1" xfId="0" applyNumberFormat="1" applyFont="1" applyBorder="1" applyAlignment="1">
      <alignment vertical="center"/>
    </xf>
    <xf numFmtId="0" fontId="12" fillId="13" borderId="9" xfId="3" applyNumberFormat="1" applyFont="1" applyFill="1" applyBorder="1" applyAlignment="1" applyProtection="1">
      <alignment horizontal="center" vertical="center" wrapText="1"/>
      <protection locked="0"/>
    </xf>
    <xf numFmtId="0" fontId="18" fillId="13" borderId="1" xfId="1" applyFont="1" applyFill="1" applyBorder="1" applyAlignment="1">
      <alignment vertical="center"/>
    </xf>
    <xf numFmtId="0" fontId="18" fillId="13" borderId="1" xfId="1" applyFont="1" applyFill="1" applyBorder="1" applyAlignment="1">
      <alignment vertical="center" wrapText="1"/>
    </xf>
    <xf numFmtId="3" fontId="14" fillId="13" borderId="1" xfId="3" applyNumberFormat="1" applyFont="1" applyFill="1" applyBorder="1" applyAlignment="1" applyProtection="1">
      <alignment vertical="center"/>
      <protection locked="0"/>
    </xf>
    <xf numFmtId="3" fontId="5" fillId="13" borderId="1" xfId="3" applyNumberFormat="1" applyFont="1" applyFill="1" applyBorder="1" applyAlignment="1" applyProtection="1">
      <alignment vertical="center"/>
    </xf>
    <xf numFmtId="4" fontId="14" fillId="13" borderId="1" xfId="3" applyNumberFormat="1" applyFont="1" applyFill="1" applyBorder="1" applyAlignment="1" applyProtection="1">
      <alignment vertical="center"/>
      <protection locked="0"/>
    </xf>
    <xf numFmtId="3" fontId="18" fillId="13" borderId="1" xfId="1" applyNumberFormat="1" applyFont="1" applyFill="1" applyBorder="1" applyAlignment="1">
      <alignment vertical="center"/>
    </xf>
    <xf numFmtId="3" fontId="18" fillId="13" borderId="1" xfId="3" applyNumberFormat="1" applyFont="1" applyFill="1" applyBorder="1" applyAlignment="1" applyProtection="1">
      <alignment vertical="center"/>
      <protection locked="0"/>
    </xf>
    <xf numFmtId="3" fontId="2" fillId="13" borderId="28" xfId="0" applyNumberFormat="1" applyFont="1" applyFill="1" applyBorder="1" applyAlignment="1">
      <alignment vertical="center"/>
    </xf>
    <xf numFmtId="4" fontId="5" fillId="13" borderId="4" xfId="3" applyNumberFormat="1" applyFont="1" applyFill="1" applyBorder="1" applyAlignment="1" applyProtection="1">
      <alignment vertical="center"/>
    </xf>
    <xf numFmtId="0" fontId="14" fillId="13" borderId="1" xfId="0" applyFont="1" applyFill="1" applyBorder="1" applyAlignment="1">
      <alignment vertical="center" wrapText="1"/>
    </xf>
    <xf numFmtId="0" fontId="18" fillId="13" borderId="2" xfId="1" applyFont="1" applyFill="1" applyBorder="1" applyAlignment="1">
      <alignment vertical="center"/>
    </xf>
    <xf numFmtId="3" fontId="14" fillId="13" borderId="0" xfId="0" applyNumberFormat="1" applyFont="1" applyFill="1" applyAlignment="1">
      <alignment vertical="center"/>
    </xf>
    <xf numFmtId="0" fontId="18" fillId="13" borderId="2" xfId="0" applyFont="1" applyFill="1" applyBorder="1" applyAlignment="1">
      <alignment vertical="center" wrapText="1"/>
    </xf>
    <xf numFmtId="0" fontId="18" fillId="13" borderId="1" xfId="0" applyFont="1" applyFill="1" applyBorder="1" applyAlignment="1">
      <alignment vertical="center" wrapText="1"/>
    </xf>
    <xf numFmtId="0" fontId="18" fillId="13" borderId="1" xfId="0" applyFont="1" applyFill="1" applyBorder="1" applyAlignment="1">
      <alignment vertical="center"/>
    </xf>
    <xf numFmtId="3" fontId="18" fillId="13" borderId="1" xfId="0" applyNumberFormat="1" applyFont="1" applyFill="1" applyBorder="1" applyAlignment="1">
      <alignment vertical="center"/>
    </xf>
    <xf numFmtId="3" fontId="14" fillId="13" borderId="1" xfId="27" applyNumberFormat="1" applyFont="1" applyFill="1" applyBorder="1" applyAlignment="1" applyProtection="1">
      <alignment vertical="center"/>
    </xf>
    <xf numFmtId="4" fontId="18" fillId="13" borderId="1" xfId="0" applyNumberFormat="1" applyFont="1" applyFill="1" applyBorder="1" applyAlignment="1">
      <alignment vertical="center"/>
    </xf>
    <xf numFmtId="0" fontId="18" fillId="13" borderId="2" xfId="1" applyFont="1" applyFill="1" applyBorder="1" applyAlignment="1">
      <alignment horizontal="left" vertical="center" wrapText="1"/>
    </xf>
    <xf numFmtId="169" fontId="18" fillId="13" borderId="1" xfId="1" applyNumberFormat="1" applyFont="1" applyFill="1" applyBorder="1" applyAlignment="1">
      <alignment vertical="center"/>
    </xf>
    <xf numFmtId="1" fontId="5" fillId="13" borderId="1" xfId="3" applyNumberFormat="1" applyFont="1" applyFill="1" applyBorder="1" applyAlignment="1" applyProtection="1">
      <alignment vertical="center"/>
      <protection locked="0"/>
    </xf>
    <xf numFmtId="4" fontId="14" fillId="13" borderId="1" xfId="0" applyNumberFormat="1" applyFont="1" applyFill="1" applyBorder="1" applyAlignment="1">
      <alignment vertical="center" wrapText="1"/>
    </xf>
    <xf numFmtId="3" fontId="5" fillId="13" borderId="1" xfId="3" applyNumberFormat="1" applyFont="1" applyFill="1" applyBorder="1" applyAlignment="1" applyProtection="1">
      <alignment vertical="center"/>
      <protection locked="0"/>
    </xf>
    <xf numFmtId="0" fontId="18" fillId="13" borderId="2" xfId="1" applyFont="1" applyFill="1" applyBorder="1" applyAlignment="1">
      <alignment vertical="center" wrapText="1"/>
    </xf>
    <xf numFmtId="3" fontId="14" fillId="13" borderId="1" xfId="0" applyNumberFormat="1" applyFont="1" applyFill="1" applyBorder="1" applyAlignment="1">
      <alignment vertical="center" wrapText="1"/>
    </xf>
    <xf numFmtId="0" fontId="36" fillId="13" borderId="9" xfId="3" applyNumberFormat="1" applyFont="1" applyFill="1" applyBorder="1" applyAlignment="1" applyProtection="1">
      <alignment horizontal="center" vertical="center" wrapText="1"/>
      <protection locked="0"/>
    </xf>
    <xf numFmtId="0" fontId="18" fillId="13" borderId="2" xfId="0" applyFont="1" applyFill="1" applyBorder="1" applyAlignment="1">
      <alignment horizontal="center" vertical="center" wrapText="1"/>
    </xf>
    <xf numFmtId="0" fontId="17" fillId="13" borderId="1" xfId="0" applyFont="1" applyFill="1" applyBorder="1" applyAlignment="1">
      <alignment vertical="center"/>
    </xf>
    <xf numFmtId="3" fontId="17" fillId="13" borderId="1" xfId="0" applyNumberFormat="1" applyFont="1" applyFill="1" applyBorder="1" applyAlignment="1">
      <alignment vertical="center"/>
    </xf>
    <xf numFmtId="4" fontId="17" fillId="13" borderId="1" xfId="0" applyNumberFormat="1" applyFont="1" applyFill="1" applyBorder="1" applyAlignment="1">
      <alignment vertical="center"/>
    </xf>
    <xf numFmtId="37" fontId="18" fillId="13" borderId="1" xfId="3" applyNumberFormat="1" applyFont="1" applyFill="1" applyBorder="1" applyAlignment="1" applyProtection="1">
      <alignment vertical="center"/>
      <protection locked="0"/>
    </xf>
    <xf numFmtId="166" fontId="14" fillId="13" borderId="10" xfId="3" applyNumberFormat="1" applyFont="1" applyFill="1" applyBorder="1" applyAlignment="1" applyProtection="1">
      <alignment vertical="center"/>
    </xf>
    <xf numFmtId="0" fontId="18" fillId="13" borderId="1" xfId="0" applyFont="1" applyFill="1" applyBorder="1" applyAlignment="1">
      <alignment horizontal="left" vertical="center" wrapText="1"/>
    </xf>
    <xf numFmtId="0" fontId="22" fillId="13" borderId="1" xfId="0" applyFont="1" applyFill="1" applyBorder="1" applyAlignment="1">
      <alignment vertical="center" wrapText="1"/>
    </xf>
    <xf numFmtId="3" fontId="22" fillId="13" borderId="1" xfId="0" applyNumberFormat="1" applyFont="1" applyFill="1" applyBorder="1" applyAlignment="1">
      <alignment vertical="center" wrapText="1"/>
    </xf>
    <xf numFmtId="4" fontId="22" fillId="13" borderId="1" xfId="0" applyNumberFormat="1" applyFont="1" applyFill="1" applyBorder="1" applyAlignment="1">
      <alignment vertical="center" wrapText="1"/>
    </xf>
    <xf numFmtId="164" fontId="17" fillId="13" borderId="1" xfId="0" applyNumberFormat="1" applyFont="1" applyFill="1" applyBorder="1" applyAlignment="1">
      <alignment vertical="center"/>
    </xf>
    <xf numFmtId="166" fontId="18" fillId="13" borderId="1" xfId="3" applyNumberFormat="1" applyFont="1" applyFill="1" applyBorder="1" applyAlignment="1" applyProtection="1">
      <alignment vertical="center"/>
      <protection locked="0"/>
    </xf>
    <xf numFmtId="166" fontId="18" fillId="13" borderId="10" xfId="3" applyNumberFormat="1" applyFont="1" applyFill="1" applyBorder="1" applyAlignment="1" applyProtection="1">
      <alignment vertical="center"/>
    </xf>
    <xf numFmtId="0" fontId="18" fillId="13" borderId="29" xfId="1" applyFont="1" applyFill="1" applyBorder="1" applyAlignment="1">
      <alignment vertical="center" wrapText="1"/>
    </xf>
    <xf numFmtId="0" fontId="18" fillId="13" borderId="29" xfId="1" applyFont="1" applyFill="1" applyBorder="1" applyAlignment="1">
      <alignment vertical="center"/>
    </xf>
    <xf numFmtId="37" fontId="14" fillId="13" borderId="1" xfId="6" applyNumberFormat="1" applyFont="1" applyFill="1" applyBorder="1" applyAlignment="1" applyProtection="1">
      <alignment vertical="center"/>
      <protection locked="0"/>
    </xf>
    <xf numFmtId="1" fontId="5" fillId="13" borderId="1" xfId="6" applyNumberFormat="1" applyFont="1" applyFill="1" applyBorder="1" applyAlignment="1" applyProtection="1">
      <alignment vertical="center"/>
      <protection locked="0"/>
    </xf>
    <xf numFmtId="37" fontId="18" fillId="13" borderId="1" xfId="6" applyNumberFormat="1" applyFont="1" applyFill="1" applyBorder="1" applyAlignment="1" applyProtection="1">
      <alignment vertical="center"/>
    </xf>
    <xf numFmtId="39" fontId="14" fillId="13" borderId="1" xfId="6" applyNumberFormat="1" applyFont="1" applyFill="1" applyBorder="1" applyAlignment="1" applyProtection="1">
      <alignment vertical="center"/>
      <protection locked="0"/>
    </xf>
    <xf numFmtId="169" fontId="18" fillId="13" borderId="4" xfId="6" applyNumberFormat="1" applyFont="1" applyFill="1" applyBorder="1" applyAlignment="1" applyProtection="1">
      <alignment vertical="center"/>
    </xf>
    <xf numFmtId="1" fontId="18" fillId="13" borderId="1" xfId="6" applyNumberFormat="1" applyFont="1" applyFill="1" applyBorder="1" applyAlignment="1" applyProtection="1">
      <alignment vertical="center"/>
      <protection locked="0"/>
    </xf>
    <xf numFmtId="1" fontId="2" fillId="13" borderId="1" xfId="0" applyNumberFormat="1" applyFont="1" applyFill="1" applyBorder="1" applyAlignment="1">
      <alignment vertical="center"/>
    </xf>
    <xf numFmtId="1" fontId="19" fillId="13" borderId="1" xfId="0" applyNumberFormat="1" applyFont="1" applyFill="1" applyBorder="1" applyAlignment="1">
      <alignment vertical="center"/>
    </xf>
    <xf numFmtId="1" fontId="14" fillId="13" borderId="10" xfId="6" applyNumberFormat="1" applyFont="1" applyFill="1" applyBorder="1" applyAlignment="1" applyProtection="1">
      <alignment vertical="center"/>
    </xf>
    <xf numFmtId="0" fontId="0" fillId="13" borderId="0" xfId="0" applyFill="1"/>
    <xf numFmtId="0" fontId="42" fillId="0" borderId="0" xfId="0" applyFont="1" applyAlignment="1">
      <alignment horizontal="center" vertical="center" wrapText="1"/>
    </xf>
    <xf numFmtId="0" fontId="26" fillId="7" borderId="20" xfId="3" applyNumberFormat="1" applyFont="1" applyFill="1" applyBorder="1" applyAlignment="1" applyProtection="1">
      <alignment horizontal="left" vertical="center" wrapText="1"/>
      <protection locked="0"/>
    </xf>
    <xf numFmtId="0" fontId="33" fillId="0" borderId="5" xfId="0" applyFont="1" applyBorder="1" applyAlignment="1">
      <alignment horizontal="left" vertical="center" wrapText="1"/>
    </xf>
    <xf numFmtId="0" fontId="33" fillId="0" borderId="2" xfId="0" applyFont="1" applyBorder="1" applyAlignment="1">
      <alignment horizontal="left" vertical="center" wrapText="1"/>
    </xf>
    <xf numFmtId="0" fontId="26" fillId="5" borderId="20" xfId="3" applyNumberFormat="1" applyFont="1" applyFill="1" applyBorder="1" applyAlignment="1" applyProtection="1">
      <alignment horizontal="center" vertical="center" wrapText="1"/>
      <protection locked="0"/>
    </xf>
    <xf numFmtId="0" fontId="26" fillId="5" borderId="5" xfId="3" applyNumberFormat="1" applyFont="1" applyFill="1" applyBorder="1" applyAlignment="1" applyProtection="1">
      <alignment horizontal="center" vertical="center" wrapText="1"/>
      <protection locked="0"/>
    </xf>
    <xf numFmtId="0" fontId="35" fillId="0" borderId="15" xfId="0" applyFont="1" applyBorder="1" applyAlignment="1">
      <alignment horizontal="center"/>
    </xf>
    <xf numFmtId="0" fontId="35" fillId="0" borderId="16" xfId="0" applyFont="1" applyBorder="1" applyAlignment="1">
      <alignment horizontal="center"/>
    </xf>
    <xf numFmtId="0" fontId="35" fillId="0" borderId="17" xfId="0" applyFont="1" applyBorder="1" applyAlignment="1">
      <alignment horizontal="center"/>
    </xf>
    <xf numFmtId="0" fontId="26" fillId="0" borderId="20" xfId="1" applyFont="1" applyBorder="1" applyAlignment="1">
      <alignment horizontal="center" vertical="center" wrapText="1"/>
    </xf>
    <xf numFmtId="0" fontId="26" fillId="0" borderId="5" xfId="1" applyFont="1" applyBorder="1" applyAlignment="1">
      <alignment horizontal="center" vertical="center" wrapText="1"/>
    </xf>
    <xf numFmtId="0" fontId="26" fillId="5" borderId="20" xfId="1" applyFont="1" applyFill="1" applyBorder="1" applyAlignment="1">
      <alignment horizontal="center" vertical="center" wrapText="1"/>
    </xf>
    <xf numFmtId="0" fontId="26" fillId="5" borderId="5" xfId="1" applyFont="1" applyFill="1" applyBorder="1" applyAlignment="1">
      <alignment horizontal="center" vertical="center" wrapText="1"/>
    </xf>
    <xf numFmtId="0" fontId="34" fillId="2" borderId="23" xfId="5" applyFont="1" applyFill="1" applyBorder="1" applyAlignment="1">
      <alignment horizontal="center"/>
    </xf>
    <xf numFmtId="0" fontId="34" fillId="5" borderId="23" xfId="5" applyFont="1" applyFill="1" applyBorder="1" applyAlignment="1">
      <alignment horizontal="center" wrapText="1"/>
    </xf>
    <xf numFmtId="0" fontId="8" fillId="0" borderId="15"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13" fillId="5" borderId="20" xfId="1" applyFont="1" applyFill="1" applyBorder="1" applyAlignment="1">
      <alignment horizontal="center" vertical="center" wrapText="1"/>
    </xf>
    <xf numFmtId="0" fontId="13" fillId="5" borderId="5" xfId="1" applyFont="1" applyFill="1" applyBorder="1" applyAlignment="1">
      <alignment horizontal="center" vertical="center" wrapText="1"/>
    </xf>
    <xf numFmtId="0" fontId="13" fillId="5" borderId="21" xfId="1" applyFont="1" applyFill="1" applyBorder="1" applyAlignment="1">
      <alignment horizontal="center" vertical="center" wrapText="1"/>
    </xf>
    <xf numFmtId="0" fontId="41" fillId="5" borderId="20" xfId="1" applyFont="1" applyFill="1" applyBorder="1" applyAlignment="1">
      <alignment horizontal="center" vertical="center" wrapText="1"/>
    </xf>
    <xf numFmtId="0" fontId="41" fillId="5" borderId="5" xfId="1" applyFont="1" applyFill="1" applyBorder="1" applyAlignment="1">
      <alignment horizontal="center" vertical="center" wrapText="1"/>
    </xf>
    <xf numFmtId="0" fontId="41" fillId="5" borderId="21" xfId="1" applyFont="1" applyFill="1" applyBorder="1" applyAlignment="1">
      <alignment horizontal="center" vertical="center" wrapText="1"/>
    </xf>
    <xf numFmtId="0" fontId="23" fillId="0" borderId="16" xfId="0" applyFont="1" applyBorder="1" applyAlignment="1">
      <alignment horizontal="center"/>
    </xf>
    <xf numFmtId="0" fontId="23" fillId="0" borderId="17" xfId="0" applyFont="1" applyBorder="1" applyAlignment="1">
      <alignment horizontal="center"/>
    </xf>
    <xf numFmtId="0" fontId="31" fillId="0" borderId="4" xfId="0" applyFont="1" applyBorder="1"/>
    <xf numFmtId="0" fontId="31" fillId="0" borderId="5" xfId="0" applyFont="1" applyBorder="1"/>
    <xf numFmtId="0" fontId="31" fillId="0" borderId="2" xfId="0" applyFont="1" applyBorder="1"/>
    <xf numFmtId="0" fontId="31" fillId="0" borderId="1" xfId="0" applyFont="1" applyBorder="1"/>
    <xf numFmtId="0" fontId="28" fillId="0" borderId="0" xfId="0" applyFont="1" applyAlignment="1">
      <alignment horizontal="center"/>
    </xf>
    <xf numFmtId="0" fontId="29" fillId="0" borderId="0" xfId="0" applyFont="1" applyAlignment="1">
      <alignment horizont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15" fillId="9" borderId="15" xfId="0" applyFont="1" applyFill="1" applyBorder="1" applyAlignment="1">
      <alignment horizontal="center"/>
    </xf>
    <xf numFmtId="0" fontId="15" fillId="9" borderId="25" xfId="0" applyFont="1" applyFill="1" applyBorder="1" applyAlignment="1">
      <alignment horizontal="center"/>
    </xf>
  </cellXfs>
  <cellStyles count="29">
    <cellStyle name="Comma" xfId="26" builtinId="3"/>
    <cellStyle name="Comma 2" xfId="3" xr:uid="{00000000-0005-0000-0000-000000000000}"/>
    <cellStyle name="Comma 2 2" xfId="6" xr:uid="{00000000-0005-0000-0000-000001000000}"/>
    <cellStyle name="Comma 2 3" xfId="7" xr:uid="{00000000-0005-0000-0000-000002000000}"/>
    <cellStyle name="Comma 2 4" xfId="8" xr:uid="{00000000-0005-0000-0000-000003000000}"/>
    <cellStyle name="Comma 2 5" xfId="9" xr:uid="{00000000-0005-0000-0000-000004000000}"/>
    <cellStyle name="Comma 3" xfId="2" xr:uid="{00000000-0005-0000-0000-000005000000}"/>
    <cellStyle name="Comma 3 2" xfId="10" xr:uid="{00000000-0005-0000-0000-000006000000}"/>
    <cellStyle name="Comma 3 3" xfId="11" xr:uid="{00000000-0005-0000-0000-000007000000}"/>
    <cellStyle name="Comma 3 4" xfId="12" xr:uid="{00000000-0005-0000-0000-000008000000}"/>
    <cellStyle name="Comma 3 5" xfId="13" xr:uid="{00000000-0005-0000-0000-000009000000}"/>
    <cellStyle name="Currency 2" xfId="14" xr:uid="{00000000-0005-0000-0000-00000A000000}"/>
    <cellStyle name="Good" xfId="27" builtinId="26"/>
    <cellStyle name="Normal" xfId="0" builtinId="0"/>
    <cellStyle name="Normal 2" xfId="1" xr:uid="{00000000-0005-0000-0000-00000C000000}"/>
    <cellStyle name="Normal 2 2" xfId="15" xr:uid="{00000000-0005-0000-0000-00000D000000}"/>
    <cellStyle name="Normal 3" xfId="4" xr:uid="{00000000-0005-0000-0000-00000E000000}"/>
    <cellStyle name="Normal 3 2" xfId="5" xr:uid="{00000000-0005-0000-0000-00000F000000}"/>
    <cellStyle name="Normal 3 3" xfId="16" xr:uid="{00000000-0005-0000-0000-000010000000}"/>
    <cellStyle name="Normal 3 4" xfId="17" xr:uid="{00000000-0005-0000-0000-000011000000}"/>
    <cellStyle name="Normal 3 5" xfId="18" xr:uid="{00000000-0005-0000-0000-000012000000}"/>
    <cellStyle name="Normal 3 6" xfId="19" xr:uid="{00000000-0005-0000-0000-000013000000}"/>
    <cellStyle name="Normal 4" xfId="20" xr:uid="{00000000-0005-0000-0000-000014000000}"/>
    <cellStyle name="Normal 5" xfId="21" xr:uid="{00000000-0005-0000-0000-000015000000}"/>
    <cellStyle name="Normal 6" xfId="22" xr:uid="{00000000-0005-0000-0000-000016000000}"/>
    <cellStyle name="Normal 7" xfId="23" xr:uid="{00000000-0005-0000-0000-000017000000}"/>
    <cellStyle name="Normal 8" xfId="24" xr:uid="{00000000-0005-0000-0000-000018000000}"/>
    <cellStyle name="Normal 9" xfId="25" xr:uid="{00000000-0005-0000-0000-000019000000}"/>
    <cellStyle name="Percent" xfId="28" builtinId="5"/>
  </cellStyles>
  <dxfs count="0"/>
  <tableStyles count="0" defaultTableStyle="TableStyleMedium9" defaultPivotStyle="PivotStyleLight16"/>
  <colors>
    <mruColors>
      <color rgb="FFFFFF99"/>
      <color rgb="FFDAEEF3"/>
      <color rgb="FFFFFFCC"/>
      <color rgb="FFF8AE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ndrews, Cherisa - FNS" id="{0A566CD6-C068-4146-B288-505CB902587C}" userId="S::Cherisa.Andrews@usda.gov::0ef69724-5dbe-448c-b83e-ba1b52afb15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 dT="2025-08-15T17:58:37.85" personId="{0A566CD6-C068-4146-B288-505CB902587C}" id="{FCA7DC4A-99B9-49D6-9351-DF5AF536CC1A}">
    <text xml:space="preserve">Note: This assumptions tab is copied from the SFSP Non-Congregate Burden table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41"/>
  <sheetViews>
    <sheetView topLeftCell="D1" zoomScale="80" zoomScaleNormal="80" workbookViewId="0">
      <pane ySplit="4" topLeftCell="A5" activePane="bottomLeft" state="frozen"/>
      <selection pane="bottomLeft" activeCell="F7" sqref="F7"/>
    </sheetView>
  </sheetViews>
  <sheetFormatPr defaultColWidth="8.7265625" defaultRowHeight="14.5" x14ac:dyDescent="0.35"/>
  <cols>
    <col min="1" max="1" width="11.1796875" style="160" customWidth="1"/>
    <col min="2" max="2" width="13.81640625" style="160" customWidth="1"/>
    <col min="3" max="3" width="42.1796875" style="160" customWidth="1"/>
    <col min="4" max="4" width="12.81640625" style="160" customWidth="1"/>
    <col min="5" max="5" width="13.81640625" style="160" customWidth="1"/>
    <col min="6" max="6" width="49" style="160" customWidth="1"/>
    <col min="7" max="7" width="12.81640625" style="160" customWidth="1"/>
    <col min="8" max="8" width="15.81640625" style="160" customWidth="1"/>
    <col min="9" max="9" width="17" style="160" customWidth="1"/>
    <col min="10" max="10" width="17.81640625" style="160" customWidth="1"/>
    <col min="11" max="11" width="14.453125" style="160" customWidth="1"/>
    <col min="12" max="12" width="17.1796875" style="160" customWidth="1"/>
    <col min="13" max="13" width="16.54296875" style="160" customWidth="1"/>
    <col min="14" max="14" width="12.81640625" style="160" hidden="1" customWidth="1"/>
    <col min="15" max="15" width="15" style="160" customWidth="1"/>
    <col min="16" max="16" width="11" style="160" hidden="1" customWidth="1"/>
    <col min="17" max="17" width="16.1796875" style="160" bestFit="1" customWidth="1"/>
    <col min="18" max="18" width="32.81640625" style="160" customWidth="1"/>
    <col min="19" max="65" width="8.7265625" style="160"/>
    <col min="66" max="66" width="8.81640625" style="160" customWidth="1"/>
    <col min="67" max="16384" width="8.7265625" style="160"/>
  </cols>
  <sheetData>
    <row r="1" spans="1:19" ht="17.5" customHeight="1" thickBot="1" x14ac:dyDescent="0.4">
      <c r="A1" s="306" t="s">
        <v>248</v>
      </c>
      <c r="B1" s="306"/>
      <c r="C1" s="306"/>
      <c r="D1" s="306"/>
      <c r="E1" s="306"/>
      <c r="F1" s="306"/>
      <c r="G1" s="306"/>
      <c r="H1" s="306"/>
      <c r="I1" s="306"/>
      <c r="J1" s="306"/>
      <c r="K1" s="306"/>
      <c r="L1" s="306"/>
      <c r="M1" s="306"/>
      <c r="N1" s="306"/>
      <c r="O1" s="306"/>
      <c r="P1" s="306"/>
      <c r="Q1" s="306"/>
    </row>
    <row r="2" spans="1:19" ht="21.5" thickBot="1" x14ac:dyDescent="0.55000000000000004">
      <c r="A2" s="312" t="s">
        <v>0</v>
      </c>
      <c r="B2" s="313"/>
      <c r="C2" s="313"/>
      <c r="D2" s="313"/>
      <c r="E2" s="313"/>
      <c r="F2" s="313"/>
      <c r="G2" s="313"/>
      <c r="H2" s="313"/>
      <c r="I2" s="313"/>
      <c r="J2" s="313"/>
      <c r="K2" s="313"/>
      <c r="L2" s="313"/>
      <c r="M2" s="313"/>
      <c r="N2" s="313"/>
      <c r="O2" s="313"/>
      <c r="P2" s="313"/>
      <c r="Q2" s="314"/>
      <c r="R2" s="3"/>
      <c r="S2" s="2"/>
    </row>
    <row r="3" spans="1:19" ht="18.75" customHeight="1" x14ac:dyDescent="0.35">
      <c r="A3" s="152"/>
      <c r="B3" s="319" t="s">
        <v>173</v>
      </c>
      <c r="C3" s="319"/>
      <c r="D3" s="319"/>
      <c r="E3" s="320" t="s">
        <v>174</v>
      </c>
      <c r="F3" s="320"/>
      <c r="G3" s="320"/>
      <c r="H3" s="10" t="s">
        <v>1</v>
      </c>
      <c r="I3" s="10" t="s">
        <v>2</v>
      </c>
      <c r="J3" s="10" t="s">
        <v>3</v>
      </c>
      <c r="K3" s="10" t="s">
        <v>4</v>
      </c>
      <c r="L3" s="10" t="s">
        <v>5</v>
      </c>
      <c r="M3" s="10" t="s">
        <v>6</v>
      </c>
      <c r="N3" s="10"/>
      <c r="O3" s="10"/>
      <c r="P3" s="10"/>
      <c r="Q3" s="11" t="s">
        <v>7</v>
      </c>
      <c r="R3" s="161" t="s">
        <v>8</v>
      </c>
      <c r="S3" s="1"/>
    </row>
    <row r="4" spans="1:19" ht="52" x14ac:dyDescent="0.35">
      <c r="A4" s="162" t="s">
        <v>9</v>
      </c>
      <c r="B4" s="163" t="s">
        <v>10</v>
      </c>
      <c r="C4" s="163" t="s">
        <v>11</v>
      </c>
      <c r="D4" s="163" t="s">
        <v>12</v>
      </c>
      <c r="E4" s="163" t="s">
        <v>10</v>
      </c>
      <c r="F4" s="163" t="s">
        <v>11</v>
      </c>
      <c r="G4" s="163" t="s">
        <v>12</v>
      </c>
      <c r="H4" s="163" t="s">
        <v>13</v>
      </c>
      <c r="I4" s="163" t="s">
        <v>14</v>
      </c>
      <c r="J4" s="163" t="s">
        <v>15</v>
      </c>
      <c r="K4" s="163" t="s">
        <v>16</v>
      </c>
      <c r="L4" s="163" t="s">
        <v>17</v>
      </c>
      <c r="M4" s="163" t="s">
        <v>18</v>
      </c>
      <c r="N4" s="163" t="s">
        <v>19</v>
      </c>
      <c r="O4" s="163" t="s">
        <v>92</v>
      </c>
      <c r="P4" s="163" t="s">
        <v>20</v>
      </c>
      <c r="Q4" s="176" t="s">
        <v>21</v>
      </c>
      <c r="R4" s="183"/>
      <c r="S4" s="1"/>
    </row>
    <row r="5" spans="1:19" ht="18.5" x14ac:dyDescent="0.35">
      <c r="A5" s="315" t="s">
        <v>22</v>
      </c>
      <c r="B5" s="316"/>
      <c r="C5" s="316"/>
      <c r="D5" s="316"/>
      <c r="E5" s="316"/>
      <c r="F5" s="316"/>
      <c r="G5" s="316"/>
      <c r="H5" s="316"/>
      <c r="I5" s="316"/>
      <c r="J5" s="316"/>
      <c r="K5" s="316"/>
      <c r="L5" s="316"/>
      <c r="M5" s="316"/>
      <c r="N5" s="316"/>
      <c r="O5" s="316"/>
      <c r="P5" s="316"/>
      <c r="Q5" s="316"/>
      <c r="R5" s="184"/>
    </row>
    <row r="6" spans="1:19" ht="43.5" x14ac:dyDescent="0.35">
      <c r="A6" s="254" t="s">
        <v>215</v>
      </c>
      <c r="B6" s="265" t="s">
        <v>212</v>
      </c>
      <c r="C6" s="256" t="s">
        <v>214</v>
      </c>
      <c r="D6" s="255"/>
      <c r="E6" s="265" t="s">
        <v>29</v>
      </c>
      <c r="F6" s="256" t="s">
        <v>249</v>
      </c>
      <c r="G6" s="255"/>
      <c r="H6" s="257">
        <f>Data!D$17</f>
        <v>56</v>
      </c>
      <c r="I6" s="257">
        <v>1</v>
      </c>
      <c r="J6" s="258">
        <f>+H6*I6</f>
        <v>56</v>
      </c>
      <c r="K6" s="259">
        <v>0.25</v>
      </c>
      <c r="L6" s="266">
        <f>J6*K6</f>
        <v>14</v>
      </c>
      <c r="M6" s="260">
        <v>56</v>
      </c>
      <c r="N6" s="261">
        <v>0</v>
      </c>
      <c r="O6" s="262">
        <f>L6-M6</f>
        <v>-42</v>
      </c>
      <c r="P6" s="262">
        <v>0</v>
      </c>
      <c r="Q6" s="263">
        <f>+L6-M6</f>
        <v>-42</v>
      </c>
      <c r="R6" s="264" t="s">
        <v>210</v>
      </c>
    </row>
    <row r="7" spans="1:19" ht="58" x14ac:dyDescent="0.35">
      <c r="A7" s="254" t="s">
        <v>215</v>
      </c>
      <c r="B7" s="267" t="s">
        <v>245</v>
      </c>
      <c r="C7" s="268" t="s">
        <v>213</v>
      </c>
      <c r="D7" s="269"/>
      <c r="E7" s="267" t="s">
        <v>240</v>
      </c>
      <c r="F7" s="268" t="s">
        <v>252</v>
      </c>
      <c r="G7" s="269"/>
      <c r="H7" s="257">
        <f>Data!D$17</f>
        <v>56</v>
      </c>
      <c r="I7" s="270">
        <v>1</v>
      </c>
      <c r="J7" s="271">
        <f>H7*I7</f>
        <v>56</v>
      </c>
      <c r="K7" s="272">
        <v>8</v>
      </c>
      <c r="L7" s="258">
        <f>+J7*K7</f>
        <v>448</v>
      </c>
      <c r="M7" s="270">
        <v>0</v>
      </c>
      <c r="N7" s="261"/>
      <c r="O7" s="262">
        <f>L7-M7</f>
        <v>448</v>
      </c>
      <c r="P7" s="262">
        <v>0</v>
      </c>
      <c r="Q7" s="263">
        <f>+L7-M7</f>
        <v>448</v>
      </c>
      <c r="R7" s="264" t="s">
        <v>210</v>
      </c>
    </row>
    <row r="8" spans="1:19" ht="43.5" x14ac:dyDescent="0.35">
      <c r="A8" s="175" t="s">
        <v>175</v>
      </c>
      <c r="B8" s="35" t="s">
        <v>30</v>
      </c>
      <c r="C8" s="35" t="s">
        <v>31</v>
      </c>
      <c r="D8" s="125"/>
      <c r="E8" s="35" t="s">
        <v>30</v>
      </c>
      <c r="F8" s="35" t="s">
        <v>31</v>
      </c>
      <c r="G8" s="125"/>
      <c r="H8" s="153">
        <f>Data!D$17</f>
        <v>56</v>
      </c>
      <c r="I8" s="164">
        <v>113.339</v>
      </c>
      <c r="J8" s="45">
        <f>+H8*I8</f>
        <v>6346.9840000000004</v>
      </c>
      <c r="K8" s="165">
        <v>47.5</v>
      </c>
      <c r="L8" s="45">
        <f>+J8*K8</f>
        <v>301481.74</v>
      </c>
      <c r="M8" s="164">
        <v>301481.74</v>
      </c>
      <c r="N8" s="156">
        <v>0</v>
      </c>
      <c r="O8" s="157">
        <f>L8-M8</f>
        <v>0</v>
      </c>
      <c r="P8" s="157">
        <v>0</v>
      </c>
      <c r="Q8" s="177">
        <f>+L8-M8</f>
        <v>0</v>
      </c>
      <c r="R8" s="184" t="s">
        <v>210</v>
      </c>
    </row>
    <row r="9" spans="1:19" ht="43.5" x14ac:dyDescent="0.35">
      <c r="A9" s="254" t="s">
        <v>215</v>
      </c>
      <c r="B9" s="255" t="s">
        <v>23</v>
      </c>
      <c r="C9" s="256" t="s">
        <v>24</v>
      </c>
      <c r="D9" s="255"/>
      <c r="E9" s="255" t="s">
        <v>23</v>
      </c>
      <c r="F9" s="256" t="s">
        <v>24</v>
      </c>
      <c r="G9" s="255"/>
      <c r="H9" s="257">
        <v>56</v>
      </c>
      <c r="I9" s="257">
        <f>ROUND(Data!D18,0)</f>
        <v>68</v>
      </c>
      <c r="J9" s="258">
        <f t="shared" ref="J9:J11" si="0">+H9*I9</f>
        <v>3808</v>
      </c>
      <c r="K9" s="259">
        <v>8</v>
      </c>
      <c r="L9" s="258">
        <f t="shared" ref="L9:L11" si="1">+J9*K9</f>
        <v>30464</v>
      </c>
      <c r="M9" s="260">
        <v>50624</v>
      </c>
      <c r="N9" s="261">
        <v>0</v>
      </c>
      <c r="O9" s="262">
        <f>L9-M9</f>
        <v>-20160</v>
      </c>
      <c r="P9" s="262">
        <v>0</v>
      </c>
      <c r="Q9" s="263">
        <f t="shared" ref="Q9:Q15" si="2">+L9-M9</f>
        <v>-20160</v>
      </c>
      <c r="R9" s="264" t="s">
        <v>210</v>
      </c>
    </row>
    <row r="10" spans="1:19" ht="58" x14ac:dyDescent="0.35">
      <c r="A10" s="175" t="s">
        <v>175</v>
      </c>
      <c r="B10" s="125" t="s">
        <v>25</v>
      </c>
      <c r="C10" s="35" t="s">
        <v>26</v>
      </c>
      <c r="D10" s="125"/>
      <c r="E10" s="125" t="s">
        <v>25</v>
      </c>
      <c r="F10" s="35" t="s">
        <v>26</v>
      </c>
      <c r="G10" s="125"/>
      <c r="H10" s="153">
        <f>Data!D$17</f>
        <v>56</v>
      </c>
      <c r="I10" s="164">
        <v>1</v>
      </c>
      <c r="J10" s="45">
        <f>+H10*I10</f>
        <v>56</v>
      </c>
      <c r="K10" s="165">
        <v>2</v>
      </c>
      <c r="L10" s="45">
        <f>+J10*K10</f>
        <v>112</v>
      </c>
      <c r="M10" s="49">
        <v>112</v>
      </c>
      <c r="N10" s="156">
        <v>0</v>
      </c>
      <c r="O10" s="157">
        <f t="shared" ref="O10:O15" si="3">L10-M10</f>
        <v>0</v>
      </c>
      <c r="P10" s="157">
        <v>0</v>
      </c>
      <c r="Q10" s="177">
        <f t="shared" si="2"/>
        <v>0</v>
      </c>
      <c r="R10" s="184"/>
    </row>
    <row r="11" spans="1:19" ht="35.25" customHeight="1" x14ac:dyDescent="0.35">
      <c r="A11" s="175" t="s">
        <v>175</v>
      </c>
      <c r="B11" s="36" t="s">
        <v>27</v>
      </c>
      <c r="C11" s="38" t="s">
        <v>28</v>
      </c>
      <c r="D11" s="36"/>
      <c r="E11" s="36" t="s">
        <v>27</v>
      </c>
      <c r="F11" s="38" t="s">
        <v>250</v>
      </c>
      <c r="G11" s="36"/>
      <c r="H11" s="153">
        <f>Data!D$17</f>
        <v>56</v>
      </c>
      <c r="I11" s="153">
        <v>1</v>
      </c>
      <c r="J11" s="45">
        <f t="shared" si="0"/>
        <v>56</v>
      </c>
      <c r="K11" s="158">
        <v>1.5</v>
      </c>
      <c r="L11" s="45">
        <f t="shared" si="1"/>
        <v>84</v>
      </c>
      <c r="M11" s="37">
        <v>84</v>
      </c>
      <c r="N11" s="156">
        <v>0</v>
      </c>
      <c r="O11" s="157">
        <f t="shared" si="3"/>
        <v>0</v>
      </c>
      <c r="P11" s="157">
        <v>0</v>
      </c>
      <c r="Q11" s="177">
        <f t="shared" si="2"/>
        <v>0</v>
      </c>
      <c r="R11" s="184"/>
    </row>
    <row r="12" spans="1:19" ht="128.15" hidden="1" customHeight="1" x14ac:dyDescent="0.35">
      <c r="A12" s="175" t="s">
        <v>175</v>
      </c>
      <c r="B12" s="115" t="s">
        <v>32</v>
      </c>
      <c r="C12" s="38" t="s">
        <v>33</v>
      </c>
      <c r="D12" s="38" t="s">
        <v>34</v>
      </c>
      <c r="E12" s="115" t="s">
        <v>32</v>
      </c>
      <c r="F12" s="38" t="s">
        <v>33</v>
      </c>
      <c r="G12" s="38"/>
      <c r="H12" s="153">
        <v>0</v>
      </c>
      <c r="I12" s="153">
        <v>0</v>
      </c>
      <c r="J12" s="45">
        <f t="shared" ref="J12:J13" si="4">+H12*I12</f>
        <v>0</v>
      </c>
      <c r="K12" s="158">
        <v>0</v>
      </c>
      <c r="L12" s="45">
        <f t="shared" ref="L12" si="5">+J12*K12</f>
        <v>0</v>
      </c>
      <c r="M12" s="37">
        <v>0</v>
      </c>
      <c r="N12" s="156">
        <v>0</v>
      </c>
      <c r="O12" s="157">
        <f t="shared" si="3"/>
        <v>0</v>
      </c>
      <c r="P12" s="157">
        <v>0</v>
      </c>
      <c r="Q12" s="177">
        <f t="shared" si="2"/>
        <v>0</v>
      </c>
      <c r="R12" s="184"/>
    </row>
    <row r="13" spans="1:19" ht="43.5" x14ac:dyDescent="0.35">
      <c r="A13" s="254" t="s">
        <v>215</v>
      </c>
      <c r="B13" s="273" t="s">
        <v>216</v>
      </c>
      <c r="C13" s="256" t="s">
        <v>217</v>
      </c>
      <c r="D13" s="256"/>
      <c r="E13" s="273" t="s">
        <v>216</v>
      </c>
      <c r="F13" s="256" t="s">
        <v>217</v>
      </c>
      <c r="G13" s="256"/>
      <c r="H13" s="257">
        <f>Data!D$17</f>
        <v>56</v>
      </c>
      <c r="I13" s="257">
        <v>1</v>
      </c>
      <c r="J13" s="258">
        <f t="shared" si="4"/>
        <v>56</v>
      </c>
      <c r="K13" s="259">
        <v>1</v>
      </c>
      <c r="L13" s="258">
        <f>J13*K13</f>
        <v>56</v>
      </c>
      <c r="M13" s="260">
        <v>0</v>
      </c>
      <c r="N13" s="261">
        <v>0</v>
      </c>
      <c r="O13" s="262">
        <f t="shared" ref="O13" si="6">L13-M13</f>
        <v>56</v>
      </c>
      <c r="P13" s="262">
        <v>0</v>
      </c>
      <c r="Q13" s="263">
        <f t="shared" ref="Q13" si="7">+L13-M13</f>
        <v>56</v>
      </c>
      <c r="R13" s="264" t="s">
        <v>210</v>
      </c>
    </row>
    <row r="14" spans="1:19" ht="58" x14ac:dyDescent="0.35">
      <c r="A14" s="254" t="s">
        <v>215</v>
      </c>
      <c r="B14" s="273" t="s">
        <v>218</v>
      </c>
      <c r="C14" s="256" t="s">
        <v>219</v>
      </c>
      <c r="D14" s="256"/>
      <c r="E14" s="273" t="s">
        <v>218</v>
      </c>
      <c r="F14" s="256" t="s">
        <v>251</v>
      </c>
      <c r="G14" s="256"/>
      <c r="H14" s="257">
        <f>Data!D$17</f>
        <v>56</v>
      </c>
      <c r="I14" s="259">
        <f>ROUND((Data!D21/Data!D17),2)</f>
        <v>0.09</v>
      </c>
      <c r="J14" s="259">
        <f>H14*I14</f>
        <v>5.04</v>
      </c>
      <c r="K14" s="259">
        <v>3</v>
      </c>
      <c r="L14" s="259">
        <f>J14*K14</f>
        <v>15.120000000000001</v>
      </c>
      <c r="M14" s="259">
        <v>0</v>
      </c>
      <c r="N14" s="261">
        <v>0</v>
      </c>
      <c r="O14" s="262">
        <f t="shared" ref="O14" si="8">L14-M14</f>
        <v>15.120000000000001</v>
      </c>
      <c r="P14" s="262">
        <v>0</v>
      </c>
      <c r="Q14" s="263">
        <f t="shared" ref="Q14" si="9">+L14-M14</f>
        <v>15.120000000000001</v>
      </c>
      <c r="R14" s="264" t="s">
        <v>210</v>
      </c>
    </row>
    <row r="15" spans="1:19" ht="72.5" x14ac:dyDescent="0.35">
      <c r="A15" s="175" t="s">
        <v>175</v>
      </c>
      <c r="B15" s="148" t="s">
        <v>35</v>
      </c>
      <c r="C15" s="149" t="s">
        <v>177</v>
      </c>
      <c r="D15" s="38"/>
      <c r="E15" s="148" t="s">
        <v>35</v>
      </c>
      <c r="F15" s="149" t="s">
        <v>36</v>
      </c>
      <c r="G15" s="38"/>
      <c r="H15" s="153">
        <f>Data!D$17</f>
        <v>56</v>
      </c>
      <c r="I15" s="153">
        <f>J15/H15</f>
        <v>16.982142857142858</v>
      </c>
      <c r="J15" s="45">
        <f>Data!D26</f>
        <v>951</v>
      </c>
      <c r="K15" s="158">
        <v>0.5</v>
      </c>
      <c r="L15" s="45">
        <f>J15*K15</f>
        <v>475.5</v>
      </c>
      <c r="M15" s="37">
        <v>475.5</v>
      </c>
      <c r="N15" s="156">
        <v>0</v>
      </c>
      <c r="O15" s="157">
        <f t="shared" si="3"/>
        <v>0</v>
      </c>
      <c r="P15" s="157">
        <v>0</v>
      </c>
      <c r="Q15" s="177">
        <f t="shared" si="2"/>
        <v>0</v>
      </c>
      <c r="R15" s="184"/>
    </row>
    <row r="16" spans="1:19" ht="18.75" customHeight="1" x14ac:dyDescent="0.35">
      <c r="A16" s="307" t="s">
        <v>38</v>
      </c>
      <c r="B16" s="308"/>
      <c r="C16" s="309"/>
      <c r="D16" s="44"/>
      <c r="E16" s="44"/>
      <c r="F16" s="44"/>
      <c r="G16" s="44"/>
      <c r="H16" s="154">
        <f>+MAX(H6:H15)</f>
        <v>56</v>
      </c>
      <c r="I16" s="154">
        <f>IF(H16=0,"",J16/H16)</f>
        <v>203.41114285714289</v>
      </c>
      <c r="J16" s="155">
        <f>SUM(J6:J15)</f>
        <v>11391.024000000001</v>
      </c>
      <c r="K16" s="159">
        <f>IF(J16=0,"",L16/J16)</f>
        <v>29.246743751922562</v>
      </c>
      <c r="L16" s="155">
        <f>SUM(L6:L15)</f>
        <v>333150.36</v>
      </c>
      <c r="M16" s="155">
        <f>SUM(M6:M15)</f>
        <v>352833.24</v>
      </c>
      <c r="N16" s="155">
        <f>SUM(N9:N15)</f>
        <v>0</v>
      </c>
      <c r="O16" s="155">
        <f>SUM(O6:O15)</f>
        <v>-19682.88</v>
      </c>
      <c r="P16" s="155">
        <f>SUM(P9:P15)</f>
        <v>0</v>
      </c>
      <c r="Q16" s="155">
        <f>SUM(Q6:Q15)</f>
        <v>-19682.88</v>
      </c>
      <c r="R16"/>
      <c r="S16" s="1"/>
    </row>
    <row r="17" spans="1:21" ht="18.5" x14ac:dyDescent="0.35">
      <c r="A17" s="317" t="s">
        <v>39</v>
      </c>
      <c r="B17" s="318"/>
      <c r="C17" s="318"/>
      <c r="D17" s="318"/>
      <c r="E17" s="318"/>
      <c r="F17" s="318"/>
      <c r="G17" s="318"/>
      <c r="H17" s="318"/>
      <c r="I17" s="318"/>
      <c r="J17" s="318"/>
      <c r="K17" s="318"/>
      <c r="L17" s="318"/>
      <c r="M17" s="318"/>
      <c r="N17" s="318"/>
      <c r="O17" s="318"/>
      <c r="P17" s="318"/>
      <c r="Q17" s="318"/>
      <c r="R17" s="184"/>
    </row>
    <row r="18" spans="1:21" ht="87.75" customHeight="1" x14ac:dyDescent="0.35">
      <c r="A18" s="175" t="s">
        <v>175</v>
      </c>
      <c r="B18" s="36" t="s">
        <v>40</v>
      </c>
      <c r="C18" s="38" t="s">
        <v>41</v>
      </c>
      <c r="D18" s="36"/>
      <c r="E18" s="36" t="s">
        <v>40</v>
      </c>
      <c r="F18" s="38" t="s">
        <v>41</v>
      </c>
      <c r="G18" s="36"/>
      <c r="H18" s="168">
        <f>Data!D9</f>
        <v>19019</v>
      </c>
      <c r="I18" s="48">
        <v>1.25</v>
      </c>
      <c r="J18" s="45">
        <f t="shared" ref="J18:J19" si="10">+H18*I18</f>
        <v>23773.75</v>
      </c>
      <c r="K18" s="169">
        <v>0.25</v>
      </c>
      <c r="L18" s="45">
        <f t="shared" ref="L18:L19" si="11">+J18*K18</f>
        <v>5943.4375</v>
      </c>
      <c r="M18" s="37">
        <f>L18</f>
        <v>5943.4375</v>
      </c>
      <c r="N18" s="46">
        <v>0</v>
      </c>
      <c r="O18" s="157">
        <f t="shared" ref="O18:O27" si="12">L18-M18</f>
        <v>0</v>
      </c>
      <c r="P18" s="46">
        <v>0</v>
      </c>
      <c r="Q18" s="177">
        <f t="shared" ref="Q18:Q19" si="13">+L18-M18</f>
        <v>0</v>
      </c>
      <c r="R18" s="184"/>
    </row>
    <row r="19" spans="1:21" ht="49.5" customHeight="1" x14ac:dyDescent="0.35">
      <c r="A19" s="175" t="s">
        <v>175</v>
      </c>
      <c r="B19" s="36" t="s">
        <v>42</v>
      </c>
      <c r="C19" s="38" t="s">
        <v>43</v>
      </c>
      <c r="D19" s="36"/>
      <c r="E19" s="36" t="s">
        <v>42</v>
      </c>
      <c r="F19" s="38" t="s">
        <v>43</v>
      </c>
      <c r="G19" s="36"/>
      <c r="H19" s="37">
        <f>Data!D20</f>
        <v>6314</v>
      </c>
      <c r="I19" s="41">
        <v>2</v>
      </c>
      <c r="J19" s="45">
        <f t="shared" si="10"/>
        <v>12628</v>
      </c>
      <c r="K19" s="169">
        <v>0.25</v>
      </c>
      <c r="L19" s="45">
        <f t="shared" si="11"/>
        <v>3157</v>
      </c>
      <c r="M19" s="37">
        <v>3157</v>
      </c>
      <c r="N19" s="46">
        <v>0</v>
      </c>
      <c r="O19" s="157">
        <f t="shared" si="12"/>
        <v>0</v>
      </c>
      <c r="P19" s="46">
        <v>0</v>
      </c>
      <c r="Q19" s="177">
        <f t="shared" si="13"/>
        <v>0</v>
      </c>
      <c r="R19" s="184"/>
    </row>
    <row r="20" spans="1:21" ht="63" customHeight="1" x14ac:dyDescent="0.35">
      <c r="A20" s="175" t="s">
        <v>175</v>
      </c>
      <c r="B20" s="38" t="s">
        <v>44</v>
      </c>
      <c r="C20" s="38" t="s">
        <v>45</v>
      </c>
      <c r="D20" s="36"/>
      <c r="E20" s="38" t="s">
        <v>44</v>
      </c>
      <c r="F20" s="38" t="s">
        <v>45</v>
      </c>
      <c r="G20" s="36"/>
      <c r="H20" s="168">
        <f>Data!D9</f>
        <v>19019</v>
      </c>
      <c r="I20" s="48">
        <v>10.15</v>
      </c>
      <c r="J20" s="45">
        <f>+H20*I20</f>
        <v>193042.85</v>
      </c>
      <c r="K20" s="169">
        <v>1</v>
      </c>
      <c r="L20" s="45">
        <f>+J20*K20</f>
        <v>193042.85</v>
      </c>
      <c r="M20" s="37">
        <v>193042.85</v>
      </c>
      <c r="N20" s="46">
        <v>0</v>
      </c>
      <c r="O20" s="157">
        <f t="shared" si="12"/>
        <v>0</v>
      </c>
      <c r="P20" s="46">
        <v>0</v>
      </c>
      <c r="Q20" s="177">
        <f>+L20-M20</f>
        <v>0</v>
      </c>
      <c r="R20" s="184"/>
    </row>
    <row r="21" spans="1:21" ht="74.25" customHeight="1" x14ac:dyDescent="0.35">
      <c r="A21" s="175" t="s">
        <v>175</v>
      </c>
      <c r="B21" s="38" t="s">
        <v>46</v>
      </c>
      <c r="C21" s="38" t="s">
        <v>47</v>
      </c>
      <c r="D21" s="36"/>
      <c r="E21" s="38" t="s">
        <v>46</v>
      </c>
      <c r="F21" s="38" t="s">
        <v>47</v>
      </c>
      <c r="G21" s="36"/>
      <c r="H21" s="168">
        <f>Data!D9</f>
        <v>19019</v>
      </c>
      <c r="I21" s="41">
        <v>1</v>
      </c>
      <c r="J21" s="45">
        <f t="shared" ref="J21:J26" si="14">+H21*I21</f>
        <v>19019</v>
      </c>
      <c r="K21" s="169">
        <v>0.25</v>
      </c>
      <c r="L21" s="45">
        <f>+J21*K21+0.001</f>
        <v>4754.7510000000002</v>
      </c>
      <c r="M21" s="37">
        <f>L21</f>
        <v>4754.7510000000002</v>
      </c>
      <c r="N21" s="46">
        <v>0</v>
      </c>
      <c r="O21" s="157">
        <f t="shared" si="12"/>
        <v>0</v>
      </c>
      <c r="P21" s="46">
        <v>0</v>
      </c>
      <c r="Q21" s="177">
        <f t="shared" ref="Q21:Q27" si="15">+L21-M21</f>
        <v>0</v>
      </c>
      <c r="R21" s="184"/>
    </row>
    <row r="22" spans="1:21" ht="60.75" customHeight="1" x14ac:dyDescent="0.35">
      <c r="A22" s="254" t="s">
        <v>215</v>
      </c>
      <c r="B22" s="256" t="s">
        <v>48</v>
      </c>
      <c r="C22" s="256" t="s">
        <v>49</v>
      </c>
      <c r="D22" s="255"/>
      <c r="E22" s="256" t="s">
        <v>48</v>
      </c>
      <c r="F22" s="256" t="s">
        <v>49</v>
      </c>
      <c r="G22" s="255"/>
      <c r="H22" s="274">
        <f>ROUND(Data!D19,2)</f>
        <v>3803.8</v>
      </c>
      <c r="I22" s="275">
        <v>1</v>
      </c>
      <c r="J22" s="258">
        <f t="shared" si="14"/>
        <v>3803.8</v>
      </c>
      <c r="K22" s="276">
        <v>8</v>
      </c>
      <c r="L22" s="258">
        <f t="shared" ref="L22:L23" si="16">+J22*K22</f>
        <v>30430.400000000001</v>
      </c>
      <c r="M22" s="260">
        <v>50720</v>
      </c>
      <c r="N22" s="277">
        <v>0</v>
      </c>
      <c r="O22" s="262">
        <f t="shared" si="12"/>
        <v>-20289.599999999999</v>
      </c>
      <c r="P22" s="277">
        <v>0</v>
      </c>
      <c r="Q22" s="263">
        <f t="shared" si="15"/>
        <v>-20289.599999999999</v>
      </c>
      <c r="R22" s="264" t="s">
        <v>210</v>
      </c>
    </row>
    <row r="23" spans="1:21" ht="45" customHeight="1" x14ac:dyDescent="0.35">
      <c r="A23" s="175" t="s">
        <v>175</v>
      </c>
      <c r="B23" s="36" t="s">
        <v>50</v>
      </c>
      <c r="C23" s="38" t="s">
        <v>51</v>
      </c>
      <c r="D23" s="36"/>
      <c r="E23" s="36" t="s">
        <v>50</v>
      </c>
      <c r="F23" s="38" t="s">
        <v>51</v>
      </c>
      <c r="G23" s="36"/>
      <c r="H23" s="168">
        <f>Data!D$9</f>
        <v>19019</v>
      </c>
      <c r="I23" s="41">
        <v>1</v>
      </c>
      <c r="J23" s="45">
        <f t="shared" si="14"/>
        <v>19019</v>
      </c>
      <c r="K23" s="169">
        <v>0.5</v>
      </c>
      <c r="L23" s="45">
        <f t="shared" si="16"/>
        <v>9509.5</v>
      </c>
      <c r="M23" s="37">
        <v>9509.5</v>
      </c>
      <c r="N23" s="46">
        <v>0</v>
      </c>
      <c r="O23" s="157">
        <f t="shared" si="12"/>
        <v>0</v>
      </c>
      <c r="P23" s="46">
        <v>0</v>
      </c>
      <c r="Q23" s="177">
        <f t="shared" si="15"/>
        <v>0</v>
      </c>
      <c r="R23" s="184"/>
    </row>
    <row r="24" spans="1:21" ht="51.65" customHeight="1" x14ac:dyDescent="0.35">
      <c r="A24" s="175" t="s">
        <v>175</v>
      </c>
      <c r="B24" s="38" t="s">
        <v>52</v>
      </c>
      <c r="C24" s="38" t="s">
        <v>53</v>
      </c>
      <c r="D24" s="36"/>
      <c r="E24" s="38" t="s">
        <v>52</v>
      </c>
      <c r="F24" s="38" t="s">
        <v>53</v>
      </c>
      <c r="G24" s="36"/>
      <c r="H24" s="168">
        <f>Data!D$9</f>
        <v>19019</v>
      </c>
      <c r="I24" s="41">
        <v>1</v>
      </c>
      <c r="J24" s="45">
        <f t="shared" si="14"/>
        <v>19019</v>
      </c>
      <c r="K24" s="169">
        <v>0.25</v>
      </c>
      <c r="L24" s="45">
        <f>+J24*K24+0.001</f>
        <v>4754.7510000000002</v>
      </c>
      <c r="M24" s="37">
        <f>L24</f>
        <v>4754.7510000000002</v>
      </c>
      <c r="N24" s="46">
        <v>0</v>
      </c>
      <c r="O24" s="157">
        <f t="shared" si="12"/>
        <v>0</v>
      </c>
      <c r="P24" s="46">
        <v>0</v>
      </c>
      <c r="Q24" s="177">
        <f t="shared" si="15"/>
        <v>0</v>
      </c>
      <c r="R24" s="184"/>
    </row>
    <row r="25" spans="1:21" ht="51.65" customHeight="1" x14ac:dyDescent="0.35">
      <c r="A25" s="254" t="s">
        <v>215</v>
      </c>
      <c r="B25" s="278" t="s">
        <v>216</v>
      </c>
      <c r="C25" s="256" t="s">
        <v>224</v>
      </c>
      <c r="D25" s="255"/>
      <c r="E25" s="278" t="s">
        <v>216</v>
      </c>
      <c r="F25" s="256" t="s">
        <v>224</v>
      </c>
      <c r="G25" s="255"/>
      <c r="H25" s="279">
        <f>Data!D$9</f>
        <v>19019</v>
      </c>
      <c r="I25" s="275">
        <v>1</v>
      </c>
      <c r="J25" s="258">
        <f t="shared" si="14"/>
        <v>19019</v>
      </c>
      <c r="K25" s="276">
        <v>1.25</v>
      </c>
      <c r="L25" s="258">
        <f>+J25*K25+0.001</f>
        <v>23773.751</v>
      </c>
      <c r="M25" s="260">
        <v>0</v>
      </c>
      <c r="N25" s="277">
        <v>0</v>
      </c>
      <c r="O25" s="262">
        <f t="shared" si="12"/>
        <v>23773.751</v>
      </c>
      <c r="P25" s="277">
        <v>0</v>
      </c>
      <c r="Q25" s="263">
        <f t="shared" ref="Q25" si="17">+L25-M25</f>
        <v>23773.751</v>
      </c>
      <c r="R25" s="264" t="s">
        <v>210</v>
      </c>
    </row>
    <row r="26" spans="1:21" ht="106" customHeight="1" x14ac:dyDescent="0.35">
      <c r="A26" s="254" t="s">
        <v>215</v>
      </c>
      <c r="B26" s="278" t="s">
        <v>225</v>
      </c>
      <c r="C26" s="256" t="s">
        <v>226</v>
      </c>
      <c r="D26" s="255"/>
      <c r="E26" s="278" t="s">
        <v>225</v>
      </c>
      <c r="F26" s="256" t="s">
        <v>226</v>
      </c>
      <c r="G26" s="255"/>
      <c r="H26" s="279">
        <f>Data!D21</f>
        <v>5</v>
      </c>
      <c r="I26" s="275">
        <v>1</v>
      </c>
      <c r="J26" s="258">
        <f t="shared" si="14"/>
        <v>5</v>
      </c>
      <c r="K26" s="276">
        <v>8</v>
      </c>
      <c r="L26" s="258">
        <f>+J26*K26+0.001</f>
        <v>40.000999999999998</v>
      </c>
      <c r="M26" s="260">
        <v>0</v>
      </c>
      <c r="N26" s="277">
        <v>0</v>
      </c>
      <c r="O26" s="262">
        <f t="shared" si="12"/>
        <v>40.000999999999998</v>
      </c>
      <c r="P26" s="277">
        <v>0</v>
      </c>
      <c r="Q26" s="263">
        <f t="shared" ref="Q26" si="18">+L26-M26</f>
        <v>40.000999999999998</v>
      </c>
      <c r="R26" s="264" t="s">
        <v>210</v>
      </c>
    </row>
    <row r="27" spans="1:21" ht="61" customHeight="1" x14ac:dyDescent="0.35">
      <c r="A27" s="175" t="s">
        <v>175</v>
      </c>
      <c r="B27" s="150" t="s">
        <v>35</v>
      </c>
      <c r="C27" s="149" t="s">
        <v>54</v>
      </c>
      <c r="D27" s="36"/>
      <c r="E27" s="150" t="s">
        <v>35</v>
      </c>
      <c r="F27" s="149" t="s">
        <v>54</v>
      </c>
      <c r="G27" s="36"/>
      <c r="H27" s="168">
        <f>Data!D26</f>
        <v>951</v>
      </c>
      <c r="I27" s="41">
        <v>1</v>
      </c>
      <c r="J27" s="45">
        <v>951</v>
      </c>
      <c r="K27" s="169">
        <v>0.5</v>
      </c>
      <c r="L27" s="45">
        <v>475.5</v>
      </c>
      <c r="M27" s="37">
        <v>475.5</v>
      </c>
      <c r="N27" s="46"/>
      <c r="O27" s="253">
        <f t="shared" si="12"/>
        <v>0</v>
      </c>
      <c r="P27" s="46">
        <v>0</v>
      </c>
      <c r="Q27" s="177">
        <f t="shared" si="15"/>
        <v>0</v>
      </c>
      <c r="R27" s="184"/>
    </row>
    <row r="28" spans="1:21" customFormat="1" x14ac:dyDescent="0.35">
      <c r="A28" s="160"/>
      <c r="B28" s="160"/>
      <c r="C28" s="160"/>
      <c r="D28" s="160"/>
      <c r="E28" s="160"/>
      <c r="F28" s="160"/>
      <c r="G28" s="160"/>
      <c r="H28" s="160"/>
      <c r="I28" s="160"/>
      <c r="J28" s="160"/>
      <c r="K28" s="160"/>
      <c r="L28" s="160"/>
      <c r="M28" s="160"/>
      <c r="N28" s="160"/>
      <c r="O28" s="160"/>
      <c r="P28" s="160"/>
      <c r="Q28" s="160"/>
      <c r="R28" s="160"/>
    </row>
    <row r="29" spans="1:21" customFormat="1" ht="18.5" x14ac:dyDescent="0.35">
      <c r="A29" s="307" t="s">
        <v>55</v>
      </c>
      <c r="B29" s="308"/>
      <c r="C29" s="309"/>
      <c r="D29" s="42"/>
      <c r="E29" s="42"/>
      <c r="F29" s="42"/>
      <c r="G29" s="42"/>
      <c r="H29" s="47">
        <f>+MAX(H18:H28)</f>
        <v>19019</v>
      </c>
      <c r="I29" s="128">
        <f>IF(H29=0,"",J29/H29)</f>
        <v>16.314233135285768</v>
      </c>
      <c r="J29" s="47">
        <f>SUM(J18:J28)</f>
        <v>310280.40000000002</v>
      </c>
      <c r="K29" s="61">
        <f>IF(J29=0,"",L29/J29)</f>
        <v>0.88913750755767984</v>
      </c>
      <c r="L29" s="244">
        <f t="shared" ref="L29:Q29" si="19">SUM(L18:L28)</f>
        <v>275881.94149999996</v>
      </c>
      <c r="M29" s="47">
        <f t="shared" si="19"/>
        <v>272357.78950000001</v>
      </c>
      <c r="N29" s="47">
        <f t="shared" si="19"/>
        <v>0</v>
      </c>
      <c r="O29" s="47">
        <f t="shared" si="19"/>
        <v>3524.1520000000019</v>
      </c>
      <c r="P29" s="47">
        <f t="shared" si="19"/>
        <v>0</v>
      </c>
      <c r="Q29" s="178">
        <f t="shared" si="19"/>
        <v>3524.1520000000019</v>
      </c>
      <c r="U29" s="16"/>
    </row>
    <row r="30" spans="1:21" customFormat="1" ht="18.5" x14ac:dyDescent="0.35">
      <c r="A30" s="317" t="s">
        <v>56</v>
      </c>
      <c r="B30" s="318"/>
      <c r="C30" s="318"/>
      <c r="D30" s="318"/>
      <c r="E30" s="318"/>
      <c r="F30" s="318"/>
      <c r="G30" s="318"/>
      <c r="H30" s="318"/>
      <c r="I30" s="318"/>
      <c r="J30" s="318"/>
      <c r="K30" s="318"/>
      <c r="L30" s="318"/>
      <c r="M30" s="318"/>
      <c r="N30" s="318"/>
      <c r="O30" s="318"/>
      <c r="P30" s="318"/>
      <c r="Q30" s="318"/>
      <c r="R30" s="184"/>
    </row>
    <row r="31" spans="1:21" customFormat="1" ht="36" customHeight="1" x14ac:dyDescent="0.35">
      <c r="A31" s="43"/>
      <c r="B31" s="68" t="s">
        <v>57</v>
      </c>
      <c r="C31" s="5" t="s">
        <v>58</v>
      </c>
      <c r="D31" s="6"/>
      <c r="E31" s="68" t="s">
        <v>57</v>
      </c>
      <c r="F31" s="5" t="s">
        <v>58</v>
      </c>
      <c r="G31" s="6"/>
      <c r="H31" s="122">
        <v>96860</v>
      </c>
      <c r="I31" s="7">
        <v>2</v>
      </c>
      <c r="J31" s="4">
        <f t="shared" ref="J31" si="20">+H31*I31</f>
        <v>193720</v>
      </c>
      <c r="K31" s="48">
        <v>0.1002</v>
      </c>
      <c r="L31" s="4">
        <f>J31*K31</f>
        <v>19410.743999999999</v>
      </c>
      <c r="M31" s="49">
        <v>19410.743999999999</v>
      </c>
      <c r="N31" s="46">
        <v>0</v>
      </c>
      <c r="O31" s="167">
        <f t="shared" ref="O31" si="21">L31-M31</f>
        <v>0</v>
      </c>
      <c r="P31" s="46">
        <v>0</v>
      </c>
      <c r="Q31" s="179">
        <f>+L31-M31</f>
        <v>0</v>
      </c>
      <c r="R31" s="184"/>
    </row>
    <row r="32" spans="1:21" customFormat="1" ht="25.5" customHeight="1" x14ac:dyDescent="0.35">
      <c r="A32" s="307" t="s">
        <v>59</v>
      </c>
      <c r="B32" s="308"/>
      <c r="C32" s="309"/>
      <c r="D32" s="42"/>
      <c r="E32" s="42"/>
      <c r="F32" s="42"/>
      <c r="G32" s="42"/>
      <c r="H32" s="28">
        <f>+MAX(H31:H31)</f>
        <v>96860</v>
      </c>
      <c r="I32" s="65">
        <f>IF(H32=0,"",J32/H32)</f>
        <v>2</v>
      </c>
      <c r="J32" s="28">
        <f>SUM(J31:J31)</f>
        <v>193720</v>
      </c>
      <c r="K32" s="61">
        <f>IF(J32=0,"",L32/J32)</f>
        <v>0.1002</v>
      </c>
      <c r="L32" s="28">
        <f t="shared" ref="L32:Q32" si="22">SUM(L31:L31)</f>
        <v>19410.743999999999</v>
      </c>
      <c r="M32" s="245">
        <f t="shared" si="22"/>
        <v>19410.743999999999</v>
      </c>
      <c r="N32" s="28">
        <f t="shared" si="22"/>
        <v>0</v>
      </c>
      <c r="O32" s="28">
        <f t="shared" si="22"/>
        <v>0</v>
      </c>
      <c r="P32" s="28">
        <f t="shared" si="22"/>
        <v>0</v>
      </c>
      <c r="Q32" s="180">
        <f t="shared" si="22"/>
        <v>0</v>
      </c>
    </row>
    <row r="33" spans="1:18" customFormat="1" ht="25.5" customHeight="1" x14ac:dyDescent="0.35">
      <c r="A33" s="310" t="s">
        <v>60</v>
      </c>
      <c r="B33" s="311"/>
      <c r="C33" s="311"/>
      <c r="D33" s="311"/>
      <c r="E33" s="311"/>
      <c r="F33" s="311"/>
      <c r="G33" s="311"/>
      <c r="H33" s="311"/>
      <c r="I33" s="311"/>
      <c r="J33" s="311"/>
      <c r="K33" s="311"/>
      <c r="L33" s="311"/>
      <c r="M33" s="311"/>
      <c r="N33" s="311"/>
      <c r="O33" s="311"/>
      <c r="P33" s="311"/>
      <c r="Q33" s="311"/>
      <c r="R33" s="184"/>
    </row>
    <row r="34" spans="1:18" customFormat="1" ht="49.4" customHeight="1" x14ac:dyDescent="0.35">
      <c r="A34" s="185"/>
      <c r="B34" s="186"/>
      <c r="C34" s="166"/>
      <c r="D34" s="187"/>
      <c r="E34" s="186"/>
      <c r="F34" s="166"/>
      <c r="G34" s="187"/>
      <c r="H34" s="188"/>
      <c r="I34" s="189"/>
      <c r="J34" s="188"/>
      <c r="K34" s="190"/>
      <c r="L34" s="188"/>
      <c r="M34" s="188"/>
      <c r="N34" s="190"/>
      <c r="O34" s="190"/>
      <c r="P34" s="190"/>
      <c r="Q34" s="191"/>
      <c r="R34" s="184"/>
    </row>
    <row r="35" spans="1:18" customFormat="1" ht="25.5" customHeight="1" x14ac:dyDescent="0.35">
      <c r="A35" s="307" t="s">
        <v>61</v>
      </c>
      <c r="B35" s="308"/>
      <c r="C35" s="309"/>
      <c r="D35" s="130"/>
      <c r="E35" s="130"/>
      <c r="F35" s="130"/>
      <c r="G35" s="130"/>
      <c r="H35" s="131">
        <f>SUM(H34:H34)</f>
        <v>0</v>
      </c>
      <c r="I35" s="132"/>
      <c r="J35" s="131">
        <f>SUM(J34:J34)</f>
        <v>0</v>
      </c>
      <c r="K35" s="133"/>
      <c r="L35" s="131">
        <f t="shared" ref="L35:Q35" si="23">SUM(L34:L34)</f>
        <v>0</v>
      </c>
      <c r="M35" s="131">
        <f t="shared" si="23"/>
        <v>0</v>
      </c>
      <c r="N35" s="131">
        <f t="shared" si="23"/>
        <v>0</v>
      </c>
      <c r="O35" s="131">
        <f t="shared" si="23"/>
        <v>0</v>
      </c>
      <c r="P35" s="131">
        <f t="shared" si="23"/>
        <v>0</v>
      </c>
      <c r="Q35" s="181">
        <f t="shared" si="23"/>
        <v>0</v>
      </c>
      <c r="R35" s="184"/>
    </row>
    <row r="36" spans="1:18" customFormat="1" ht="19" thickBot="1" x14ac:dyDescent="0.4">
      <c r="A36" s="174" t="s">
        <v>62</v>
      </c>
      <c r="B36" s="51"/>
      <c r="C36" s="52"/>
      <c r="D36" s="53"/>
      <c r="E36" s="53"/>
      <c r="F36" s="53"/>
      <c r="G36" s="53"/>
      <c r="H36" s="54">
        <f>+H16+H29+H32+H35</f>
        <v>115935</v>
      </c>
      <c r="I36" s="129">
        <f>IF(H36=0,"",J36/H36)</f>
        <v>4.4455205416828392</v>
      </c>
      <c r="J36" s="66">
        <f>+J16+J29+J32+J35</f>
        <v>515391.424</v>
      </c>
      <c r="K36" s="55">
        <f>L36/J36</f>
        <v>1.219350994672352</v>
      </c>
      <c r="L36" s="54">
        <f t="shared" ref="L36:Q36" si="24">+L16+L29+L32+L35</f>
        <v>628443.04549999989</v>
      </c>
      <c r="M36" s="252">
        <f t="shared" si="24"/>
        <v>644601.77349999989</v>
      </c>
      <c r="N36" s="54">
        <f t="shared" si="24"/>
        <v>0</v>
      </c>
      <c r="O36" s="54">
        <f t="shared" si="24"/>
        <v>-16158.727999999999</v>
      </c>
      <c r="P36" s="54">
        <f t="shared" si="24"/>
        <v>0</v>
      </c>
      <c r="Q36" s="182">
        <f t="shared" si="24"/>
        <v>-16158.727999999999</v>
      </c>
    </row>
    <row r="37" spans="1:18" ht="50.25" customHeight="1" x14ac:dyDescent="0.35">
      <c r="R37"/>
    </row>
    <row r="38" spans="1:18" ht="93" hidden="1" x14ac:dyDescent="0.35">
      <c r="D38" s="170" t="str">
        <f>+A4</f>
        <v>Program Rule</v>
      </c>
      <c r="E38" s="171"/>
      <c r="F38" s="171"/>
      <c r="G38" s="171"/>
      <c r="H38" s="172" t="str">
        <f t="shared" ref="H38:Q38" si="25">+H4</f>
        <v>Estimated # Respondents</v>
      </c>
      <c r="I38" s="172" t="str">
        <f t="shared" si="25"/>
        <v>Responses per Respondents</v>
      </c>
      <c r="J38" s="172" t="str">
        <f t="shared" si="25"/>
        <v>Total Annual Records</v>
      </c>
      <c r="K38" s="172" t="str">
        <f t="shared" si="25"/>
        <v>Estimated Avg. # of Hours Per Response</v>
      </c>
      <c r="L38" s="172" t="str">
        <f t="shared" si="25"/>
        <v xml:space="preserve">Estimated Total Hours            </v>
      </c>
      <c r="M38" s="172" t="str">
        <f t="shared" si="25"/>
        <v>Current OMB Approved Burden Hrs</v>
      </c>
      <c r="N38" s="172" t="str">
        <f t="shared" si="25"/>
        <v>Existing Requirements in Use without OMB approval</v>
      </c>
      <c r="O38" s="172" t="str">
        <f t="shared" si="25"/>
        <v>Due to Program Change - Rule</v>
      </c>
      <c r="P38" s="172" t="str">
        <f t="shared" si="25"/>
        <v>Due to an Adjustment</v>
      </c>
      <c r="Q38" s="173" t="str">
        <f t="shared" si="25"/>
        <v>Total Difference</v>
      </c>
      <c r="R38"/>
    </row>
    <row r="39" spans="1:18" hidden="1" x14ac:dyDescent="0.35">
      <c r="D39" s="32" t="e">
        <f>+#REF!</f>
        <v>#REF!</v>
      </c>
      <c r="E39" s="151"/>
      <c r="F39" s="151"/>
      <c r="G39" s="151"/>
      <c r="H39" s="56">
        <f>+SUM($H$16+$H$29+$H$32)</f>
        <v>115935</v>
      </c>
      <c r="I39" s="58">
        <f t="shared" ref="I39" si="26">IF(H39=0,"",J39/H39)</f>
        <v>0</v>
      </c>
      <c r="J39" s="56">
        <f>+SUMIF($A$9:$A$32,D39,($J$9:$J$32))</f>
        <v>0</v>
      </c>
      <c r="K39" s="58" t="str">
        <f t="shared" ref="K39" si="27">IF(J39=0,"",L39/J39)</f>
        <v/>
      </c>
      <c r="L39" s="56">
        <f>+SUMIF($A$9:$A$32,D39,($L$9:$L$32))</f>
        <v>0</v>
      </c>
      <c r="M39" s="59">
        <f>+SUMIF($A$9:$A$32,D39,($M$9:$M$32))</f>
        <v>0</v>
      </c>
      <c r="N39" s="27">
        <f>+SUMIF($A$9:$A$32,$D$39,($N$9:$N$32))</f>
        <v>0</v>
      </c>
      <c r="O39" s="27">
        <f>+SUMIF($A$9:$A$32,$D$39,($O$9:$O$32))</f>
        <v>0</v>
      </c>
      <c r="P39" s="56">
        <f>+SUMIF($A$9:$A$32,$D$39,($P$9:$P$32))</f>
        <v>0</v>
      </c>
      <c r="Q39" s="57">
        <f>+SUMIF($A$9:$A$32,D39,($Q$9:$Q$32))</f>
        <v>0</v>
      </c>
      <c r="R39"/>
    </row>
    <row r="40" spans="1:18" x14ac:dyDescent="0.35">
      <c r="R40"/>
    </row>
    <row r="41" spans="1:18" x14ac:dyDescent="0.35">
      <c r="R41"/>
    </row>
  </sheetData>
  <sheetProtection selectLockedCells="1"/>
  <dataConsolidate/>
  <mergeCells count="12">
    <mergeCell ref="A1:Q1"/>
    <mergeCell ref="A35:C35"/>
    <mergeCell ref="A33:Q33"/>
    <mergeCell ref="A2:Q2"/>
    <mergeCell ref="A5:Q5"/>
    <mergeCell ref="A17:Q17"/>
    <mergeCell ref="A30:Q30"/>
    <mergeCell ref="B3:D3"/>
    <mergeCell ref="E3:G3"/>
    <mergeCell ref="A16:C16"/>
    <mergeCell ref="A29:C29"/>
    <mergeCell ref="A32:C32"/>
  </mergeCells>
  <printOptions horizontalCentered="1"/>
  <pageMargins left="0.7" right="0.7" top="0.75" bottom="0.75" header="0.3" footer="0.3"/>
  <pageSetup paperSize="5" scale="73" fitToHeight="0" orientation="landscape" r:id="rId1"/>
  <headerFooter>
    <oddHeader>&amp;C&amp;"-,Bold"&amp;12OMB Control #0584-0006 
&amp;16 7 CFR Part 210 - National School Lunch Program</oddHeader>
  </headerFooter>
  <ignoredErrors>
    <ignoredError sqref="J39 J32:K32 J29:K29 K36 L21"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3" tint="0.39997558519241921"/>
    <pageSetUpPr fitToPage="1"/>
  </sheetPr>
  <dimension ref="A1:S49"/>
  <sheetViews>
    <sheetView zoomScale="80" zoomScaleNormal="80" workbookViewId="0">
      <pane ySplit="4" topLeftCell="A5" activePane="bottomLeft" state="frozen"/>
      <selection pane="bottomLeft" activeCell="H39" sqref="H39"/>
    </sheetView>
  </sheetViews>
  <sheetFormatPr defaultRowHeight="14.5" x14ac:dyDescent="0.35"/>
  <cols>
    <col min="1" max="1" width="11.81640625" customWidth="1"/>
    <col min="2" max="2" width="14.1796875" customWidth="1"/>
    <col min="3" max="3" width="42.1796875" customWidth="1"/>
    <col min="4" max="4" width="9.54296875" customWidth="1"/>
    <col min="5" max="5" width="14.1796875" customWidth="1"/>
    <col min="6" max="6" width="42.1796875" customWidth="1"/>
    <col min="7" max="7" width="9.54296875" customWidth="1"/>
    <col min="8" max="8" width="15.81640625" bestFit="1" customWidth="1"/>
    <col min="9" max="9" width="17" bestFit="1" customWidth="1"/>
    <col min="10" max="10" width="14.1796875" customWidth="1"/>
    <col min="11" max="11" width="14.54296875" bestFit="1" customWidth="1"/>
    <col min="12" max="12" width="13.1796875" customWidth="1"/>
    <col min="13" max="13" width="16.54296875" customWidth="1"/>
    <col min="14" max="14" width="12.81640625" customWidth="1"/>
    <col min="15" max="15" width="13" customWidth="1"/>
    <col min="16" max="16" width="11.81640625" customWidth="1"/>
    <col min="17" max="17" width="13" customWidth="1"/>
    <col min="18" max="18" width="76.7265625" customWidth="1"/>
    <col min="19" max="19" width="30.81640625" customWidth="1"/>
    <col min="20" max="20" width="20.453125" customWidth="1"/>
    <col min="67" max="67" width="8.81640625" customWidth="1"/>
  </cols>
  <sheetData>
    <row r="1" spans="1:19" ht="17.5" thickBot="1" x14ac:dyDescent="0.4">
      <c r="A1" s="306" t="s">
        <v>248</v>
      </c>
      <c r="B1" s="306"/>
      <c r="C1" s="306"/>
      <c r="D1" s="306"/>
      <c r="E1" s="306"/>
      <c r="F1" s="306"/>
      <c r="G1" s="306"/>
      <c r="H1" s="306"/>
      <c r="I1" s="306"/>
      <c r="J1" s="306"/>
      <c r="K1" s="306"/>
      <c r="L1" s="306"/>
      <c r="M1" s="306"/>
      <c r="N1" s="306"/>
      <c r="O1" s="306"/>
      <c r="P1" s="306"/>
      <c r="Q1" s="306"/>
    </row>
    <row r="2" spans="1:19" ht="22.5" customHeight="1" thickBot="1" x14ac:dyDescent="0.55000000000000004">
      <c r="A2" s="321" t="s">
        <v>88</v>
      </c>
      <c r="B2" s="322"/>
      <c r="C2" s="322"/>
      <c r="D2" s="322"/>
      <c r="E2" s="322"/>
      <c r="F2" s="322"/>
      <c r="G2" s="322"/>
      <c r="H2" s="322"/>
      <c r="I2" s="322"/>
      <c r="J2" s="322"/>
      <c r="K2" s="322"/>
      <c r="L2" s="322"/>
      <c r="M2" s="322"/>
      <c r="N2" s="322"/>
      <c r="O2" s="322"/>
      <c r="P2" s="322"/>
      <c r="Q2" s="323"/>
    </row>
    <row r="3" spans="1:19" ht="17.5" customHeight="1" x14ac:dyDescent="0.35">
      <c r="A3" s="152"/>
      <c r="B3" s="319" t="s">
        <v>173</v>
      </c>
      <c r="C3" s="319"/>
      <c r="D3" s="319"/>
      <c r="E3" s="320" t="s">
        <v>174</v>
      </c>
      <c r="F3" s="320"/>
      <c r="G3" s="320"/>
      <c r="H3" s="10" t="s">
        <v>1</v>
      </c>
      <c r="I3" s="10" t="s">
        <v>2</v>
      </c>
      <c r="J3" s="10" t="s">
        <v>3</v>
      </c>
      <c r="K3" s="10" t="s">
        <v>4</v>
      </c>
      <c r="L3" s="10" t="s">
        <v>5</v>
      </c>
      <c r="M3" s="10" t="s">
        <v>6</v>
      </c>
      <c r="N3" s="10"/>
      <c r="O3" s="10"/>
      <c r="P3" s="10"/>
      <c r="Q3" s="11" t="s">
        <v>7</v>
      </c>
      <c r="S3" s="2"/>
    </row>
    <row r="4" spans="1:19" ht="59.25" customHeight="1" x14ac:dyDescent="0.35">
      <c r="A4" s="13" t="s">
        <v>9</v>
      </c>
      <c r="B4" s="14" t="s">
        <v>10</v>
      </c>
      <c r="C4" s="14" t="s">
        <v>11</v>
      </c>
      <c r="D4" s="14" t="s">
        <v>12</v>
      </c>
      <c r="E4" s="14" t="s">
        <v>10</v>
      </c>
      <c r="F4" s="14" t="s">
        <v>11</v>
      </c>
      <c r="G4" s="14" t="s">
        <v>12</v>
      </c>
      <c r="H4" s="14" t="s">
        <v>89</v>
      </c>
      <c r="I4" s="14" t="s">
        <v>90</v>
      </c>
      <c r="J4" s="14" t="s">
        <v>15</v>
      </c>
      <c r="K4" s="14" t="s">
        <v>91</v>
      </c>
      <c r="L4" s="14" t="s">
        <v>17</v>
      </c>
      <c r="M4" s="14" t="s">
        <v>18</v>
      </c>
      <c r="N4" s="14" t="s">
        <v>19</v>
      </c>
      <c r="O4" s="14" t="s">
        <v>92</v>
      </c>
      <c r="P4" s="14" t="s">
        <v>20</v>
      </c>
      <c r="Q4" s="15" t="s">
        <v>21</v>
      </c>
      <c r="R4" s="241" t="s">
        <v>70</v>
      </c>
      <c r="S4" s="1"/>
    </row>
    <row r="5" spans="1:19" ht="18.5" x14ac:dyDescent="0.35">
      <c r="A5" s="324" t="s">
        <v>22</v>
      </c>
      <c r="B5" s="325"/>
      <c r="C5" s="325"/>
      <c r="D5" s="325"/>
      <c r="E5" s="325"/>
      <c r="F5" s="325"/>
      <c r="G5" s="325"/>
      <c r="H5" s="325"/>
      <c r="I5" s="325"/>
      <c r="J5" s="325"/>
      <c r="K5" s="325"/>
      <c r="L5" s="325"/>
      <c r="M5" s="325"/>
      <c r="N5" s="325"/>
      <c r="O5" s="325"/>
      <c r="P5" s="325"/>
      <c r="Q5" s="326"/>
      <c r="S5" s="1"/>
    </row>
    <row r="6" spans="1:19" ht="60.75" customHeight="1" x14ac:dyDescent="0.35">
      <c r="A6" s="280" t="s">
        <v>215</v>
      </c>
      <c r="B6" s="281" t="s">
        <v>235</v>
      </c>
      <c r="C6" s="268" t="s">
        <v>236</v>
      </c>
      <c r="D6" s="282"/>
      <c r="E6" s="268" t="s">
        <v>235</v>
      </c>
      <c r="F6" s="268" t="s">
        <v>236</v>
      </c>
      <c r="G6" s="282"/>
      <c r="H6" s="283">
        <f>Data!D$17</f>
        <v>56</v>
      </c>
      <c r="I6" s="283">
        <v>1</v>
      </c>
      <c r="J6" s="283">
        <f>+H6*I6</f>
        <v>56</v>
      </c>
      <c r="K6" s="284">
        <v>0.25</v>
      </c>
      <c r="L6" s="283">
        <f>+J6*K6</f>
        <v>14</v>
      </c>
      <c r="M6" s="283">
        <v>0</v>
      </c>
      <c r="N6" s="285"/>
      <c r="O6" s="285">
        <f t="shared" ref="O6:O19" si="0">L6-M6</f>
        <v>14</v>
      </c>
      <c r="P6" s="285">
        <v>0</v>
      </c>
      <c r="Q6" s="286">
        <f>+L6-M6</f>
        <v>14</v>
      </c>
      <c r="R6" s="264" t="s">
        <v>210</v>
      </c>
    </row>
    <row r="7" spans="1:19" ht="60.75" customHeight="1" x14ac:dyDescent="0.35">
      <c r="A7" s="280" t="s">
        <v>215</v>
      </c>
      <c r="B7" s="281" t="s">
        <v>30</v>
      </c>
      <c r="C7" s="268" t="s">
        <v>106</v>
      </c>
      <c r="D7" s="282"/>
      <c r="E7" s="268" t="s">
        <v>30</v>
      </c>
      <c r="F7" s="268" t="s">
        <v>106</v>
      </c>
      <c r="G7" s="282"/>
      <c r="H7" s="283">
        <f>Data!D$17</f>
        <v>56</v>
      </c>
      <c r="I7" s="283">
        <f>ROUND(Data!D18,0)</f>
        <v>68</v>
      </c>
      <c r="J7" s="283">
        <f>+H7*I7</f>
        <v>3808</v>
      </c>
      <c r="K7" s="284">
        <v>0.5</v>
      </c>
      <c r="L7" s="283">
        <f>+J7*K7</f>
        <v>1904</v>
      </c>
      <c r="M7" s="283">
        <v>3173</v>
      </c>
      <c r="N7" s="285"/>
      <c r="O7" s="285">
        <f t="shared" si="0"/>
        <v>-1269</v>
      </c>
      <c r="P7" s="285">
        <v>0</v>
      </c>
      <c r="Q7" s="286">
        <f>+L7-M7</f>
        <v>-1269</v>
      </c>
      <c r="R7" s="264" t="s">
        <v>210</v>
      </c>
    </row>
    <row r="8" spans="1:19" ht="60.75" customHeight="1" x14ac:dyDescent="0.35">
      <c r="A8" s="280" t="s">
        <v>215</v>
      </c>
      <c r="B8" s="281" t="s">
        <v>241</v>
      </c>
      <c r="C8" s="268" t="s">
        <v>229</v>
      </c>
      <c r="D8" s="282"/>
      <c r="E8" s="268" t="s">
        <v>228</v>
      </c>
      <c r="F8" s="268" t="s">
        <v>242</v>
      </c>
      <c r="G8" s="282"/>
      <c r="H8" s="283">
        <f>Data!D$17</f>
        <v>56</v>
      </c>
      <c r="I8" s="283">
        <f>ROUND(((Data!D9*Data!D13*Data!D14)/Data!D17),0)</f>
        <v>23</v>
      </c>
      <c r="J8" s="283">
        <f>+H8*I8</f>
        <v>1288</v>
      </c>
      <c r="K8" s="284">
        <v>16</v>
      </c>
      <c r="L8" s="283">
        <f t="shared" ref="L8" si="1">+J8*K8</f>
        <v>20608</v>
      </c>
      <c r="M8" s="283">
        <v>0</v>
      </c>
      <c r="N8" s="285"/>
      <c r="O8" s="285">
        <f t="shared" si="0"/>
        <v>20608</v>
      </c>
      <c r="P8" s="285">
        <v>0</v>
      </c>
      <c r="Q8" s="286">
        <f t="shared" ref="Q8" si="2">+L8-M8</f>
        <v>20608</v>
      </c>
      <c r="R8" s="264" t="s">
        <v>246</v>
      </c>
    </row>
    <row r="9" spans="1:19" ht="60.75" customHeight="1" x14ac:dyDescent="0.35">
      <c r="A9" s="280" t="s">
        <v>215</v>
      </c>
      <c r="B9" s="281" t="s">
        <v>93</v>
      </c>
      <c r="C9" s="268" t="s">
        <v>94</v>
      </c>
      <c r="D9" s="282"/>
      <c r="E9" s="268" t="s">
        <v>93</v>
      </c>
      <c r="F9" s="268" t="s">
        <v>94</v>
      </c>
      <c r="G9" s="282"/>
      <c r="H9" s="283">
        <f>Data!D$17</f>
        <v>56</v>
      </c>
      <c r="I9" s="283">
        <f>ROUND(Data!D18,0)</f>
        <v>68</v>
      </c>
      <c r="J9" s="283">
        <f t="shared" ref="J9" si="3">+H9*I9</f>
        <v>3808</v>
      </c>
      <c r="K9" s="284">
        <v>0.25</v>
      </c>
      <c r="L9" s="283">
        <f t="shared" ref="L9" si="4">+J9*K9</f>
        <v>952</v>
      </c>
      <c r="M9" s="283">
        <v>1582</v>
      </c>
      <c r="N9" s="285"/>
      <c r="O9" s="285">
        <f t="shared" si="0"/>
        <v>-630</v>
      </c>
      <c r="P9" s="285">
        <v>0</v>
      </c>
      <c r="Q9" s="286">
        <f t="shared" ref="Q9" si="5">+L9-M9</f>
        <v>-630</v>
      </c>
      <c r="R9" s="264" t="s">
        <v>210</v>
      </c>
    </row>
    <row r="10" spans="1:19" ht="87" customHeight="1" x14ac:dyDescent="0.35">
      <c r="A10" s="204"/>
      <c r="B10" s="231" t="s">
        <v>95</v>
      </c>
      <c r="C10" s="35" t="s">
        <v>96</v>
      </c>
      <c r="D10" s="69" t="s">
        <v>97</v>
      </c>
      <c r="E10" s="35" t="s">
        <v>95</v>
      </c>
      <c r="F10" s="35" t="s">
        <v>96</v>
      </c>
      <c r="G10" s="69" t="s">
        <v>97</v>
      </c>
      <c r="H10" s="116">
        <f>Data!D$17</f>
        <v>56</v>
      </c>
      <c r="I10" s="116">
        <f>ROUND(Data!D9/Data!D17,0)</f>
        <v>340</v>
      </c>
      <c r="J10" s="116">
        <f t="shared" ref="J10:J14" si="6">+H10*I10</f>
        <v>19040</v>
      </c>
      <c r="K10" s="70">
        <v>3</v>
      </c>
      <c r="L10" s="205">
        <f t="shared" ref="L10:L14" si="7">+J10*K10</f>
        <v>57120</v>
      </c>
      <c r="M10" s="116">
        <v>57120</v>
      </c>
      <c r="N10" s="62"/>
      <c r="O10" s="62">
        <f t="shared" si="0"/>
        <v>0</v>
      </c>
      <c r="P10" s="62">
        <v>0</v>
      </c>
      <c r="Q10" s="203">
        <f t="shared" ref="Q10:Q14" si="8">+L10-M10</f>
        <v>0</v>
      </c>
      <c r="R10" s="184"/>
    </row>
    <row r="11" spans="1:19" ht="56.25" customHeight="1" x14ac:dyDescent="0.35">
      <c r="A11" s="204"/>
      <c r="B11" s="231" t="s">
        <v>98</v>
      </c>
      <c r="C11" s="35" t="s">
        <v>99</v>
      </c>
      <c r="D11" s="69" t="s">
        <v>100</v>
      </c>
      <c r="E11" s="35" t="s">
        <v>98</v>
      </c>
      <c r="F11" s="35" t="s">
        <v>99</v>
      </c>
      <c r="G11" s="69" t="s">
        <v>100</v>
      </c>
      <c r="H11" s="116">
        <f>Data!D$17</f>
        <v>56</v>
      </c>
      <c r="I11" s="116">
        <v>1</v>
      </c>
      <c r="J11" s="116">
        <f t="shared" si="6"/>
        <v>56</v>
      </c>
      <c r="K11" s="70">
        <v>1</v>
      </c>
      <c r="L11" s="116">
        <f t="shared" si="7"/>
        <v>56</v>
      </c>
      <c r="M11" s="116">
        <v>56</v>
      </c>
      <c r="N11" s="62"/>
      <c r="O11" s="62">
        <f t="shared" si="0"/>
        <v>0</v>
      </c>
      <c r="P11" s="62">
        <v>0</v>
      </c>
      <c r="Q11" s="203">
        <f t="shared" si="8"/>
        <v>0</v>
      </c>
      <c r="R11" s="184"/>
    </row>
    <row r="12" spans="1:19" ht="69.75" customHeight="1" x14ac:dyDescent="0.35">
      <c r="A12" s="280" t="s">
        <v>215</v>
      </c>
      <c r="B12" s="281" t="s">
        <v>227</v>
      </c>
      <c r="C12" s="268" t="s">
        <v>102</v>
      </c>
      <c r="D12" s="282" t="s">
        <v>103</v>
      </c>
      <c r="E12" s="268" t="s">
        <v>101</v>
      </c>
      <c r="F12" s="268" t="s">
        <v>102</v>
      </c>
      <c r="G12" s="282" t="s">
        <v>103</v>
      </c>
      <c r="H12" s="283">
        <f>Data!D$17</f>
        <v>56</v>
      </c>
      <c r="I12" s="283">
        <f>ROUND(Data!D18,0)</f>
        <v>68</v>
      </c>
      <c r="J12" s="283">
        <f t="shared" si="6"/>
        <v>3808</v>
      </c>
      <c r="K12" s="284">
        <v>8.0021400000000007</v>
      </c>
      <c r="L12" s="283">
        <f t="shared" si="7"/>
        <v>30472.149120000002</v>
      </c>
      <c r="M12" s="283">
        <v>50638</v>
      </c>
      <c r="N12" s="285"/>
      <c r="O12" s="285">
        <f t="shared" si="0"/>
        <v>-20165.850879999998</v>
      </c>
      <c r="P12" s="285">
        <v>0</v>
      </c>
      <c r="Q12" s="286">
        <f t="shared" si="8"/>
        <v>-20165.850879999998</v>
      </c>
      <c r="R12" s="264" t="s">
        <v>210</v>
      </c>
    </row>
    <row r="13" spans="1:19" ht="77.25" customHeight="1" x14ac:dyDescent="0.35">
      <c r="A13" s="280" t="s">
        <v>215</v>
      </c>
      <c r="B13" s="281" t="s">
        <v>104</v>
      </c>
      <c r="C13" s="268" t="s">
        <v>105</v>
      </c>
      <c r="D13" s="282"/>
      <c r="E13" s="268" t="s">
        <v>104</v>
      </c>
      <c r="F13" s="268" t="s">
        <v>105</v>
      </c>
      <c r="G13" s="282"/>
      <c r="H13" s="283">
        <f>Data!D$17</f>
        <v>56</v>
      </c>
      <c r="I13" s="283">
        <f>ROUND(Data!D18,0)</f>
        <v>68</v>
      </c>
      <c r="J13" s="283">
        <f t="shared" si="6"/>
        <v>3808</v>
      </c>
      <c r="K13" s="284">
        <v>0.5</v>
      </c>
      <c r="L13" s="283">
        <f t="shared" si="7"/>
        <v>1904</v>
      </c>
      <c r="M13" s="283">
        <v>3164</v>
      </c>
      <c r="N13" s="285"/>
      <c r="O13" s="285">
        <f t="shared" si="0"/>
        <v>-1260</v>
      </c>
      <c r="P13" s="285">
        <v>0</v>
      </c>
      <c r="Q13" s="286">
        <f t="shared" si="8"/>
        <v>-1260</v>
      </c>
      <c r="R13" s="264" t="s">
        <v>210</v>
      </c>
    </row>
    <row r="14" spans="1:19" ht="75.75" customHeight="1" x14ac:dyDescent="0.35">
      <c r="A14" s="202"/>
      <c r="B14" s="231" t="s">
        <v>107</v>
      </c>
      <c r="C14" s="35" t="s">
        <v>108</v>
      </c>
      <c r="D14" s="69"/>
      <c r="E14" s="35" t="s">
        <v>107</v>
      </c>
      <c r="F14" s="35" t="s">
        <v>108</v>
      </c>
      <c r="G14" s="69"/>
      <c r="H14" s="116">
        <f>Data!D$17</f>
        <v>56</v>
      </c>
      <c r="I14" s="116">
        <v>1</v>
      </c>
      <c r="J14" s="116">
        <f t="shared" si="6"/>
        <v>56</v>
      </c>
      <c r="K14" s="70">
        <v>3</v>
      </c>
      <c r="L14" s="116">
        <f t="shared" si="7"/>
        <v>168</v>
      </c>
      <c r="M14" s="116">
        <v>168</v>
      </c>
      <c r="N14" s="62"/>
      <c r="O14" s="62">
        <f t="shared" si="0"/>
        <v>0</v>
      </c>
      <c r="P14" s="62">
        <v>0</v>
      </c>
      <c r="Q14" s="203">
        <f t="shared" si="8"/>
        <v>0</v>
      </c>
      <c r="R14" s="184"/>
    </row>
    <row r="15" spans="1:19" ht="51" customHeight="1" x14ac:dyDescent="0.35">
      <c r="A15" s="202"/>
      <c r="B15" s="231" t="s">
        <v>109</v>
      </c>
      <c r="C15" s="35" t="s">
        <v>110</v>
      </c>
      <c r="D15" s="69"/>
      <c r="E15" s="125" t="s">
        <v>109</v>
      </c>
      <c r="F15" s="35" t="s">
        <v>110</v>
      </c>
      <c r="G15" s="69"/>
      <c r="H15" s="116">
        <f>Data!D$17</f>
        <v>56</v>
      </c>
      <c r="I15" s="116">
        <f>ROUND(Data!D9/Data!D17,0)</f>
        <v>340</v>
      </c>
      <c r="J15" s="116">
        <f t="shared" ref="J15" si="9">+H15*I15</f>
        <v>19040</v>
      </c>
      <c r="K15" s="70">
        <v>0.25</v>
      </c>
      <c r="L15" s="116">
        <f t="shared" ref="L15" si="10">+J15*K15</f>
        <v>4760</v>
      </c>
      <c r="M15" s="116">
        <v>4760</v>
      </c>
      <c r="N15" s="62"/>
      <c r="O15" s="62">
        <f t="shared" si="0"/>
        <v>0</v>
      </c>
      <c r="P15" s="62">
        <v>0</v>
      </c>
      <c r="Q15" s="203">
        <f t="shared" ref="Q15:Q16" si="11">+L15-M15</f>
        <v>0</v>
      </c>
      <c r="R15" s="184"/>
    </row>
    <row r="16" spans="1:19" ht="53.25" customHeight="1" x14ac:dyDescent="0.35">
      <c r="A16" s="202"/>
      <c r="B16" s="231" t="s">
        <v>201</v>
      </c>
      <c r="C16" s="35" t="s">
        <v>111</v>
      </c>
      <c r="D16" s="69" t="s">
        <v>112</v>
      </c>
      <c r="E16" s="35" t="s">
        <v>201</v>
      </c>
      <c r="F16" s="35" t="s">
        <v>111</v>
      </c>
      <c r="G16" s="69" t="s">
        <v>112</v>
      </c>
      <c r="H16" s="116">
        <f>Data!D$17</f>
        <v>56</v>
      </c>
      <c r="I16" s="116">
        <f>ROUND(Data!D9/Data!D17,0)</f>
        <v>340</v>
      </c>
      <c r="J16" s="116">
        <f>+H16*I16</f>
        <v>19040</v>
      </c>
      <c r="K16" s="70">
        <v>0.20039999999999999</v>
      </c>
      <c r="L16" s="116">
        <f>+J16*K16</f>
        <v>3815.616</v>
      </c>
      <c r="M16" s="116">
        <f>L16</f>
        <v>3815.616</v>
      </c>
      <c r="N16" s="62"/>
      <c r="O16" s="62">
        <f t="shared" si="0"/>
        <v>0</v>
      </c>
      <c r="P16" s="62">
        <v>0</v>
      </c>
      <c r="Q16" s="203">
        <f t="shared" si="11"/>
        <v>0</v>
      </c>
      <c r="R16" s="184"/>
    </row>
    <row r="17" spans="1:19" ht="57" customHeight="1" x14ac:dyDescent="0.35">
      <c r="A17" s="202"/>
      <c r="B17" s="231" t="s">
        <v>113</v>
      </c>
      <c r="C17" s="35" t="s">
        <v>114</v>
      </c>
      <c r="D17" s="69"/>
      <c r="E17" s="35" t="s">
        <v>113</v>
      </c>
      <c r="F17" s="35" t="s">
        <v>114</v>
      </c>
      <c r="G17" s="69"/>
      <c r="H17" s="116">
        <f>Data!D$17</f>
        <v>56</v>
      </c>
      <c r="I17" s="116">
        <v>1</v>
      </c>
      <c r="J17" s="116">
        <f t="shared" ref="J17:J20" si="12">+H17*I17</f>
        <v>56</v>
      </c>
      <c r="K17" s="70">
        <v>0.25</v>
      </c>
      <c r="L17" s="116">
        <f t="shared" ref="L17:L20" si="13">+J17*K17</f>
        <v>14</v>
      </c>
      <c r="M17" s="116">
        <v>14</v>
      </c>
      <c r="N17" s="62"/>
      <c r="O17" s="62">
        <f t="shared" si="0"/>
        <v>0</v>
      </c>
      <c r="P17" s="62">
        <v>0</v>
      </c>
      <c r="Q17" s="203">
        <f t="shared" ref="Q17:Q20" si="14">+L17-M17</f>
        <v>0</v>
      </c>
      <c r="R17" s="184"/>
    </row>
    <row r="18" spans="1:19" ht="57" customHeight="1" x14ac:dyDescent="0.35">
      <c r="A18" s="280" t="s">
        <v>215</v>
      </c>
      <c r="B18" s="281" t="s">
        <v>237</v>
      </c>
      <c r="C18" s="268" t="s">
        <v>238</v>
      </c>
      <c r="D18" s="282"/>
      <c r="E18" s="267" t="s">
        <v>237</v>
      </c>
      <c r="F18" s="268" t="s">
        <v>238</v>
      </c>
      <c r="G18" s="282"/>
      <c r="H18" s="283">
        <f>Data!D$17</f>
        <v>56</v>
      </c>
      <c r="I18" s="284">
        <f>ROUND(Data!D21/Data!D17,2)</f>
        <v>0.09</v>
      </c>
      <c r="J18" s="284">
        <f t="shared" ref="J18" si="15">+H18*I18</f>
        <v>5.04</v>
      </c>
      <c r="K18" s="284">
        <v>0.25</v>
      </c>
      <c r="L18" s="284">
        <f t="shared" ref="L18" si="16">+J18*K18</f>
        <v>1.26</v>
      </c>
      <c r="M18" s="283">
        <v>0</v>
      </c>
      <c r="N18" s="285"/>
      <c r="O18" s="285">
        <f t="shared" si="0"/>
        <v>1.26</v>
      </c>
      <c r="P18" s="285">
        <v>0</v>
      </c>
      <c r="Q18" s="286">
        <f t="shared" ref="Q18" si="17">+L18-M18</f>
        <v>1.26</v>
      </c>
      <c r="R18" s="264" t="s">
        <v>210</v>
      </c>
    </row>
    <row r="19" spans="1:19" ht="57" customHeight="1" x14ac:dyDescent="0.35">
      <c r="A19" s="202"/>
      <c r="B19" s="231" t="s">
        <v>35</v>
      </c>
      <c r="C19" s="232" t="s">
        <v>115</v>
      </c>
      <c r="D19" s="69"/>
      <c r="E19" s="231" t="s">
        <v>35</v>
      </c>
      <c r="F19" s="232" t="s">
        <v>115</v>
      </c>
      <c r="G19" s="69"/>
      <c r="H19" s="116">
        <f>Data!D$17</f>
        <v>56</v>
      </c>
      <c r="I19" s="116">
        <f>J19/H19</f>
        <v>16.982142857142858</v>
      </c>
      <c r="J19" s="116">
        <f>Data!D26</f>
        <v>951</v>
      </c>
      <c r="K19" s="70">
        <v>0.25</v>
      </c>
      <c r="L19" s="116">
        <f t="shared" si="13"/>
        <v>237.75</v>
      </c>
      <c r="M19" s="116">
        <v>237.75</v>
      </c>
      <c r="N19" s="62"/>
      <c r="O19" s="62">
        <f t="shared" si="0"/>
        <v>0</v>
      </c>
      <c r="P19" s="62">
        <v>0</v>
      </c>
      <c r="Q19" s="203">
        <f>L19-M19</f>
        <v>0</v>
      </c>
      <c r="R19" s="184"/>
    </row>
    <row r="20" spans="1:19" x14ac:dyDescent="0.35">
      <c r="A20" s="202"/>
      <c r="B20" s="35"/>
      <c r="C20" s="35"/>
      <c r="D20" s="69"/>
      <c r="E20" s="69"/>
      <c r="F20" s="69"/>
      <c r="G20" s="69"/>
      <c r="H20" s="116"/>
      <c r="I20" s="116"/>
      <c r="J20" s="205">
        <f t="shared" si="12"/>
        <v>0</v>
      </c>
      <c r="K20" s="70"/>
      <c r="L20" s="205">
        <f t="shared" si="13"/>
        <v>0</v>
      </c>
      <c r="M20" s="116">
        <v>0</v>
      </c>
      <c r="N20" s="62"/>
      <c r="O20" s="62"/>
      <c r="P20" s="62">
        <v>0</v>
      </c>
      <c r="Q20" s="203">
        <f t="shared" si="14"/>
        <v>0</v>
      </c>
      <c r="R20" s="184"/>
    </row>
    <row r="21" spans="1:19" x14ac:dyDescent="0.35">
      <c r="A21" s="207" t="s">
        <v>37</v>
      </c>
      <c r="B21" s="208"/>
      <c r="C21" s="209" t="s">
        <v>38</v>
      </c>
      <c r="D21" s="210"/>
      <c r="E21" s="210"/>
      <c r="F21" s="210"/>
      <c r="G21" s="210"/>
      <c r="H21" s="211">
        <f>+MAX(H6:H20)</f>
        <v>56</v>
      </c>
      <c r="I21" s="211">
        <f>IF(H21=0,"",J21/H21)</f>
        <v>1336.0721428571428</v>
      </c>
      <c r="J21" s="211">
        <f>SUM(J6:J20)</f>
        <v>74820.039999999994</v>
      </c>
      <c r="K21" s="212">
        <f>IF(J21=0,"",L21/J21)</f>
        <v>1.630937047347208</v>
      </c>
      <c r="L21" s="211">
        <f t="shared" ref="L21:Q21" si="18">SUM(L6:L20)</f>
        <v>122026.77511999999</v>
      </c>
      <c r="M21" s="246">
        <f t="shared" si="18"/>
        <v>124728.36599999999</v>
      </c>
      <c r="N21" s="213">
        <f t="shared" si="18"/>
        <v>0</v>
      </c>
      <c r="O21" s="213">
        <f t="shared" si="18"/>
        <v>-2701.5908799999979</v>
      </c>
      <c r="P21" s="213">
        <f t="shared" si="18"/>
        <v>0</v>
      </c>
      <c r="Q21" s="214">
        <f t="shared" si="18"/>
        <v>-2701.5908799999979</v>
      </c>
      <c r="S21" s="16"/>
    </row>
    <row r="22" spans="1:19" ht="18.75" customHeight="1" x14ac:dyDescent="0.35">
      <c r="A22" s="327" t="s">
        <v>39</v>
      </c>
      <c r="B22" s="328"/>
      <c r="C22" s="328"/>
      <c r="D22" s="328"/>
      <c r="E22" s="328"/>
      <c r="F22" s="328"/>
      <c r="G22" s="328"/>
      <c r="H22" s="328"/>
      <c r="I22" s="328"/>
      <c r="J22" s="328"/>
      <c r="K22" s="328"/>
      <c r="L22" s="328"/>
      <c r="M22" s="328"/>
      <c r="N22" s="328"/>
      <c r="O22" s="328"/>
      <c r="P22" s="328"/>
      <c r="Q22" s="329"/>
      <c r="R22" s="184"/>
      <c r="S22" s="1"/>
    </row>
    <row r="23" spans="1:19" ht="41.25" customHeight="1" thickBot="1" x14ac:dyDescent="0.4">
      <c r="A23" s="202"/>
      <c r="B23" s="35" t="s">
        <v>116</v>
      </c>
      <c r="C23" s="35" t="s">
        <v>117</v>
      </c>
      <c r="D23" s="215"/>
      <c r="E23" s="35" t="s">
        <v>116</v>
      </c>
      <c r="F23" s="35" t="s">
        <v>117</v>
      </c>
      <c r="G23" s="215"/>
      <c r="H23" s="216">
        <f>Data!D$9</f>
        <v>19019</v>
      </c>
      <c r="I23" s="216">
        <v>4</v>
      </c>
      <c r="J23" s="116">
        <f t="shared" ref="J23:J35" si="19">+H23*I23</f>
        <v>76076</v>
      </c>
      <c r="K23" s="217">
        <v>0.65129999999999999</v>
      </c>
      <c r="L23" s="116">
        <f t="shared" ref="L23:L35" si="20">+J23*K23</f>
        <v>49548.298799999997</v>
      </c>
      <c r="M23" s="247">
        <f>L23</f>
        <v>49548.298799999997</v>
      </c>
      <c r="N23" s="33"/>
      <c r="O23" s="62">
        <f>L23-M23</f>
        <v>0</v>
      </c>
      <c r="P23" s="33">
        <v>0</v>
      </c>
      <c r="Q23" s="34">
        <f>+L23-M23</f>
        <v>0</v>
      </c>
      <c r="R23" s="184"/>
    </row>
    <row r="24" spans="1:19" ht="73" thickBot="1" x14ac:dyDescent="0.4">
      <c r="A24" s="202"/>
      <c r="B24" s="231" t="s">
        <v>140</v>
      </c>
      <c r="C24" s="232" t="s">
        <v>253</v>
      </c>
      <c r="D24" s="215"/>
      <c r="E24" s="231" t="s">
        <v>140</v>
      </c>
      <c r="F24" s="232" t="s">
        <v>141</v>
      </c>
      <c r="G24" s="215"/>
      <c r="H24" s="216">
        <f>Data!D$9</f>
        <v>19019</v>
      </c>
      <c r="I24" s="216">
        <f>Data!D$10</f>
        <v>10</v>
      </c>
      <c r="J24" s="116">
        <f>+H24*I24</f>
        <v>190190</v>
      </c>
      <c r="K24" s="217">
        <f>0.5</f>
        <v>0.5</v>
      </c>
      <c r="L24" s="116">
        <f>+J24*K24</f>
        <v>95095</v>
      </c>
      <c r="M24" s="248">
        <v>95095</v>
      </c>
      <c r="N24" s="33"/>
      <c r="O24" s="62">
        <f>L24-M24</f>
        <v>0</v>
      </c>
      <c r="P24" s="33">
        <v>0</v>
      </c>
      <c r="Q24" s="34">
        <f>L24-M24</f>
        <v>0</v>
      </c>
      <c r="R24" s="243"/>
    </row>
    <row r="25" spans="1:19" ht="72.5" x14ac:dyDescent="0.35">
      <c r="A25" s="202"/>
      <c r="B25" s="231" t="s">
        <v>138</v>
      </c>
      <c r="C25" s="232" t="s">
        <v>139</v>
      </c>
      <c r="D25" s="215"/>
      <c r="E25" s="231" t="s">
        <v>138</v>
      </c>
      <c r="F25" s="232" t="s">
        <v>139</v>
      </c>
      <c r="G25" s="215"/>
      <c r="H25" s="216">
        <f>Data!D28</f>
        <v>317</v>
      </c>
      <c r="I25" s="216">
        <v>1</v>
      </c>
      <c r="J25" s="116">
        <f>+H25*I25</f>
        <v>317</v>
      </c>
      <c r="K25" s="217">
        <v>1</v>
      </c>
      <c r="L25" s="116">
        <f>+J25*K25</f>
        <v>317</v>
      </c>
      <c r="M25" s="248">
        <v>317</v>
      </c>
      <c r="N25" s="33"/>
      <c r="O25" s="33">
        <f>L25-M25</f>
        <v>0</v>
      </c>
      <c r="P25" s="33">
        <v>0</v>
      </c>
      <c r="Q25" s="34">
        <f>L25-M25</f>
        <v>0</v>
      </c>
      <c r="R25" s="184"/>
    </row>
    <row r="26" spans="1:19" ht="43.5" x14ac:dyDescent="0.35">
      <c r="A26" s="202"/>
      <c r="B26" s="231" t="s">
        <v>118</v>
      </c>
      <c r="C26" s="35" t="s">
        <v>119</v>
      </c>
      <c r="D26" s="215"/>
      <c r="E26" s="35" t="s">
        <v>118</v>
      </c>
      <c r="F26" s="35" t="s">
        <v>119</v>
      </c>
      <c r="G26" s="215"/>
      <c r="H26" s="216">
        <f>Data!D$9</f>
        <v>19019</v>
      </c>
      <c r="I26" s="216">
        <v>1</v>
      </c>
      <c r="J26" s="116">
        <f>+H26*I26</f>
        <v>19019</v>
      </c>
      <c r="K26" s="217">
        <v>20</v>
      </c>
      <c r="L26" s="116">
        <f>+J26*K26</f>
        <v>380380</v>
      </c>
      <c r="M26" s="247">
        <v>380380</v>
      </c>
      <c r="N26" s="33"/>
      <c r="O26" s="33">
        <f>L26-M26</f>
        <v>0</v>
      </c>
      <c r="P26" s="33">
        <v>0</v>
      </c>
      <c r="Q26" s="203">
        <f t="shared" ref="Q26" si="21">+L26-M26</f>
        <v>0</v>
      </c>
      <c r="R26" s="184"/>
    </row>
    <row r="27" spans="1:19" ht="58" x14ac:dyDescent="0.35">
      <c r="A27" s="202"/>
      <c r="B27" s="35" t="s">
        <v>120</v>
      </c>
      <c r="C27" s="35" t="s">
        <v>121</v>
      </c>
      <c r="D27" s="215"/>
      <c r="E27" s="35" t="s">
        <v>120</v>
      </c>
      <c r="F27" s="35" t="s">
        <v>121</v>
      </c>
      <c r="G27" s="215"/>
      <c r="H27" s="216">
        <f>Data!D$9</f>
        <v>19019</v>
      </c>
      <c r="I27" s="216">
        <f>Data!D$10</f>
        <v>10</v>
      </c>
      <c r="J27" s="116">
        <f>+H27*I27</f>
        <v>190190</v>
      </c>
      <c r="K27" s="217">
        <v>5</v>
      </c>
      <c r="L27" s="116">
        <f>+J27*K27</f>
        <v>950950</v>
      </c>
      <c r="M27" s="247">
        <v>950950</v>
      </c>
      <c r="N27" s="33"/>
      <c r="O27" s="33">
        <f>L27-M27</f>
        <v>0</v>
      </c>
      <c r="P27" s="33">
        <v>0</v>
      </c>
      <c r="Q27" s="34">
        <f>+L27-M27</f>
        <v>0</v>
      </c>
      <c r="R27" s="184"/>
    </row>
    <row r="28" spans="1:19" ht="54" customHeight="1" x14ac:dyDescent="0.35">
      <c r="A28" s="202"/>
      <c r="B28" s="35" t="s">
        <v>122</v>
      </c>
      <c r="C28" s="35" t="s">
        <v>123</v>
      </c>
      <c r="D28" s="215"/>
      <c r="E28" s="35" t="s">
        <v>122</v>
      </c>
      <c r="F28" s="35" t="s">
        <v>123</v>
      </c>
      <c r="G28" s="215"/>
      <c r="H28" s="216">
        <f>Data!D$9</f>
        <v>19019</v>
      </c>
      <c r="I28" s="216">
        <v>1</v>
      </c>
      <c r="J28" s="116">
        <f t="shared" si="19"/>
        <v>19019</v>
      </c>
      <c r="K28" s="217">
        <v>0.25</v>
      </c>
      <c r="L28" s="116">
        <f t="shared" si="20"/>
        <v>4754.75</v>
      </c>
      <c r="M28" s="247">
        <v>4754.9399999999996</v>
      </c>
      <c r="N28" s="33"/>
      <c r="O28" s="33">
        <f t="shared" ref="O28:O35" si="22">L28-M28</f>
        <v>-0.18999999999959982</v>
      </c>
      <c r="P28" s="33">
        <v>0</v>
      </c>
      <c r="Q28" s="34">
        <f t="shared" ref="Q28:Q32" si="23">+L28-M28</f>
        <v>-0.18999999999959982</v>
      </c>
      <c r="R28" s="184"/>
    </row>
    <row r="29" spans="1:19" ht="42.65" customHeight="1" x14ac:dyDescent="0.35">
      <c r="A29" s="202"/>
      <c r="B29" s="35" t="s">
        <v>124</v>
      </c>
      <c r="C29" s="35" t="s">
        <v>125</v>
      </c>
      <c r="D29" s="215"/>
      <c r="E29" s="35" t="s">
        <v>124</v>
      </c>
      <c r="F29" s="35" t="s">
        <v>125</v>
      </c>
      <c r="G29" s="215"/>
      <c r="H29" s="216">
        <f>Data!D$9</f>
        <v>19019</v>
      </c>
      <c r="I29" s="216">
        <v>1</v>
      </c>
      <c r="J29" s="116">
        <f t="shared" si="19"/>
        <v>19019</v>
      </c>
      <c r="K29" s="217">
        <v>2.66</v>
      </c>
      <c r="L29" s="116">
        <f t="shared" si="20"/>
        <v>50590.54</v>
      </c>
      <c r="M29" s="247">
        <v>50590.54</v>
      </c>
      <c r="N29" s="33"/>
      <c r="O29" s="33">
        <f t="shared" si="22"/>
        <v>0</v>
      </c>
      <c r="P29" s="33">
        <v>0</v>
      </c>
      <c r="Q29" s="34">
        <f t="shared" si="23"/>
        <v>0</v>
      </c>
      <c r="R29" s="184"/>
    </row>
    <row r="30" spans="1:19" ht="29" x14ac:dyDescent="0.35">
      <c r="A30" s="202"/>
      <c r="B30" s="35" t="s">
        <v>126</v>
      </c>
      <c r="C30" s="35" t="s">
        <v>127</v>
      </c>
      <c r="D30" s="215"/>
      <c r="E30" s="35" t="s">
        <v>126</v>
      </c>
      <c r="F30" s="35" t="s">
        <v>127</v>
      </c>
      <c r="G30" s="215"/>
      <c r="H30" s="216">
        <f>Data!D$9</f>
        <v>19019</v>
      </c>
      <c r="I30" s="216">
        <v>1</v>
      </c>
      <c r="J30" s="116">
        <f t="shared" si="19"/>
        <v>19019</v>
      </c>
      <c r="K30" s="217">
        <v>5</v>
      </c>
      <c r="L30" s="116">
        <f t="shared" si="20"/>
        <v>95095</v>
      </c>
      <c r="M30" s="247">
        <v>95095</v>
      </c>
      <c r="N30" s="33"/>
      <c r="O30" s="33">
        <f t="shared" si="22"/>
        <v>0</v>
      </c>
      <c r="P30" s="33">
        <v>0</v>
      </c>
      <c r="Q30" s="34">
        <f t="shared" si="23"/>
        <v>0</v>
      </c>
      <c r="R30" s="184"/>
    </row>
    <row r="31" spans="1:19" ht="68.25" customHeight="1" x14ac:dyDescent="0.35">
      <c r="A31" s="202"/>
      <c r="B31" s="35" t="s">
        <v>128</v>
      </c>
      <c r="C31" s="35" t="s">
        <v>129</v>
      </c>
      <c r="D31" s="215"/>
      <c r="E31" s="35" t="s">
        <v>128</v>
      </c>
      <c r="F31" s="35" t="s">
        <v>129</v>
      </c>
      <c r="G31" s="215"/>
      <c r="H31" s="216">
        <f>Data!D$9</f>
        <v>19019</v>
      </c>
      <c r="I31" s="216">
        <v>1</v>
      </c>
      <c r="J31" s="116">
        <f t="shared" si="19"/>
        <v>19019</v>
      </c>
      <c r="K31" s="217">
        <v>10</v>
      </c>
      <c r="L31" s="116">
        <f t="shared" si="20"/>
        <v>190190</v>
      </c>
      <c r="M31" s="247">
        <v>190190</v>
      </c>
      <c r="N31" s="33"/>
      <c r="O31" s="33">
        <f t="shared" si="22"/>
        <v>0</v>
      </c>
      <c r="P31" s="33">
        <v>0</v>
      </c>
      <c r="Q31" s="34">
        <f t="shared" si="23"/>
        <v>0</v>
      </c>
      <c r="R31" s="184"/>
    </row>
    <row r="32" spans="1:19" ht="43.5" x14ac:dyDescent="0.35">
      <c r="A32" s="202"/>
      <c r="B32" s="35" t="s">
        <v>244</v>
      </c>
      <c r="C32" s="35" t="s">
        <v>130</v>
      </c>
      <c r="D32" s="215"/>
      <c r="E32" s="35" t="s">
        <v>244</v>
      </c>
      <c r="F32" s="35" t="s">
        <v>130</v>
      </c>
      <c r="G32" s="215"/>
      <c r="H32" s="216">
        <f>Data!D$9</f>
        <v>19019</v>
      </c>
      <c r="I32" s="216">
        <v>1</v>
      </c>
      <c r="J32" s="116">
        <f t="shared" si="19"/>
        <v>19019</v>
      </c>
      <c r="K32" s="217">
        <f>0.25</f>
        <v>0.25</v>
      </c>
      <c r="L32" s="116">
        <f t="shared" si="20"/>
        <v>4754.75</v>
      </c>
      <c r="M32" s="247">
        <v>4754.75</v>
      </c>
      <c r="N32" s="33"/>
      <c r="O32" s="33">
        <f t="shared" si="22"/>
        <v>0</v>
      </c>
      <c r="P32" s="33">
        <v>0</v>
      </c>
      <c r="Q32" s="34">
        <f t="shared" si="23"/>
        <v>0</v>
      </c>
      <c r="R32" s="184" t="s">
        <v>247</v>
      </c>
    </row>
    <row r="33" spans="1:19" ht="54" customHeight="1" thickBot="1" x14ac:dyDescent="0.4">
      <c r="A33" s="202"/>
      <c r="B33" s="35" t="s">
        <v>131</v>
      </c>
      <c r="C33" s="35" t="s">
        <v>132</v>
      </c>
      <c r="D33" s="215"/>
      <c r="E33" s="35" t="s">
        <v>131</v>
      </c>
      <c r="F33" s="35" t="s">
        <v>132</v>
      </c>
      <c r="G33" s="215"/>
      <c r="H33" s="216">
        <f>Data!D$9</f>
        <v>19019</v>
      </c>
      <c r="I33" s="216">
        <v>1</v>
      </c>
      <c r="J33" s="116">
        <f t="shared" si="19"/>
        <v>19019</v>
      </c>
      <c r="K33" s="217">
        <v>0.25</v>
      </c>
      <c r="L33" s="116">
        <f t="shared" si="20"/>
        <v>4754.75</v>
      </c>
      <c r="M33" s="247">
        <v>4754.75</v>
      </c>
      <c r="N33" s="33"/>
      <c r="O33" s="33">
        <f t="shared" si="22"/>
        <v>0</v>
      </c>
      <c r="P33" s="33">
        <v>0</v>
      </c>
      <c r="Q33" s="34">
        <f>+L33-M33</f>
        <v>0</v>
      </c>
      <c r="R33" s="184"/>
    </row>
    <row r="34" spans="1:19" ht="44" thickBot="1" x14ac:dyDescent="0.4">
      <c r="A34" s="202"/>
      <c r="B34" s="231" t="s">
        <v>134</v>
      </c>
      <c r="C34" s="232" t="s">
        <v>135</v>
      </c>
      <c r="D34" s="215"/>
      <c r="E34" s="231" t="s">
        <v>134</v>
      </c>
      <c r="F34" s="232" t="s">
        <v>135</v>
      </c>
      <c r="G34" s="215"/>
      <c r="H34" s="216">
        <f>Data!D$9</f>
        <v>19019</v>
      </c>
      <c r="I34" s="216">
        <f>Data!D$10</f>
        <v>10</v>
      </c>
      <c r="J34" s="116">
        <f t="shared" si="19"/>
        <v>190190</v>
      </c>
      <c r="K34" s="217">
        <f>0.25</f>
        <v>0.25</v>
      </c>
      <c r="L34" s="116">
        <f t="shared" si="20"/>
        <v>47547.5</v>
      </c>
      <c r="M34" s="248">
        <v>47547.5</v>
      </c>
      <c r="N34" s="33"/>
      <c r="O34" s="33">
        <f t="shared" si="22"/>
        <v>0</v>
      </c>
      <c r="P34" s="33">
        <v>0</v>
      </c>
      <c r="Q34" s="34">
        <f t="shared" ref="Q34:Q35" si="24">L34-M34</f>
        <v>0</v>
      </c>
      <c r="R34" s="243"/>
    </row>
    <row r="35" spans="1:19" ht="54" customHeight="1" x14ac:dyDescent="0.35">
      <c r="A35" s="202"/>
      <c r="B35" s="231" t="s">
        <v>136</v>
      </c>
      <c r="C35" s="232" t="s">
        <v>137</v>
      </c>
      <c r="D35" s="215"/>
      <c r="E35" s="231" t="s">
        <v>136</v>
      </c>
      <c r="F35" s="232" t="s">
        <v>137</v>
      </c>
      <c r="G35" s="215"/>
      <c r="H35" s="216">
        <f>Data!D$9</f>
        <v>19019</v>
      </c>
      <c r="I35" s="216">
        <v>1</v>
      </c>
      <c r="J35" s="116">
        <f t="shared" si="19"/>
        <v>19019</v>
      </c>
      <c r="K35" s="217">
        <v>10</v>
      </c>
      <c r="L35" s="116">
        <f t="shared" si="20"/>
        <v>190190</v>
      </c>
      <c r="M35" s="248">
        <v>190190</v>
      </c>
      <c r="N35" s="33"/>
      <c r="O35" s="33">
        <f t="shared" si="22"/>
        <v>0</v>
      </c>
      <c r="P35" s="33">
        <v>0</v>
      </c>
      <c r="Q35" s="34">
        <f t="shared" si="24"/>
        <v>0</v>
      </c>
      <c r="R35" s="184"/>
    </row>
    <row r="36" spans="1:19" ht="54" customHeight="1" x14ac:dyDescent="0.35">
      <c r="A36" s="280" t="s">
        <v>215</v>
      </c>
      <c r="B36" s="281" t="s">
        <v>216</v>
      </c>
      <c r="C36" s="287" t="s">
        <v>239</v>
      </c>
      <c r="D36" s="288"/>
      <c r="E36" s="281" t="s">
        <v>216</v>
      </c>
      <c r="F36" s="287" t="s">
        <v>239</v>
      </c>
      <c r="G36" s="288"/>
      <c r="H36" s="289">
        <f>Data!D$9</f>
        <v>19019</v>
      </c>
      <c r="I36" s="289">
        <v>1</v>
      </c>
      <c r="J36" s="283">
        <f t="shared" ref="J36" si="25">+H36*I36</f>
        <v>19019</v>
      </c>
      <c r="K36" s="290">
        <v>0.25</v>
      </c>
      <c r="L36" s="283">
        <f t="shared" ref="L36" si="26">+J36*K36</f>
        <v>4754.75</v>
      </c>
      <c r="M36" s="291">
        <v>0</v>
      </c>
      <c r="N36" s="292"/>
      <c r="O36" s="292">
        <f t="shared" ref="O36" si="27">L36-M36</f>
        <v>4754.75</v>
      </c>
      <c r="P36" s="292">
        <v>0</v>
      </c>
      <c r="Q36" s="293">
        <f t="shared" ref="Q36" si="28">L36-M36</f>
        <v>4754.75</v>
      </c>
      <c r="R36" s="264" t="s">
        <v>210</v>
      </c>
    </row>
    <row r="37" spans="1:19" ht="43.5" x14ac:dyDescent="0.35">
      <c r="A37" s="202"/>
      <c r="B37" s="231" t="s">
        <v>35</v>
      </c>
      <c r="C37" s="232" t="s">
        <v>133</v>
      </c>
      <c r="D37" s="215"/>
      <c r="E37" s="231" t="s">
        <v>35</v>
      </c>
      <c r="F37" s="232" t="s">
        <v>133</v>
      </c>
      <c r="G37" s="215"/>
      <c r="H37" s="216">
        <f>Data!D26</f>
        <v>951</v>
      </c>
      <c r="I37" s="216">
        <v>1</v>
      </c>
      <c r="J37" s="116">
        <f>+H37*I37</f>
        <v>951</v>
      </c>
      <c r="K37" s="217">
        <v>0.25</v>
      </c>
      <c r="L37" s="116">
        <f>+J37*K37</f>
        <v>237.75</v>
      </c>
      <c r="M37" s="248">
        <v>237.75</v>
      </c>
      <c r="N37" s="33"/>
      <c r="O37" s="33">
        <f>L37-M37</f>
        <v>0</v>
      </c>
      <c r="P37" s="33">
        <v>0</v>
      </c>
      <c r="Q37" s="34">
        <f>L37-M37</f>
        <v>0</v>
      </c>
      <c r="R37" s="184"/>
    </row>
    <row r="38" spans="1:19" x14ac:dyDescent="0.35">
      <c r="A38" s="202"/>
      <c r="B38" s="35"/>
      <c r="C38" s="35"/>
      <c r="D38" s="215"/>
      <c r="E38" s="215"/>
      <c r="F38" s="215"/>
      <c r="G38" s="215"/>
      <c r="H38" s="216"/>
      <c r="I38" s="216"/>
      <c r="J38" s="205">
        <f>+H38*I38</f>
        <v>0</v>
      </c>
      <c r="K38" s="217"/>
      <c r="L38" s="205">
        <f>+J38*K38</f>
        <v>0</v>
      </c>
      <c r="M38" s="216"/>
      <c r="N38" s="33"/>
      <c r="O38" s="33"/>
      <c r="P38" s="33">
        <v>0</v>
      </c>
      <c r="Q38" s="34">
        <f t="shared" ref="Q38" si="29">+L38-M38</f>
        <v>0</v>
      </c>
      <c r="R38" s="184"/>
    </row>
    <row r="39" spans="1:19" x14ac:dyDescent="0.35">
      <c r="A39" s="207" t="s">
        <v>37</v>
      </c>
      <c r="B39" s="218"/>
      <c r="C39" s="219" t="s">
        <v>55</v>
      </c>
      <c r="D39" s="220"/>
      <c r="E39" s="220"/>
      <c r="F39" s="220"/>
      <c r="G39" s="220"/>
      <c r="H39" s="213">
        <f>+MAX(H23:H38)</f>
        <v>19019</v>
      </c>
      <c r="I39" s="221">
        <f>IF(H39=0,"",J39/H39)</f>
        <v>43.066670171933332</v>
      </c>
      <c r="J39" s="213">
        <f>SUM(J23:J38)</f>
        <v>819085</v>
      </c>
      <c r="K39" s="212">
        <f>IF(J39=0,"",L39/J39)</f>
        <v>2.5261848145186399</v>
      </c>
      <c r="L39" s="213">
        <f t="shared" ref="L39:Q39" si="30">SUM(L23:L38)</f>
        <v>2069160.0888</v>
      </c>
      <c r="M39" s="246">
        <f t="shared" si="30"/>
        <v>2064405.5288</v>
      </c>
      <c r="N39" s="222">
        <f t="shared" si="30"/>
        <v>0</v>
      </c>
      <c r="O39" s="222">
        <f t="shared" si="30"/>
        <v>4754.5600000000004</v>
      </c>
      <c r="P39" s="222">
        <f t="shared" si="30"/>
        <v>0</v>
      </c>
      <c r="Q39" s="223">
        <f t="shared" si="30"/>
        <v>4754.5600000000004</v>
      </c>
    </row>
    <row r="40" spans="1:19" ht="18.5" x14ac:dyDescent="0.35">
      <c r="A40" s="324" t="s">
        <v>142</v>
      </c>
      <c r="B40" s="325"/>
      <c r="C40" s="325"/>
      <c r="D40" s="325"/>
      <c r="E40" s="325"/>
      <c r="F40" s="325"/>
      <c r="G40" s="325"/>
      <c r="H40" s="325"/>
      <c r="I40" s="325"/>
      <c r="J40" s="325"/>
      <c r="K40" s="325"/>
      <c r="L40" s="325"/>
      <c r="M40" s="325"/>
      <c r="N40" s="325"/>
      <c r="O40" s="325"/>
      <c r="P40" s="325"/>
      <c r="Q40" s="326"/>
      <c r="R40" s="184"/>
      <c r="S40" s="1"/>
    </row>
    <row r="41" spans="1:19" ht="65.25" customHeight="1" x14ac:dyDescent="0.35">
      <c r="A41" s="202"/>
      <c r="B41" s="224" t="s">
        <v>143</v>
      </c>
      <c r="C41" s="225" t="s">
        <v>144</v>
      </c>
      <c r="D41" s="226"/>
      <c r="E41" s="226"/>
      <c r="F41" s="226"/>
      <c r="G41" s="226"/>
      <c r="H41" s="227">
        <f>(0.3)*Data!D12</f>
        <v>29058</v>
      </c>
      <c r="I41" s="228">
        <v>1</v>
      </c>
      <c r="J41" s="116">
        <f t="shared" ref="J41:J42" si="31">+H41*I41</f>
        <v>29058</v>
      </c>
      <c r="K41" s="229">
        <v>8.3500000000000005E-2</v>
      </c>
      <c r="L41" s="205">
        <f t="shared" ref="L41:L42" si="32">+J41*K41</f>
        <v>2426.3430000000003</v>
      </c>
      <c r="M41" s="228">
        <f>L41</f>
        <v>2426.3430000000003</v>
      </c>
      <c r="N41" s="228"/>
      <c r="O41" s="228">
        <f>L41-M41</f>
        <v>0</v>
      </c>
      <c r="P41" s="228">
        <v>0</v>
      </c>
      <c r="Q41" s="203">
        <f t="shared" ref="Q41:Q42" si="33">+L41-M41</f>
        <v>0</v>
      </c>
      <c r="R41" s="184"/>
      <c r="S41" s="206"/>
    </row>
    <row r="42" spans="1:19" ht="45.75" customHeight="1" x14ac:dyDescent="0.35">
      <c r="A42" s="202"/>
      <c r="B42" s="35" t="s">
        <v>118</v>
      </c>
      <c r="C42" s="35" t="s">
        <v>145</v>
      </c>
      <c r="D42" s="226"/>
      <c r="E42" s="226"/>
      <c r="F42" s="226"/>
      <c r="G42" s="226"/>
      <c r="H42" s="227">
        <f>Data!D12</f>
        <v>96860</v>
      </c>
      <c r="I42" s="228">
        <v>1</v>
      </c>
      <c r="J42" s="205">
        <f t="shared" si="31"/>
        <v>96860</v>
      </c>
      <c r="K42" s="229">
        <v>0.5</v>
      </c>
      <c r="L42" s="205">
        <f t="shared" si="32"/>
        <v>48430</v>
      </c>
      <c r="M42" s="228">
        <v>48430</v>
      </c>
      <c r="N42" s="228"/>
      <c r="O42" s="228">
        <f t="shared" ref="O42:O45" si="34">L42-M42</f>
        <v>0</v>
      </c>
      <c r="P42" s="228">
        <v>0</v>
      </c>
      <c r="Q42" s="203">
        <f t="shared" si="33"/>
        <v>0</v>
      </c>
      <c r="R42" s="184"/>
      <c r="S42" s="206"/>
    </row>
    <row r="43" spans="1:19" ht="54" customHeight="1" x14ac:dyDescent="0.35">
      <c r="A43" s="202"/>
      <c r="B43" s="224" t="s">
        <v>146</v>
      </c>
      <c r="C43" s="35" t="s">
        <v>147</v>
      </c>
      <c r="D43" s="226"/>
      <c r="E43" s="226"/>
      <c r="F43" s="226"/>
      <c r="G43" s="226"/>
      <c r="H43" s="227">
        <f>Data!D12</f>
        <v>96860</v>
      </c>
      <c r="I43" s="228">
        <f>Data!D$11</f>
        <v>180</v>
      </c>
      <c r="J43" s="205">
        <f t="shared" ref="J43:J45" si="35">+H43*I43</f>
        <v>17434800</v>
      </c>
      <c r="K43" s="229">
        <v>0.15</v>
      </c>
      <c r="L43" s="205">
        <f t="shared" ref="L43:L45" si="36">+J43*K43</f>
        <v>2615220</v>
      </c>
      <c r="M43" s="228">
        <v>2615220</v>
      </c>
      <c r="N43" s="228"/>
      <c r="O43" s="228">
        <f t="shared" si="34"/>
        <v>0</v>
      </c>
      <c r="P43" s="228">
        <v>0</v>
      </c>
      <c r="Q43" s="203">
        <f t="shared" ref="Q43:Q45" si="37">+L43-M43</f>
        <v>0</v>
      </c>
      <c r="R43" s="184"/>
      <c r="S43" s="206"/>
    </row>
    <row r="44" spans="1:19" ht="43.5" customHeight="1" x14ac:dyDescent="0.35">
      <c r="A44" s="202"/>
      <c r="B44" s="224" t="s">
        <v>148</v>
      </c>
      <c r="C44" s="225" t="s">
        <v>149</v>
      </c>
      <c r="D44" s="226"/>
      <c r="E44" s="226"/>
      <c r="F44" s="226"/>
      <c r="G44" s="226"/>
      <c r="H44" s="227">
        <f>Data!D12</f>
        <v>96860</v>
      </c>
      <c r="I44" s="228">
        <f>Data!D$11</f>
        <v>180</v>
      </c>
      <c r="J44" s="205">
        <f t="shared" si="35"/>
        <v>17434800</v>
      </c>
      <c r="K44" s="229">
        <v>0.25</v>
      </c>
      <c r="L44" s="205">
        <f t="shared" si="36"/>
        <v>4358700</v>
      </c>
      <c r="M44" s="228">
        <v>4358700</v>
      </c>
      <c r="N44" s="228"/>
      <c r="O44" s="228">
        <f t="shared" si="34"/>
        <v>0</v>
      </c>
      <c r="P44" s="228">
        <v>0</v>
      </c>
      <c r="Q44" s="203">
        <f t="shared" si="37"/>
        <v>0</v>
      </c>
      <c r="R44" s="184"/>
      <c r="S44" s="206"/>
    </row>
    <row r="45" spans="1:19" ht="46.5" customHeight="1" x14ac:dyDescent="0.35">
      <c r="A45" s="202"/>
      <c r="B45" s="224" t="s">
        <v>150</v>
      </c>
      <c r="C45" s="225" t="s">
        <v>151</v>
      </c>
      <c r="D45" s="226"/>
      <c r="E45" s="226"/>
      <c r="F45" s="226"/>
      <c r="G45" s="226"/>
      <c r="H45" s="227">
        <f>Data!D12</f>
        <v>96860</v>
      </c>
      <c r="I45" s="228">
        <v>120</v>
      </c>
      <c r="J45" s="205">
        <f t="shared" si="35"/>
        <v>11623200</v>
      </c>
      <c r="K45" s="229">
        <v>0.02</v>
      </c>
      <c r="L45" s="205">
        <f t="shared" si="36"/>
        <v>232464</v>
      </c>
      <c r="M45" s="228">
        <v>232464</v>
      </c>
      <c r="N45" s="228"/>
      <c r="O45" s="228">
        <f t="shared" si="34"/>
        <v>0</v>
      </c>
      <c r="P45" s="228">
        <v>0</v>
      </c>
      <c r="Q45" s="203">
        <f t="shared" si="37"/>
        <v>0</v>
      </c>
      <c r="R45" s="184"/>
      <c r="S45" s="206"/>
    </row>
    <row r="46" spans="1:19" x14ac:dyDescent="0.35">
      <c r="A46" s="202"/>
      <c r="B46" s="35"/>
      <c r="C46" s="35"/>
      <c r="D46" s="226"/>
      <c r="E46" s="226"/>
      <c r="F46" s="226"/>
      <c r="G46" s="226"/>
      <c r="H46" s="228"/>
      <c r="I46" s="228"/>
      <c r="J46" s="205">
        <f t="shared" ref="J46" si="38">+H46*I46</f>
        <v>0</v>
      </c>
      <c r="K46" s="229"/>
      <c r="L46" s="205">
        <f t="shared" ref="L46" si="39">+J46*K46</f>
        <v>0</v>
      </c>
      <c r="M46" s="228"/>
      <c r="N46" s="228"/>
      <c r="O46" s="228"/>
      <c r="P46" s="228">
        <v>0</v>
      </c>
      <c r="Q46" s="203"/>
      <c r="R46" s="184"/>
      <c r="S46" s="206"/>
    </row>
    <row r="47" spans="1:19" x14ac:dyDescent="0.35">
      <c r="A47" s="202"/>
      <c r="B47" s="224"/>
      <c r="C47" s="225"/>
      <c r="D47" s="226"/>
      <c r="E47" s="226"/>
      <c r="F47" s="226"/>
      <c r="G47" s="226"/>
      <c r="H47" s="228"/>
      <c r="I47" s="228"/>
      <c r="J47" s="205">
        <f t="shared" ref="J47" si="40">+H47*I47</f>
        <v>0</v>
      </c>
      <c r="K47" s="230"/>
      <c r="L47" s="205">
        <f t="shared" ref="L47" si="41">+J47*K47</f>
        <v>0</v>
      </c>
      <c r="M47" s="228"/>
      <c r="N47" s="228"/>
      <c r="O47" s="228"/>
      <c r="P47" s="228"/>
      <c r="Q47" s="203">
        <f t="shared" ref="Q47" si="42">+L47-M47</f>
        <v>0</v>
      </c>
      <c r="R47" s="184"/>
      <c r="S47" s="206"/>
    </row>
    <row r="48" spans="1:19" ht="15.5" x14ac:dyDescent="0.35">
      <c r="A48" s="72" t="s">
        <v>37</v>
      </c>
      <c r="B48" s="18"/>
      <c r="C48" s="22" t="s">
        <v>152</v>
      </c>
      <c r="D48" s="19"/>
      <c r="E48" s="19"/>
      <c r="F48" s="19"/>
      <c r="G48" s="19"/>
      <c r="H48" s="63">
        <f>+MAX(H41:H47)</f>
        <v>96860</v>
      </c>
      <c r="I48" s="64">
        <f>IF(H48=0,"",J48/H48)</f>
        <v>481.3</v>
      </c>
      <c r="J48" s="20">
        <f>SUM(J41:J47)</f>
        <v>46618718</v>
      </c>
      <c r="K48" s="64">
        <f>IF(J48=0,"",L48/J48)</f>
        <v>0.15567224184500311</v>
      </c>
      <c r="L48" s="20">
        <f t="shared" ref="L48:Q48" si="43">SUM(L41:L47)</f>
        <v>7257240.3430000003</v>
      </c>
      <c r="M48" s="20">
        <f t="shared" si="43"/>
        <v>7257240.3430000003</v>
      </c>
      <c r="N48" s="20">
        <f t="shared" si="43"/>
        <v>0</v>
      </c>
      <c r="O48" s="20">
        <f t="shared" si="43"/>
        <v>0</v>
      </c>
      <c r="P48" s="20">
        <f t="shared" si="43"/>
        <v>0</v>
      </c>
      <c r="Q48" s="21">
        <f t="shared" si="43"/>
        <v>0</v>
      </c>
      <c r="R48" s="184"/>
    </row>
    <row r="49" spans="1:18" ht="25.5" customHeight="1" thickBot="1" x14ac:dyDescent="0.4">
      <c r="A49" s="23"/>
      <c r="B49" s="24"/>
      <c r="C49" s="25" t="s">
        <v>153</v>
      </c>
      <c r="D49" s="26"/>
      <c r="E49" s="26"/>
      <c r="F49" s="26"/>
      <c r="G49" s="26"/>
      <c r="H49" s="54">
        <f>+H21+H39+H48</f>
        <v>115935</v>
      </c>
      <c r="I49" s="54">
        <f>IF(H49=0,"",J49/H49)</f>
        <v>409.82121913140986</v>
      </c>
      <c r="J49" s="54">
        <f>+J21+J39+J48</f>
        <v>47512623.039999999</v>
      </c>
      <c r="K49" s="50">
        <f>IF(J49=0,"",L49/J49)</f>
        <v>0.19886140992395945</v>
      </c>
      <c r="L49" s="54">
        <f t="shared" ref="L49:Q49" si="44">+L21+L39+L48</f>
        <v>9448427.2069199998</v>
      </c>
      <c r="M49" s="54">
        <f t="shared" si="44"/>
        <v>9446374.2378000002</v>
      </c>
      <c r="N49" s="54">
        <f t="shared" si="44"/>
        <v>0</v>
      </c>
      <c r="O49" s="54">
        <f t="shared" si="44"/>
        <v>2052.9691200000025</v>
      </c>
      <c r="P49" s="54">
        <f t="shared" si="44"/>
        <v>0</v>
      </c>
      <c r="Q49" s="60">
        <f t="shared" si="44"/>
        <v>2052.9691200000025</v>
      </c>
      <c r="R49" s="184"/>
    </row>
  </sheetData>
  <sheetProtection selectLockedCells="1"/>
  <dataConsolidate/>
  <mergeCells count="7">
    <mergeCell ref="A2:Q2"/>
    <mergeCell ref="A5:Q5"/>
    <mergeCell ref="A22:Q22"/>
    <mergeCell ref="A40:Q40"/>
    <mergeCell ref="A1:Q1"/>
    <mergeCell ref="B3:D3"/>
    <mergeCell ref="E3:G3"/>
  </mergeCells>
  <printOptions horizontalCentered="1"/>
  <pageMargins left="0.7" right="0.7" top="0.75" bottom="0.75" header="0.3" footer="0.3"/>
  <pageSetup paperSize="5" scale="72" fitToHeight="0" orientation="landscape" r:id="rId1"/>
  <headerFooter>
    <oddHeader>&amp;COMB Control #0584-0006
&amp;"-,Bold"&amp;12 Attachment A 7 CFR Part 210 - National School Lunch Program Burden</oddHeader>
  </headerFooter>
  <ignoredErrors>
    <ignoredError sqref="J49:K49 I49 K21 K39 K48"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P18"/>
  <sheetViews>
    <sheetView zoomScale="80" zoomScaleNormal="80" workbookViewId="0">
      <pane ySplit="3" topLeftCell="A9" activePane="bottomLeft" state="frozen"/>
      <selection pane="bottomLeft" activeCell="A4" sqref="A4:N4"/>
    </sheetView>
  </sheetViews>
  <sheetFormatPr defaultColWidth="8.81640625" defaultRowHeight="14.5" x14ac:dyDescent="0.35"/>
  <cols>
    <col min="1" max="1" width="11.1796875" customWidth="1"/>
    <col min="2" max="2" width="16.1796875" customWidth="1"/>
    <col min="3" max="3" width="42.1796875" customWidth="1"/>
    <col min="4" max="4" width="12.81640625" bestFit="1" customWidth="1"/>
    <col min="5" max="5" width="15.81640625" bestFit="1" customWidth="1"/>
    <col min="6" max="6" width="15" customWidth="1"/>
    <col min="7" max="7" width="13.81640625" customWidth="1"/>
    <col min="8" max="8" width="14.54296875" bestFit="1" customWidth="1"/>
    <col min="9" max="9" width="13.1796875" customWidth="1"/>
    <col min="10" max="10" width="16.54296875" customWidth="1"/>
    <col min="11" max="11" width="12.81640625" customWidth="1"/>
    <col min="12" max="12" width="13" customWidth="1"/>
    <col min="13" max="13" width="15.81640625" customWidth="1"/>
    <col min="14" max="14" width="13" customWidth="1"/>
    <col min="15" max="15" width="16.453125" hidden="1" customWidth="1"/>
    <col min="16" max="16" width="30.81640625" customWidth="1" collapsed="1"/>
    <col min="17" max="17" width="7" customWidth="1"/>
    <col min="64" max="64" width="8.81640625" customWidth="1"/>
  </cols>
  <sheetData>
    <row r="1" spans="1:16" ht="30.75" customHeight="1" thickBot="1" x14ac:dyDescent="0.55000000000000004">
      <c r="A1" s="330" t="s">
        <v>154</v>
      </c>
      <c r="B1" s="330"/>
      <c r="C1" s="330"/>
      <c r="D1" s="330"/>
      <c r="E1" s="330"/>
      <c r="F1" s="330"/>
      <c r="G1" s="330"/>
      <c r="H1" s="330"/>
      <c r="I1" s="330"/>
      <c r="J1" s="330"/>
      <c r="K1" s="330"/>
      <c r="L1" s="330"/>
      <c r="M1" s="330"/>
      <c r="N1" s="331"/>
    </row>
    <row r="2" spans="1:16" ht="24" customHeight="1" x14ac:dyDescent="0.35">
      <c r="A2" s="9"/>
      <c r="B2" s="73"/>
      <c r="C2" s="73"/>
      <c r="D2" s="74"/>
      <c r="E2" s="75" t="s">
        <v>1</v>
      </c>
      <c r="F2" s="75" t="s">
        <v>2</v>
      </c>
      <c r="G2" s="75" t="s">
        <v>3</v>
      </c>
      <c r="H2" s="75" t="s">
        <v>4</v>
      </c>
      <c r="I2" s="75" t="s">
        <v>5</v>
      </c>
      <c r="J2" s="75" t="s">
        <v>6</v>
      </c>
      <c r="K2" s="75"/>
      <c r="L2" s="75"/>
      <c r="M2" s="75"/>
      <c r="N2" s="76" t="s">
        <v>7</v>
      </c>
      <c r="O2" s="77"/>
      <c r="P2" s="78"/>
    </row>
    <row r="3" spans="1:16" ht="52" x14ac:dyDescent="0.35">
      <c r="A3" s="79" t="s">
        <v>9</v>
      </c>
      <c r="B3" s="79" t="s">
        <v>10</v>
      </c>
      <c r="C3" s="79" t="s">
        <v>11</v>
      </c>
      <c r="D3" s="79" t="s">
        <v>12</v>
      </c>
      <c r="E3" s="79" t="s">
        <v>13</v>
      </c>
      <c r="F3" s="79" t="s">
        <v>14</v>
      </c>
      <c r="G3" s="79" t="s">
        <v>15</v>
      </c>
      <c r="H3" s="79" t="s">
        <v>16</v>
      </c>
      <c r="I3" s="79" t="s">
        <v>17</v>
      </c>
      <c r="J3" s="79" t="s">
        <v>18</v>
      </c>
      <c r="K3" s="79" t="s">
        <v>19</v>
      </c>
      <c r="L3" s="79" t="s">
        <v>92</v>
      </c>
      <c r="M3" s="79" t="s">
        <v>20</v>
      </c>
      <c r="N3" s="80" t="s">
        <v>21</v>
      </c>
      <c r="O3" s="8" t="s">
        <v>8</v>
      </c>
      <c r="P3" s="1"/>
    </row>
    <row r="4" spans="1:16" ht="18.5" x14ac:dyDescent="0.35">
      <c r="A4" s="325"/>
      <c r="B4" s="325"/>
      <c r="C4" s="325"/>
      <c r="D4" s="325"/>
      <c r="E4" s="325"/>
      <c r="F4" s="325"/>
      <c r="G4" s="325"/>
      <c r="H4" s="325"/>
      <c r="I4" s="325"/>
      <c r="J4" s="325"/>
      <c r="K4" s="325"/>
      <c r="L4" s="325"/>
      <c r="M4" s="325"/>
      <c r="N4" s="326"/>
      <c r="O4" s="17"/>
      <c r="P4" s="1"/>
    </row>
    <row r="5" spans="1:16" ht="62.25" customHeight="1" x14ac:dyDescent="0.35">
      <c r="A5" s="280" t="s">
        <v>215</v>
      </c>
      <c r="B5" s="256" t="s">
        <v>155</v>
      </c>
      <c r="C5" s="294" t="s">
        <v>156</v>
      </c>
      <c r="D5" s="295"/>
      <c r="E5" s="296">
        <f>Data!D17</f>
        <v>56</v>
      </c>
      <c r="F5" s="297">
        <f>ROUND(Data!D18,0)</f>
        <v>68</v>
      </c>
      <c r="G5" s="298">
        <f t="shared" ref="G5" si="0">+E5*F5</f>
        <v>3808</v>
      </c>
      <c r="H5" s="299">
        <v>0.25</v>
      </c>
      <c r="I5" s="300">
        <f t="shared" ref="I5" si="1">+G5*H5</f>
        <v>952</v>
      </c>
      <c r="J5" s="274">
        <v>1582</v>
      </c>
      <c r="K5" s="301"/>
      <c r="L5" s="302">
        <f>I5-J5</f>
        <v>-630</v>
      </c>
      <c r="M5" s="303">
        <v>0</v>
      </c>
      <c r="N5" s="304">
        <f>+I5-J5</f>
        <v>-630</v>
      </c>
      <c r="O5" s="305"/>
      <c r="P5" s="264" t="s">
        <v>210</v>
      </c>
    </row>
    <row r="6" spans="1:16" x14ac:dyDescent="0.35">
      <c r="A6" s="43"/>
      <c r="B6" s="38"/>
      <c r="C6" s="38"/>
      <c r="D6" s="36"/>
      <c r="E6" s="81"/>
      <c r="F6" s="81"/>
      <c r="G6" s="83"/>
      <c r="H6" s="84"/>
      <c r="I6" s="85"/>
      <c r="J6" s="86"/>
      <c r="K6" s="82"/>
      <c r="L6" s="82"/>
      <c r="M6" s="82"/>
      <c r="N6" s="87"/>
    </row>
    <row r="7" spans="1:16" ht="15.5" x14ac:dyDescent="0.35">
      <c r="A7" s="43"/>
      <c r="B7" s="88"/>
      <c r="C7" s="89" t="s">
        <v>38</v>
      </c>
      <c r="D7" s="90"/>
      <c r="E7" s="91">
        <f>+MAX(E5:E6)</f>
        <v>56</v>
      </c>
      <c r="F7" s="92">
        <f>IF(E7=0,"",G7/E7)</f>
        <v>68</v>
      </c>
      <c r="G7" s="91">
        <f>SUM(G5:G6)</f>
        <v>3808</v>
      </c>
      <c r="H7" s="92">
        <f>IF(G7=0,"",I7/G7)</f>
        <v>0.25</v>
      </c>
      <c r="I7" s="91">
        <f t="shared" ref="I7:N7" si="2">SUM(I5:I6)</f>
        <v>952</v>
      </c>
      <c r="J7" s="249">
        <f t="shared" si="2"/>
        <v>1582</v>
      </c>
      <c r="K7" s="93">
        <f t="shared" si="2"/>
        <v>0</v>
      </c>
      <c r="L7" s="93">
        <f t="shared" si="2"/>
        <v>-630</v>
      </c>
      <c r="M7" s="93">
        <f t="shared" si="2"/>
        <v>0</v>
      </c>
      <c r="N7" s="94">
        <f t="shared" si="2"/>
        <v>-630</v>
      </c>
    </row>
    <row r="8" spans="1:16" ht="18.75" customHeight="1" x14ac:dyDescent="0.35">
      <c r="A8" s="325"/>
      <c r="B8" s="325"/>
      <c r="C8" s="325"/>
      <c r="D8" s="325"/>
      <c r="E8" s="325"/>
      <c r="F8" s="325"/>
      <c r="G8" s="325"/>
      <c r="H8" s="325"/>
      <c r="I8" s="325"/>
      <c r="J8" s="325"/>
      <c r="K8" s="325"/>
      <c r="L8" s="325"/>
      <c r="M8" s="325"/>
      <c r="N8" s="326"/>
      <c r="O8" s="17"/>
      <c r="P8" s="1"/>
    </row>
    <row r="9" spans="1:16" ht="59.25" customHeight="1" x14ac:dyDescent="0.35">
      <c r="A9" s="67"/>
      <c r="B9" s="38" t="s">
        <v>157</v>
      </c>
      <c r="C9" s="38" t="s">
        <v>158</v>
      </c>
      <c r="D9" s="123"/>
      <c r="E9" s="40">
        <f>Data!D9</f>
        <v>19019</v>
      </c>
      <c r="F9" s="82">
        <v>1</v>
      </c>
      <c r="G9" s="95">
        <f>E9*F9</f>
        <v>19019</v>
      </c>
      <c r="H9" s="124">
        <v>1</v>
      </c>
      <c r="I9" s="95">
        <f>G9*H9</f>
        <v>19019</v>
      </c>
      <c r="J9" s="96">
        <v>19019</v>
      </c>
      <c r="K9" s="96"/>
      <c r="L9" s="126">
        <f>I9-J9</f>
        <v>0</v>
      </c>
      <c r="M9" s="96">
        <v>0</v>
      </c>
      <c r="N9" s="97">
        <f>+I9-J9</f>
        <v>0</v>
      </c>
      <c r="O9" s="17"/>
      <c r="P9" s="1"/>
    </row>
    <row r="10" spans="1:16" ht="71.25" customHeight="1" x14ac:dyDescent="0.35">
      <c r="A10" s="71"/>
      <c r="B10" s="38" t="s">
        <v>159</v>
      </c>
      <c r="C10" s="38" t="s">
        <v>160</v>
      </c>
      <c r="D10" s="36"/>
      <c r="E10" s="40">
        <f>ROUND(Data!D9/3,0)</f>
        <v>6340</v>
      </c>
      <c r="F10" s="96">
        <v>1</v>
      </c>
      <c r="G10" s="95">
        <f t="shared" ref="G10" si="3">+E10*F10</f>
        <v>6340</v>
      </c>
      <c r="H10" s="96">
        <v>5</v>
      </c>
      <c r="I10" s="95">
        <f t="shared" ref="I10" si="4">+G10*H10</f>
        <v>31700</v>
      </c>
      <c r="J10" s="96">
        <v>31700</v>
      </c>
      <c r="K10" s="96"/>
      <c r="L10" s="126">
        <f>I10-J10</f>
        <v>0</v>
      </c>
      <c r="M10" s="96">
        <v>0</v>
      </c>
      <c r="N10" s="97">
        <f>+I10-J10</f>
        <v>0</v>
      </c>
    </row>
    <row r="11" spans="1:16" ht="31" x14ac:dyDescent="0.35">
      <c r="A11" s="120"/>
      <c r="B11" s="88"/>
      <c r="C11" s="89" t="s">
        <v>161</v>
      </c>
      <c r="D11" s="98"/>
      <c r="E11" s="99">
        <f>+MAX(E9:E10)</f>
        <v>19019</v>
      </c>
      <c r="F11" s="92">
        <f>IF(E11=0,"",G11/E11)</f>
        <v>1.3333508596666492</v>
      </c>
      <c r="G11" s="99">
        <f>SUM(G9:G10)</f>
        <v>25359</v>
      </c>
      <c r="H11" s="92">
        <f>IF(G11=0,"",I11/G11)</f>
        <v>2.0000394337316139</v>
      </c>
      <c r="I11" s="99">
        <f t="shared" ref="I11:N11" si="5">SUM(I9:I10)</f>
        <v>50719</v>
      </c>
      <c r="J11" s="250">
        <f t="shared" si="5"/>
        <v>50719</v>
      </c>
      <c r="K11" s="100">
        <f t="shared" si="5"/>
        <v>0</v>
      </c>
      <c r="L11" s="100">
        <f t="shared" si="5"/>
        <v>0</v>
      </c>
      <c r="M11" s="100">
        <f t="shared" si="5"/>
        <v>0</v>
      </c>
      <c r="N11" s="101">
        <f t="shared" si="5"/>
        <v>0</v>
      </c>
    </row>
    <row r="12" spans="1:16" ht="18.5" x14ac:dyDescent="0.35">
      <c r="A12" s="325"/>
      <c r="B12" s="325"/>
      <c r="C12" s="325"/>
      <c r="D12" s="325"/>
      <c r="E12" s="325"/>
      <c r="F12" s="325"/>
      <c r="G12" s="325"/>
      <c r="H12" s="325"/>
      <c r="I12" s="325"/>
      <c r="J12" s="325"/>
      <c r="K12" s="325"/>
      <c r="L12" s="325"/>
      <c r="M12" s="325"/>
      <c r="N12" s="326"/>
      <c r="O12" s="17"/>
    </row>
    <row r="13" spans="1:16" ht="15" customHeight="1" x14ac:dyDescent="0.35">
      <c r="A13" s="12"/>
      <c r="B13" s="36"/>
      <c r="C13" s="38"/>
      <c r="D13" s="36"/>
      <c r="E13" s="37"/>
      <c r="F13" s="102"/>
      <c r="G13" s="103"/>
      <c r="H13" s="104"/>
      <c r="I13" s="95"/>
      <c r="J13" s="49"/>
      <c r="K13" s="96"/>
      <c r="L13" s="96"/>
      <c r="M13" s="96"/>
      <c r="N13" s="97"/>
    </row>
    <row r="14" spans="1:16" ht="15.5" x14ac:dyDescent="0.35">
      <c r="A14" s="120"/>
      <c r="B14" s="88"/>
      <c r="C14" s="89" t="s">
        <v>59</v>
      </c>
      <c r="D14" s="98"/>
      <c r="E14" s="105">
        <f>+MAX(E13:E13)</f>
        <v>0</v>
      </c>
      <c r="F14" s="105">
        <f t="shared" ref="F14:N14" si="6">SUM(F13:F13)</f>
        <v>0</v>
      </c>
      <c r="G14" s="105">
        <f t="shared" si="6"/>
        <v>0</v>
      </c>
      <c r="H14" s="106" t="str">
        <f>IF(G14=0,"",I14/G14)</f>
        <v/>
      </c>
      <c r="I14" s="105">
        <f t="shared" si="6"/>
        <v>0</v>
      </c>
      <c r="J14" s="105">
        <f t="shared" si="6"/>
        <v>0</v>
      </c>
      <c r="K14" s="105">
        <f t="shared" si="6"/>
        <v>0</v>
      </c>
      <c r="L14" s="105">
        <f t="shared" si="6"/>
        <v>0</v>
      </c>
      <c r="M14" s="105">
        <f t="shared" si="6"/>
        <v>0</v>
      </c>
      <c r="N14" s="107">
        <f t="shared" si="6"/>
        <v>0</v>
      </c>
    </row>
    <row r="15" spans="1:16" ht="25.5" customHeight="1" thickBot="1" x14ac:dyDescent="0.4">
      <c r="A15" s="121"/>
      <c r="B15" s="108"/>
      <c r="C15" s="109" t="s">
        <v>162</v>
      </c>
      <c r="D15" s="110"/>
      <c r="E15" s="111">
        <f>+E7+E11+E14</f>
        <v>19075</v>
      </c>
      <c r="F15" s="112">
        <f>IF(E15=0,"",G15/E15)</f>
        <v>1.5290694626474444</v>
      </c>
      <c r="G15" s="113">
        <f>+G7+G11+G14</f>
        <v>29167</v>
      </c>
      <c r="H15" s="112">
        <f>IF(G15=0,"",I15/G15)</f>
        <v>1.7715568964926116</v>
      </c>
      <c r="I15" s="111">
        <f t="shared" ref="I15:N15" si="7">+I7+I11+I14</f>
        <v>51671</v>
      </c>
      <c r="J15" s="251">
        <f t="shared" si="7"/>
        <v>52301</v>
      </c>
      <c r="K15" s="111">
        <f t="shared" si="7"/>
        <v>0</v>
      </c>
      <c r="L15" s="111">
        <f t="shared" si="7"/>
        <v>-630</v>
      </c>
      <c r="M15" s="114">
        <f t="shared" si="7"/>
        <v>0</v>
      </c>
      <c r="N15" s="114">
        <f t="shared" si="7"/>
        <v>-630</v>
      </c>
    </row>
    <row r="16" spans="1:16" x14ac:dyDescent="0.35">
      <c r="A16" s="119"/>
    </row>
    <row r="17" spans="1:1" x14ac:dyDescent="0.35">
      <c r="A17" s="117"/>
    </row>
    <row r="18" spans="1:1" x14ac:dyDescent="0.35">
      <c r="A18" s="118"/>
    </row>
  </sheetData>
  <sheetProtection selectLockedCells="1"/>
  <dataConsolidate/>
  <mergeCells count="4">
    <mergeCell ref="A1:N1"/>
    <mergeCell ref="A4:N4"/>
    <mergeCell ref="A8:N8"/>
    <mergeCell ref="A12:N12"/>
  </mergeCells>
  <dataValidations count="1">
    <dataValidation type="list" allowBlank="1" showInputMessage="1" showErrorMessage="1" sqref="A5:A17" xr:uid="{00000000-0002-0000-0200-000000000000}">
      <formula1>$O$5:$O$16</formula1>
    </dataValidation>
  </dataValidations>
  <printOptions horizontalCentered="1"/>
  <pageMargins left="0.7" right="0.7" top="0.75" bottom="0.75" header="0.3" footer="0.3"/>
  <pageSetup paperSize="5" scale="72" fitToHeight="0" orientation="landscape" r:id="rId1"/>
  <headerFooter>
    <oddHeader>&amp;C&amp;"-,Bold"&amp;12OMB Control #0584-0006 
&amp;16 7 CFR Part 210 - National School Lunch Program</oddHeader>
  </headerFooter>
  <ignoredErrors>
    <ignoredError sqref="G7 I9 H14:H15"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F7A0-204A-4CB4-ACA4-6B7BAF7DFE77}">
  <dimension ref="B1:I33"/>
  <sheetViews>
    <sheetView zoomScale="80" zoomScaleNormal="80" workbookViewId="0">
      <selection activeCell="G6" sqref="G6:G7"/>
    </sheetView>
  </sheetViews>
  <sheetFormatPr defaultColWidth="8.7265625" defaultRowHeight="14.5" x14ac:dyDescent="0.35"/>
  <cols>
    <col min="1" max="1" width="2.54296875" style="135" customWidth="1"/>
    <col min="2" max="2" width="31.453125" style="135" customWidth="1"/>
    <col min="3" max="3" width="13.453125" style="136" customWidth="1"/>
    <col min="4" max="4" width="10" style="136" customWidth="1"/>
    <col min="5" max="5" width="37.453125" style="135" bestFit="1" customWidth="1"/>
    <col min="6" max="6" width="11.54296875" style="136" customWidth="1"/>
    <col min="7" max="7" width="59.453125" style="135" customWidth="1"/>
    <col min="8" max="8" width="10.453125" style="135" bestFit="1" customWidth="1"/>
    <col min="9" max="9" width="42.54296875" style="135" customWidth="1"/>
    <col min="10" max="10" width="9.7265625" style="135" bestFit="1" customWidth="1"/>
    <col min="11" max="16384" width="8.7265625" style="135"/>
  </cols>
  <sheetData>
    <row r="1" spans="2:7" ht="21.65" customHeight="1" x14ac:dyDescent="0.55000000000000004">
      <c r="B1" s="336" t="s">
        <v>243</v>
      </c>
      <c r="C1" s="337"/>
      <c r="D1" s="337"/>
      <c r="E1" s="337"/>
      <c r="F1" s="337"/>
      <c r="G1" s="337"/>
    </row>
    <row r="2" spans="2:7" ht="14.15" customHeight="1" x14ac:dyDescent="0.55000000000000004">
      <c r="C2" s="147"/>
    </row>
    <row r="3" spans="2:7" x14ac:dyDescent="0.35">
      <c r="D3" s="137" t="s">
        <v>63</v>
      </c>
      <c r="E3" s="138" t="s">
        <v>64</v>
      </c>
    </row>
    <row r="4" spans="2:7" x14ac:dyDescent="0.35">
      <c r="E4" s="139" t="s">
        <v>65</v>
      </c>
    </row>
    <row r="6" spans="2:7" ht="18" customHeight="1" x14ac:dyDescent="0.35">
      <c r="B6" s="338" t="s">
        <v>66</v>
      </c>
      <c r="C6" s="338" t="s">
        <v>67</v>
      </c>
      <c r="D6" s="339" t="s">
        <v>68</v>
      </c>
      <c r="E6" s="339"/>
      <c r="F6" s="338" t="s">
        <v>69</v>
      </c>
      <c r="G6" s="338" t="s">
        <v>70</v>
      </c>
    </row>
    <row r="7" spans="2:7" ht="35.5" customHeight="1" x14ac:dyDescent="0.35">
      <c r="B7" s="338"/>
      <c r="C7" s="338"/>
      <c r="D7" s="140" t="s">
        <v>71</v>
      </c>
      <c r="E7" s="139" t="s">
        <v>72</v>
      </c>
      <c r="F7" s="338"/>
      <c r="G7" s="338"/>
    </row>
    <row r="8" spans="2:7" ht="21" x14ac:dyDescent="0.5">
      <c r="B8" s="332" t="s">
        <v>73</v>
      </c>
      <c r="C8" s="333"/>
      <c r="D8" s="333"/>
      <c r="E8" s="333"/>
      <c r="F8" s="333"/>
      <c r="G8" s="334"/>
    </row>
    <row r="9" spans="2:7" ht="58" x14ac:dyDescent="0.35">
      <c r="B9" s="141" t="s">
        <v>178</v>
      </c>
      <c r="C9" s="142"/>
      <c r="D9" s="234">
        <v>19019</v>
      </c>
      <c r="E9" s="141" t="s">
        <v>182</v>
      </c>
      <c r="F9" s="143"/>
      <c r="G9" s="192" t="s">
        <v>205</v>
      </c>
    </row>
    <row r="10" spans="2:7" ht="72.5" x14ac:dyDescent="0.35">
      <c r="B10" s="141" t="s">
        <v>208</v>
      </c>
      <c r="C10" s="142"/>
      <c r="D10" s="234">
        <v>10</v>
      </c>
      <c r="E10" s="141"/>
      <c r="F10" s="143"/>
      <c r="G10" s="194"/>
    </row>
    <row r="11" spans="2:7" ht="72.5" x14ac:dyDescent="0.35">
      <c r="B11" s="141" t="s">
        <v>209</v>
      </c>
      <c r="C11" s="142"/>
      <c r="D11" s="234">
        <v>180</v>
      </c>
      <c r="E11" s="141"/>
      <c r="F11" s="143"/>
      <c r="G11" s="194"/>
    </row>
    <row r="12" spans="2:7" ht="43.5" x14ac:dyDescent="0.35">
      <c r="B12" s="141" t="s">
        <v>192</v>
      </c>
      <c r="C12" s="142"/>
      <c r="D12" s="234">
        <v>96860</v>
      </c>
      <c r="E12" s="141" t="s">
        <v>193</v>
      </c>
      <c r="F12" s="143"/>
      <c r="G12" s="192" t="s">
        <v>204</v>
      </c>
    </row>
    <row r="13" spans="2:7" ht="43.5" x14ac:dyDescent="0.35">
      <c r="B13" s="141" t="s">
        <v>179</v>
      </c>
      <c r="C13" s="142"/>
      <c r="D13" s="235">
        <f>1/5</f>
        <v>0.2</v>
      </c>
      <c r="E13" s="141" t="s">
        <v>183</v>
      </c>
      <c r="F13" s="143"/>
      <c r="G13" s="192" t="s">
        <v>181</v>
      </c>
    </row>
    <row r="14" spans="2:7" ht="58" x14ac:dyDescent="0.35">
      <c r="B14" s="141" t="s">
        <v>230</v>
      </c>
      <c r="C14" s="142"/>
      <c r="D14" s="235">
        <f>1/3</f>
        <v>0.33333333333333331</v>
      </c>
      <c r="E14" s="141" t="s">
        <v>231</v>
      </c>
      <c r="F14"/>
      <c r="G14" s="194"/>
    </row>
    <row r="15" spans="2:7" ht="72.5" x14ac:dyDescent="0.35">
      <c r="B15" s="141" t="s">
        <v>233</v>
      </c>
      <c r="C15" s="142"/>
      <c r="D15" s="236">
        <f>16/D16</f>
        <v>48</v>
      </c>
      <c r="E15" s="141" t="s">
        <v>234</v>
      </c>
      <c r="F15" s="143"/>
      <c r="G15" s="194"/>
    </row>
    <row r="16" spans="2:7" ht="29" x14ac:dyDescent="0.35">
      <c r="B16" s="141" t="s">
        <v>232</v>
      </c>
      <c r="C16" s="142"/>
      <c r="D16" s="235">
        <f>1/3</f>
        <v>0.33333333333333331</v>
      </c>
      <c r="E16" s="141" t="s">
        <v>231</v>
      </c>
      <c r="F16" s="143"/>
      <c r="G16" s="194"/>
    </row>
    <row r="17" spans="2:9" x14ac:dyDescent="0.35">
      <c r="B17" s="141" t="s">
        <v>176</v>
      </c>
      <c r="C17" s="142"/>
      <c r="D17" s="236">
        <v>56</v>
      </c>
      <c r="E17" s="141"/>
      <c r="F17" s="142"/>
      <c r="G17" s="144"/>
    </row>
    <row r="18" spans="2:9" ht="87" x14ac:dyDescent="0.35">
      <c r="B18" s="141" t="s">
        <v>211</v>
      </c>
      <c r="C18" s="142"/>
      <c r="D18" s="237">
        <f>(D9/5)/D17</f>
        <v>67.924999999999997</v>
      </c>
      <c r="E18" s="141" t="s">
        <v>184</v>
      </c>
      <c r="F18" s="143"/>
      <c r="G18" s="192" t="s">
        <v>196</v>
      </c>
      <c r="I18" s="135">
        <v>19019</v>
      </c>
    </row>
    <row r="19" spans="2:9" ht="58" x14ac:dyDescent="0.35">
      <c r="B19" s="141" t="s">
        <v>195</v>
      </c>
      <c r="C19" s="142"/>
      <c r="D19" s="234">
        <f>D9*D13</f>
        <v>3803.8</v>
      </c>
      <c r="E19" s="141" t="s">
        <v>223</v>
      </c>
      <c r="F19" s="143"/>
      <c r="G19" s="194"/>
    </row>
    <row r="20" spans="2:9" ht="87" x14ac:dyDescent="0.35">
      <c r="B20" s="141" t="s">
        <v>189</v>
      </c>
      <c r="C20" s="142"/>
      <c r="D20" s="234">
        <v>6314</v>
      </c>
      <c r="E20" s="141" t="s">
        <v>185</v>
      </c>
      <c r="F20" s="143"/>
      <c r="G20" s="192" t="s">
        <v>186</v>
      </c>
    </row>
    <row r="21" spans="2:9" ht="29" x14ac:dyDescent="0.35">
      <c r="B21" s="141" t="s">
        <v>221</v>
      </c>
      <c r="C21" s="142"/>
      <c r="D21" s="234">
        <v>5</v>
      </c>
      <c r="E21" s="141" t="s">
        <v>222</v>
      </c>
      <c r="F21" s="143"/>
      <c r="G21" s="192" t="s">
        <v>220</v>
      </c>
    </row>
    <row r="22" spans="2:9" ht="101.5" x14ac:dyDescent="0.35">
      <c r="B22" s="141" t="s">
        <v>188</v>
      </c>
      <c r="C22" s="142"/>
      <c r="D22" s="234"/>
      <c r="E22" s="141"/>
      <c r="F22" s="143"/>
      <c r="G22" s="192" t="s">
        <v>194</v>
      </c>
    </row>
    <row r="23" spans="2:9" ht="101.5" x14ac:dyDescent="0.35">
      <c r="B23" s="141" t="s">
        <v>190</v>
      </c>
      <c r="C23" s="142"/>
      <c r="D23" s="234">
        <v>2</v>
      </c>
      <c r="E23" s="141" t="s">
        <v>191</v>
      </c>
      <c r="F23" s="143"/>
      <c r="G23" s="192" t="s">
        <v>187</v>
      </c>
    </row>
    <row r="24" spans="2:9" ht="87" x14ac:dyDescent="0.35">
      <c r="B24" s="141" t="s">
        <v>78</v>
      </c>
      <c r="C24" s="142"/>
      <c r="D24" s="234">
        <v>1446</v>
      </c>
      <c r="E24" s="141" t="s">
        <v>79</v>
      </c>
      <c r="F24" s="146">
        <v>1446</v>
      </c>
      <c r="G24" s="192" t="s">
        <v>206</v>
      </c>
      <c r="I24" s="135">
        <v>951</v>
      </c>
    </row>
    <row r="25" spans="2:9" ht="87" x14ac:dyDescent="0.35">
      <c r="B25" s="141" t="s">
        <v>180</v>
      </c>
      <c r="C25" s="142"/>
      <c r="D25" s="237">
        <f>1446-1144</f>
        <v>302</v>
      </c>
      <c r="E25" s="141" t="s">
        <v>79</v>
      </c>
      <c r="F25" s="146"/>
      <c r="G25" s="192" t="s">
        <v>206</v>
      </c>
      <c r="I25" s="135">
        <f>I24/I18</f>
        <v>5.0002628949997373E-2</v>
      </c>
    </row>
    <row r="26" spans="2:9" ht="101.5" x14ac:dyDescent="0.35">
      <c r="B26" s="141" t="s">
        <v>197</v>
      </c>
      <c r="C26" s="142"/>
      <c r="D26" s="237">
        <f>ROUND(0.05*D9,0)</f>
        <v>951</v>
      </c>
      <c r="E26" s="141" t="s">
        <v>184</v>
      </c>
      <c r="F26" s="146"/>
      <c r="G26" s="193" t="s">
        <v>207</v>
      </c>
    </row>
    <row r="27" spans="2:9" ht="43.5" x14ac:dyDescent="0.35">
      <c r="B27" s="141" t="s">
        <v>77</v>
      </c>
      <c r="C27" s="142" t="s">
        <v>74</v>
      </c>
      <c r="D27" s="238">
        <v>0.05</v>
      </c>
      <c r="E27" s="141" t="s">
        <v>76</v>
      </c>
      <c r="F27" s="145">
        <v>0.05</v>
      </c>
      <c r="G27" s="144" t="s">
        <v>75</v>
      </c>
    </row>
    <row r="28" spans="2:9" ht="58" x14ac:dyDescent="0.35">
      <c r="B28" s="141" t="s">
        <v>202</v>
      </c>
      <c r="C28" s="142"/>
      <c r="D28" s="237">
        <v>317</v>
      </c>
      <c r="E28" s="141" t="s">
        <v>184</v>
      </c>
      <c r="F28" s="145"/>
      <c r="G28" s="193" t="s">
        <v>203</v>
      </c>
    </row>
    <row r="29" spans="2:9" ht="21" x14ac:dyDescent="0.5">
      <c r="B29" s="335" t="s">
        <v>60</v>
      </c>
      <c r="C29" s="335"/>
      <c r="D29" s="335"/>
      <c r="E29" s="335"/>
      <c r="F29" s="335"/>
      <c r="G29" s="335"/>
    </row>
    <row r="30" spans="2:9" ht="58" x14ac:dyDescent="0.35">
      <c r="B30" s="195" t="s">
        <v>81</v>
      </c>
      <c r="C30" s="196" t="s">
        <v>74</v>
      </c>
      <c r="D30" s="239">
        <v>2688137</v>
      </c>
      <c r="E30" s="39" t="s">
        <v>82</v>
      </c>
      <c r="F30" s="197">
        <f>D30</f>
        <v>2688137</v>
      </c>
      <c r="G30" s="39" t="s">
        <v>75</v>
      </c>
      <c r="I30" s="199" t="s">
        <v>198</v>
      </c>
    </row>
    <row r="31" spans="2:9" ht="43.5" x14ac:dyDescent="0.35">
      <c r="B31" s="195" t="s">
        <v>83</v>
      </c>
      <c r="C31" s="196" t="s">
        <v>74</v>
      </c>
      <c r="D31" s="239">
        <v>455723</v>
      </c>
      <c r="E31" s="195" t="s">
        <v>80</v>
      </c>
      <c r="F31" s="197">
        <f>D31</f>
        <v>455723</v>
      </c>
      <c r="G31" s="39" t="s">
        <v>199</v>
      </c>
      <c r="I31" s="198"/>
    </row>
    <row r="32" spans="2:9" ht="43.5" x14ac:dyDescent="0.35">
      <c r="B32" s="195" t="s">
        <v>84</v>
      </c>
      <c r="C32" s="196"/>
      <c r="D32" s="239">
        <v>58365</v>
      </c>
      <c r="E32" s="39" t="s">
        <v>85</v>
      </c>
      <c r="F32" s="197">
        <v>58365</v>
      </c>
      <c r="G32" s="39" t="s">
        <v>86</v>
      </c>
      <c r="I32" s="199" t="s">
        <v>198</v>
      </c>
    </row>
    <row r="33" spans="2:7" ht="58" x14ac:dyDescent="0.35">
      <c r="B33" s="134" t="s">
        <v>87</v>
      </c>
      <c r="C33" s="200" t="s">
        <v>74</v>
      </c>
      <c r="D33" s="240">
        <f>ROUND(D31*D27,0)</f>
        <v>22786</v>
      </c>
      <c r="E33" s="39" t="s">
        <v>200</v>
      </c>
      <c r="F33" s="201">
        <f>D33</f>
        <v>22786</v>
      </c>
      <c r="G33" s="39" t="s">
        <v>199</v>
      </c>
    </row>
  </sheetData>
  <mergeCells count="8">
    <mergeCell ref="B8:G8"/>
    <mergeCell ref="B29:G29"/>
    <mergeCell ref="B1:G1"/>
    <mergeCell ref="B6:B7"/>
    <mergeCell ref="C6:C7"/>
    <mergeCell ref="D6:E6"/>
    <mergeCell ref="F6:F7"/>
    <mergeCell ref="G6:G7"/>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C15"/>
  <sheetViews>
    <sheetView tabSelected="1" zoomScale="110" zoomScaleNormal="110" workbookViewId="0"/>
  </sheetViews>
  <sheetFormatPr defaultRowHeight="14.5" x14ac:dyDescent="0.35"/>
  <cols>
    <col min="1" max="1" width="1.1796875" customWidth="1"/>
    <col min="2" max="2" width="95.1796875" customWidth="1"/>
    <col min="3" max="3" width="13.81640625" bestFit="1" customWidth="1"/>
    <col min="5" max="5" width="12.36328125" customWidth="1"/>
  </cols>
  <sheetData>
    <row r="1" spans="2:3" ht="15" thickBot="1" x14ac:dyDescent="0.4">
      <c r="C1" s="29"/>
    </row>
    <row r="2" spans="2:3" ht="16" thickBot="1" x14ac:dyDescent="0.4">
      <c r="B2" s="340" t="s">
        <v>163</v>
      </c>
      <c r="C2" s="341"/>
    </row>
    <row r="3" spans="2:3" ht="16" thickBot="1" x14ac:dyDescent="0.4">
      <c r="B3" s="31" t="s">
        <v>164</v>
      </c>
      <c r="C3" s="30">
        <f>+MAX(RecordKeeping!H49,Reporting!H36,PublicNotification!E15)</f>
        <v>115935</v>
      </c>
    </row>
    <row r="4" spans="2:3" ht="16" thickBot="1" x14ac:dyDescent="0.4">
      <c r="B4" s="31" t="s">
        <v>165</v>
      </c>
      <c r="C4" s="242">
        <f>+C5/C3</f>
        <v>414.51832492344846</v>
      </c>
    </row>
    <row r="5" spans="2:3" ht="16" thickBot="1" x14ac:dyDescent="0.4">
      <c r="B5" s="31" t="s">
        <v>166</v>
      </c>
      <c r="C5" s="30">
        <f>ROUNDUP(RecordKeeping!J49+Reporting!J36+PublicNotification!G15,0)</f>
        <v>48057182</v>
      </c>
    </row>
    <row r="6" spans="2:3" ht="16" thickBot="1" x14ac:dyDescent="0.4">
      <c r="B6" s="31" t="s">
        <v>167</v>
      </c>
      <c r="C6" s="242">
        <f>+C7/C5</f>
        <v>0.21076019922308384</v>
      </c>
    </row>
    <row r="7" spans="2:3" ht="16" thickBot="1" x14ac:dyDescent="0.4">
      <c r="B7" s="31" t="s">
        <v>168</v>
      </c>
      <c r="C7" s="30">
        <f>+RecordKeeping!L49+Reporting!L36+PublicNotification!I15</f>
        <v>10128541.252419999</v>
      </c>
    </row>
    <row r="8" spans="2:3" ht="16" thickBot="1" x14ac:dyDescent="0.4">
      <c r="B8" s="31" t="s">
        <v>169</v>
      </c>
      <c r="C8" s="30">
        <f>+RecordKeeping!M49+Reporting!M36+PublicNotification!J15</f>
        <v>10143277.011299999</v>
      </c>
    </row>
    <row r="9" spans="2:3" ht="16" thickBot="1" x14ac:dyDescent="0.4">
      <c r="B9" s="31" t="s">
        <v>170</v>
      </c>
      <c r="C9" s="30">
        <f>+RecordKeeping!Q49+Reporting!Q36+PublicNotification!N15</f>
        <v>-14735.758879999998</v>
      </c>
    </row>
    <row r="10" spans="2:3" ht="16" thickBot="1" x14ac:dyDescent="0.4">
      <c r="B10" s="31" t="s">
        <v>171</v>
      </c>
      <c r="C10" s="127">
        <f>+Reporting!P36+RecordKeeping!P49+PublicNotification!M15</f>
        <v>0</v>
      </c>
    </row>
    <row r="11" spans="2:3" ht="16" thickBot="1" x14ac:dyDescent="0.4">
      <c r="B11" s="31" t="s">
        <v>172</v>
      </c>
      <c r="C11" s="30">
        <f>+Reporting!N36+RecordKeeping!N49+PublicNotification!K15</f>
        <v>0</v>
      </c>
    </row>
    <row r="13" spans="2:3" x14ac:dyDescent="0.35">
      <c r="C13" s="233"/>
    </row>
    <row r="14" spans="2:3" x14ac:dyDescent="0.35">
      <c r="C14" s="233"/>
    </row>
    <row r="15" spans="2:3" x14ac:dyDescent="0.35">
      <c r="C15" s="233"/>
    </row>
  </sheetData>
  <mergeCells count="1">
    <mergeCell ref="B2:C2"/>
  </mergeCells>
  <pageMargins left="0.7" right="0.7" top="0.75" bottom="0.75" header="0.3" footer="0.3"/>
  <pageSetup orientation="landscape" r:id="rId1"/>
  <ignoredErrors>
    <ignoredError sqref="C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DF006-48F0-441E-B71A-FE94A1DB3D1D}">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SharedWithUsers xmlns="84c39b67-90c6-4147-97e5-c82f4be0c093">
      <UserInfo>
        <DisplayName>McKenney, Alice - FNS</DisplayName>
        <AccountId>6</AccountId>
        <AccountType/>
      </UserInfo>
      <UserInfo>
        <DisplayName>Sandhu, Navneet - FNS</DisplayName>
        <AccountId>50</AccountId>
        <AccountType/>
      </UserInfo>
      <UserInfo>
        <DisplayName>Fox, Ethan - FNS</DisplayName>
        <AccountId>38</AccountId>
        <AccountType/>
      </UserInfo>
    </SharedWithUsers>
    <lcf76f155ced4ddcb4097134ff3c332f xmlns="4d6da2b7-63b8-4dfe-8cba-af6260a3a84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DDA29071C7104191A76ED7428AD951" ma:contentTypeVersion="16" ma:contentTypeDescription="Create a new document." ma:contentTypeScope="" ma:versionID="d784039c780c9801fe519da2c1a4d74d">
  <xsd:schema xmlns:xsd="http://www.w3.org/2001/XMLSchema" xmlns:xs="http://www.w3.org/2001/XMLSchema" xmlns:p="http://schemas.microsoft.com/office/2006/metadata/properties" xmlns:ns2="4d6da2b7-63b8-4dfe-8cba-af6260a3a847" xmlns:ns3="73fb875a-8af9-4255-b008-0995492d31cd" xmlns:ns4="84c39b67-90c6-4147-97e5-c82f4be0c093" targetNamespace="http://schemas.microsoft.com/office/2006/metadata/properties" ma:root="true" ma:fieldsID="dce5bad771e2b7d34073cc641ddbe784" ns2:_="" ns3:_="" ns4:_="">
    <xsd:import namespace="4d6da2b7-63b8-4dfe-8cba-af6260a3a847"/>
    <xsd:import namespace="73fb875a-8af9-4255-b008-0995492d31cd"/>
    <xsd:import namespace="84c39b67-90c6-4147-97e5-c82f4be0c09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4:SharedWithUsers" minOccurs="0"/>
                <xsd:element ref="ns4:SharedWithDetails"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da2b7-63b8-4dfe-8cba-af6260a3a8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de3572d-3524-4adc-8706-d97338dede4e}" ma:internalName="TaxCatchAll" ma:showField="CatchAllData" ma:web="84c39b67-90c6-4147-97e5-c82f4be0c09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c39b67-90c6-4147-97e5-c82f4be0c09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07B772-96FA-4783-8DAF-A9E4CFF2348A}">
  <ds:schemaRefs>
    <ds:schemaRef ds:uri="http://schemas.microsoft.com/office/2006/documentManagement/types"/>
    <ds:schemaRef ds:uri="http://schemas.openxmlformats.org/package/2006/metadata/core-properties"/>
    <ds:schemaRef ds:uri="http://www.w3.org/XML/1998/namespace"/>
    <ds:schemaRef ds:uri="http://purl.org/dc/elements/1.1/"/>
    <ds:schemaRef ds:uri="4d6da2b7-63b8-4dfe-8cba-af6260a3a847"/>
    <ds:schemaRef ds:uri="http://schemas.microsoft.com/office/2006/metadata/properties"/>
    <ds:schemaRef ds:uri="http://schemas.microsoft.com/office/infopath/2007/PartnerControls"/>
    <ds:schemaRef ds:uri="84c39b67-90c6-4147-97e5-c82f4be0c093"/>
    <ds:schemaRef ds:uri="73fb875a-8af9-4255-b008-0995492d31cd"/>
    <ds:schemaRef ds:uri="http://purl.org/dc/dcmitype/"/>
    <ds:schemaRef ds:uri="http://purl.org/dc/terms/"/>
  </ds:schemaRefs>
</ds:datastoreItem>
</file>

<file path=customXml/itemProps2.xml><?xml version="1.0" encoding="utf-8"?>
<ds:datastoreItem xmlns:ds="http://schemas.openxmlformats.org/officeDocument/2006/customXml" ds:itemID="{2DEB6870-332A-40A4-AC19-5D764CA58E6E}">
  <ds:schemaRefs>
    <ds:schemaRef ds:uri="http://schemas.microsoft.com/sharepoint/v3/contenttype/forms"/>
  </ds:schemaRefs>
</ds:datastoreItem>
</file>

<file path=customXml/itemProps3.xml><?xml version="1.0" encoding="utf-8"?>
<ds:datastoreItem xmlns:ds="http://schemas.openxmlformats.org/officeDocument/2006/customXml" ds:itemID="{7A2F14EA-654E-459C-92C0-21D985F73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6da2b7-63b8-4dfe-8cba-af6260a3a847"/>
    <ds:schemaRef ds:uri="73fb875a-8af9-4255-b008-0995492d31cd"/>
    <ds:schemaRef ds:uri="84c39b67-90c6-4147-97e5-c82f4be0c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vt:lpstr>
      <vt:lpstr>RecordKeeping</vt:lpstr>
      <vt:lpstr>PublicNotification</vt:lpstr>
      <vt:lpstr>Data</vt:lpstr>
      <vt:lpstr>60 day Summ</vt:lpstr>
      <vt:lpstr>Sheet1</vt:lpstr>
      <vt:lpstr>'60 day Summ'!Print_Area</vt:lpstr>
      <vt:lpstr>PublicNotification!Print_Area</vt:lpstr>
      <vt:lpstr>RecordKeeping!Print_Area</vt:lpstr>
      <vt:lpstr>Reporting!Print_Area</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sweeks</dc:creator>
  <cp:keywords/>
  <dc:description/>
  <cp:lastModifiedBy>Sandberg, Christina - FNA</cp:lastModifiedBy>
  <cp:revision/>
  <dcterms:created xsi:type="dcterms:W3CDTF">2011-04-25T16:43:00Z</dcterms:created>
  <dcterms:modified xsi:type="dcterms:W3CDTF">2026-06-18T15:51:26Z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0x0101003EDDA29071C7104191A76ED7428AD951</vt:lpwstr>
  </property>
  <property fmtid="{D5CDD505-2E9C-101B-9397-08002B2CF9AE}" pid="3" name="MediaServiceImageTags">
    <vt:lpwstr/>
  </property>
</Properties>
</file>