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66925"/>
  <mc:AlternateContent xmlns:mc="http://schemas.openxmlformats.org/markup-compatibility/2006">
    <mc:Choice Requires="x15">
      <x15ac:absPath xmlns:x15ac="http://schemas.microsoft.com/office/spreadsheetml/2010/11/ac" url="https://usdagcc-my.sharepoint.com/personal/christina_sandberg_usda_gov/Documents/Documents/Final Rule - Revisions to Meal Patterns 2020 DGA/0584-0055 ICR from PO 4.11.24/CACFP/"/>
    </mc:Choice>
  </mc:AlternateContent>
  <xr:revisionPtr revIDLastSave="5" documentId="8_{7DBE71B1-11EC-4CD7-8AB4-0F53E9A7283C}" xr6:coauthVersionLast="47" xr6:coauthVersionMax="47" xr10:uidLastSave="{CEC739CE-7DA8-4107-9D25-0619CE0B781E}"/>
  <bookViews>
    <workbookView xWindow="-110" yWindow="-110" windowWidth="19420" windowHeight="10420" tabRatio="876" xr2:uid="{00000000-000D-0000-FFFF-FFFF00000000}"/>
  </bookViews>
  <sheets>
    <sheet name="Reporting" sheetId="3" r:id="rId1"/>
    <sheet name="Recordkeeping" sheetId="8" r:id="rId2"/>
    <sheet name="Public Disclosure" sheetId="9" r:id="rId3"/>
    <sheet name="Burden Summary" sheetId="12" r:id="rId4"/>
    <sheet name="Respondent Costs" sheetId="17" r:id="rId5"/>
    <sheet name="60-Day FRN Burden Table" sheetId="13" r:id="rId6"/>
    <sheet name="Electronic Responses" sheetId="18" r:id="rId7"/>
    <sheet name="Assumptions" sheetId="11" r:id="rId8"/>
    <sheet name="Labor Rates" sheetId="16" r:id="rId9"/>
    <sheet name="National DB Data_20200812_1" sheetId="15" state="hidden" r:id="rId10"/>
    <sheet name="National DB Data_20200812_2" sheetId="14" state="hidden" r:id="rId11"/>
    <sheet name="ESRI_MAPINFO_SHEET" sheetId="7" state="veryHidden" r:id="rId12"/>
  </sheets>
  <definedNames>
    <definedName name="_xlnm.Print_Area" localSheetId="5">'60-Day FRN Burden Table'!$B$7:$H$26</definedName>
    <definedName name="_xlnm.Print_Area" localSheetId="7">Assumptions!$B$4:$G$46</definedName>
    <definedName name="_xlnm.Print_Area" localSheetId="6">'Electronic Responses'!$B$7:$F$26</definedName>
    <definedName name="_xlnm.Print_Area" localSheetId="2">'Public Disclosure'!$C$3:$T$24</definedName>
    <definedName name="_xlnm.Print_Area" localSheetId="1">Recordkeeping!$C$3:$T$38</definedName>
    <definedName name="_xlnm.Print_Area" localSheetId="0">Reporting!$C$6:$T$139</definedName>
    <definedName name="_xlnm.Print_Area" localSheetId="4">'Respondent Costs'!$B$6:$D$18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1" i="3" l="1"/>
  <c r="P8" i="8"/>
  <c r="M29" i="8"/>
  <c r="I28" i="8"/>
  <c r="K28" i="8" s="1"/>
  <c r="N28" i="8" s="1"/>
  <c r="O28" i="8" s="1"/>
  <c r="I24" i="8"/>
  <c r="N24" i="8" s="1"/>
  <c r="O24" i="8" s="1"/>
  <c r="G23" i="8"/>
  <c r="P23" i="8" l="1"/>
  <c r="P22" i="8"/>
  <c r="P21" i="8"/>
  <c r="P16" i="8"/>
  <c r="P15" i="8"/>
  <c r="P14" i="8"/>
  <c r="P71" i="3" l="1"/>
  <c r="P100" i="3"/>
  <c r="P98" i="3"/>
  <c r="P73" i="3" l="1"/>
  <c r="P69" i="3"/>
  <c r="P67" i="3"/>
  <c r="P66" i="3"/>
  <c r="P65" i="3"/>
  <c r="H58" i="3" l="1"/>
  <c r="H38" i="3"/>
  <c r="Q61" i="3" l="1"/>
  <c r="P117" i="3"/>
  <c r="P116" i="3"/>
  <c r="P115" i="3"/>
  <c r="P104" i="3"/>
  <c r="P103" i="3"/>
  <c r="P102" i="3"/>
  <c r="P96" i="3"/>
  <c r="P95" i="3"/>
  <c r="P94" i="3"/>
  <c r="N61" i="3"/>
  <c r="P88" i="3"/>
  <c r="P87" i="3"/>
  <c r="P86" i="3"/>
  <c r="P75" i="3"/>
  <c r="P74" i="3"/>
  <c r="P131" i="3"/>
  <c r="P138" i="3" s="1"/>
  <c r="P125" i="3"/>
  <c r="P108" i="3"/>
  <c r="P106" i="3"/>
  <c r="P105" i="3"/>
  <c r="P79" i="3"/>
  <c r="P77" i="3"/>
  <c r="P76" i="3"/>
  <c r="P62" i="3"/>
  <c r="R29" i="8"/>
  <c r="P29" i="8"/>
  <c r="R25" i="8"/>
  <c r="R17" i="8"/>
  <c r="R30" i="8" l="1"/>
  <c r="R37" i="8" s="1"/>
  <c r="P89" i="3"/>
  <c r="P90" i="3" s="1"/>
  <c r="P136" i="3" s="1"/>
  <c r="P118" i="3"/>
  <c r="P126" i="3" s="1"/>
  <c r="P137" i="3" s="1"/>
  <c r="P25" i="8"/>
  <c r="P30" i="8" s="1"/>
  <c r="P37" i="8" s="1"/>
  <c r="P17" i="8"/>
  <c r="P12" i="8"/>
  <c r="P139" i="3" l="1"/>
  <c r="L9" i="12" s="1"/>
  <c r="P18" i="8"/>
  <c r="P36" i="8" s="1"/>
  <c r="P38" i="8" s="1"/>
  <c r="L10" i="12" s="1"/>
  <c r="P16" i="9" l="1"/>
  <c r="P23" i="9" s="1"/>
  <c r="P12" i="9"/>
  <c r="P22" i="9" s="1"/>
  <c r="G15" i="17"/>
  <c r="G12" i="17"/>
  <c r="G11" i="17"/>
  <c r="G8" i="17"/>
  <c r="G7" i="17"/>
  <c r="P24" i="9" l="1"/>
  <c r="L11" i="12" s="1"/>
  <c r="L12" i="12" s="1"/>
  <c r="G88" i="3"/>
  <c r="I88" i="3" s="1"/>
  <c r="K88" i="3" s="1"/>
  <c r="L88" i="3" s="1"/>
  <c r="Q88" i="3" l="1"/>
  <c r="N88" i="3"/>
  <c r="G24" i="13"/>
  <c r="E24" i="13"/>
  <c r="G23" i="13"/>
  <c r="E23" i="13"/>
  <c r="G22" i="13"/>
  <c r="E22" i="13"/>
  <c r="D24" i="11" l="1"/>
  <c r="D30" i="11" l="1"/>
  <c r="G64" i="3"/>
  <c r="G12" i="3"/>
  <c r="H16" i="3"/>
  <c r="G16" i="3"/>
  <c r="H13" i="3"/>
  <c r="G14" i="3"/>
  <c r="G13" i="3"/>
  <c r="G15" i="3"/>
  <c r="G84" i="3" l="1"/>
  <c r="I84" i="3" s="1"/>
  <c r="K84" i="3" s="1"/>
  <c r="L84" i="3" s="1"/>
  <c r="G85" i="3"/>
  <c r="I85" i="3" s="1"/>
  <c r="K85" i="3" s="1"/>
  <c r="L85" i="3" s="1"/>
  <c r="I13" i="3"/>
  <c r="K13" i="3" s="1"/>
  <c r="L13" i="3" s="1"/>
  <c r="N13" i="3" l="1"/>
  <c r="O13" i="3" s="1"/>
  <c r="R13" i="3"/>
  <c r="R85" i="3"/>
  <c r="N85" i="3"/>
  <c r="O85" i="3" s="1"/>
  <c r="S85" i="3" s="1"/>
  <c r="R84" i="3"/>
  <c r="N84" i="3"/>
  <c r="O84" i="3" s="1"/>
  <c r="S84" i="3" s="1"/>
  <c r="G47" i="3"/>
  <c r="S13" i="3" l="1"/>
  <c r="G11" i="8"/>
  <c r="I11" i="8" s="1"/>
  <c r="K11" i="8" s="1"/>
  <c r="L11" i="8" s="1"/>
  <c r="G9" i="8"/>
  <c r="I9" i="8" s="1"/>
  <c r="K9" i="8" s="1"/>
  <c r="L9" i="8" s="1"/>
  <c r="N9" i="8" l="1"/>
  <c r="R9" i="8"/>
  <c r="N11" i="8"/>
  <c r="O11" i="8" s="1"/>
  <c r="R11" i="8"/>
  <c r="S11" i="8" s="1"/>
  <c r="R12" i="8" l="1"/>
  <c r="R18" i="8" s="1"/>
  <c r="R36" i="8" s="1"/>
  <c r="R38" i="8" s="1"/>
  <c r="N10" i="12" s="1"/>
  <c r="S9" i="8"/>
  <c r="O9" i="8"/>
  <c r="I16" i="3"/>
  <c r="K16" i="3" s="1"/>
  <c r="L16" i="3" s="1"/>
  <c r="G53" i="3"/>
  <c r="G49" i="3"/>
  <c r="G44" i="3"/>
  <c r="I44" i="3" s="1"/>
  <c r="K44" i="3" s="1"/>
  <c r="L44" i="3" s="1"/>
  <c r="G43" i="3"/>
  <c r="I43" i="3" s="1"/>
  <c r="K43" i="3" s="1"/>
  <c r="L43" i="3" s="1"/>
  <c r="G42" i="3"/>
  <c r="I42" i="3" s="1"/>
  <c r="K42" i="3" s="1"/>
  <c r="L42" i="3" s="1"/>
  <c r="G41" i="3"/>
  <c r="I41" i="3" s="1"/>
  <c r="K41" i="3" s="1"/>
  <c r="L41" i="3" s="1"/>
  <c r="G40" i="3"/>
  <c r="I40" i="3" s="1"/>
  <c r="K40" i="3" s="1"/>
  <c r="L40" i="3" s="1"/>
  <c r="G28" i="3"/>
  <c r="I28" i="3" s="1"/>
  <c r="K28" i="3" s="1"/>
  <c r="L28" i="3" s="1"/>
  <c r="G29" i="3"/>
  <c r="G24" i="3"/>
  <c r="I24" i="3" s="1"/>
  <c r="K24" i="3" s="1"/>
  <c r="G23" i="3"/>
  <c r="L24" i="3" l="1"/>
  <c r="N24" i="3" s="1"/>
  <c r="O24" i="3" s="1"/>
  <c r="R24" i="3"/>
  <c r="N42" i="3"/>
  <c r="O42" i="3" s="1"/>
  <c r="R42" i="3"/>
  <c r="R44" i="3"/>
  <c r="N44" i="3"/>
  <c r="O44" i="3" s="1"/>
  <c r="S44" i="3" s="1"/>
  <c r="N41" i="3"/>
  <c r="O41" i="3" s="1"/>
  <c r="R41" i="3"/>
  <c r="R28" i="3"/>
  <c r="N28" i="3"/>
  <c r="R16" i="3"/>
  <c r="N16" i="3"/>
  <c r="O16" i="3" s="1"/>
  <c r="S16" i="3" s="1"/>
  <c r="R43" i="3"/>
  <c r="N43" i="3"/>
  <c r="O43" i="3" s="1"/>
  <c r="S43" i="3" s="1"/>
  <c r="N40" i="3"/>
  <c r="O40" i="3" s="1"/>
  <c r="R40" i="3"/>
  <c r="I49" i="3"/>
  <c r="K49" i="3" s="1"/>
  <c r="L49" i="3" s="1"/>
  <c r="O28" i="3"/>
  <c r="S28" i="3" l="1"/>
  <c r="S42" i="3"/>
  <c r="S24" i="3"/>
  <c r="S40" i="3"/>
  <c r="S41" i="3"/>
  <c r="R49" i="3"/>
  <c r="N49" i="3"/>
  <c r="O49" i="3" s="1"/>
  <c r="G51" i="3"/>
  <c r="I51" i="3" s="1"/>
  <c r="K51" i="3" s="1"/>
  <c r="L51" i="3" s="1"/>
  <c r="S49" i="3" l="1"/>
  <c r="Q51" i="3"/>
  <c r="N51" i="3"/>
  <c r="O51" i="3" s="1"/>
  <c r="S51" i="3" l="1"/>
  <c r="I29" i="3"/>
  <c r="K29" i="3" s="1"/>
  <c r="L29" i="3" s="1"/>
  <c r="N29" i="3" l="1"/>
  <c r="O29" i="3" s="1"/>
  <c r="R29" i="3"/>
  <c r="S29" i="3" l="1"/>
  <c r="D39" i="11"/>
  <c r="D36" i="11"/>
  <c r="D35" i="11"/>
  <c r="D34" i="11"/>
  <c r="D31" i="11"/>
  <c r="D26" i="11"/>
  <c r="D25" i="11"/>
  <c r="G16" i="8" l="1"/>
  <c r="G15" i="8"/>
  <c r="G82" i="3"/>
  <c r="I82" i="3" s="1"/>
  <c r="K82" i="3" s="1"/>
  <c r="L82" i="3" s="1"/>
  <c r="G73" i="3"/>
  <c r="G67" i="3"/>
  <c r="G14" i="8"/>
  <c r="G122" i="3"/>
  <c r="I122" i="3" s="1"/>
  <c r="K122" i="3" s="1"/>
  <c r="G125" i="3"/>
  <c r="D12" i="13" s="1"/>
  <c r="C4" i="11"/>
  <c r="G76" i="3"/>
  <c r="G83" i="3"/>
  <c r="I83" i="3" s="1"/>
  <c r="K83" i="3" s="1"/>
  <c r="L83" i="3" s="1"/>
  <c r="G22" i="8"/>
  <c r="H14" i="3"/>
  <c r="I14" i="3" s="1"/>
  <c r="K14" i="3" s="1"/>
  <c r="L14" i="3" s="1"/>
  <c r="G81" i="3"/>
  <c r="I81" i="3" s="1"/>
  <c r="K81" i="3" s="1"/>
  <c r="L81" i="3" s="1"/>
  <c r="I64" i="3"/>
  <c r="K64" i="3" s="1"/>
  <c r="L64" i="3" s="1"/>
  <c r="G78" i="3"/>
  <c r="I78" i="3" s="1"/>
  <c r="K78" i="3" s="1"/>
  <c r="L78" i="3" s="1"/>
  <c r="G80" i="3"/>
  <c r="I80" i="3" s="1"/>
  <c r="K80" i="3" s="1"/>
  <c r="L80" i="3" s="1"/>
  <c r="H47" i="3"/>
  <c r="I47" i="3" s="1"/>
  <c r="K47" i="3" s="1"/>
  <c r="L47" i="3" s="1"/>
  <c r="H53" i="3"/>
  <c r="I53" i="3" s="1"/>
  <c r="K53" i="3" s="1"/>
  <c r="L53" i="3" s="1"/>
  <c r="G124" i="3"/>
  <c r="I124" i="3" s="1"/>
  <c r="K124" i="3" s="1"/>
  <c r="G123" i="3"/>
  <c r="I123" i="3" s="1"/>
  <c r="K123" i="3" s="1"/>
  <c r="L122" i="3" l="1"/>
  <c r="N122" i="3" s="1"/>
  <c r="L123" i="3"/>
  <c r="N123" i="3" s="1"/>
  <c r="O123" i="3" s="1"/>
  <c r="L124" i="3"/>
  <c r="N124" i="3" s="1"/>
  <c r="O124" i="3" s="1"/>
  <c r="R81" i="3"/>
  <c r="N81" i="3"/>
  <c r="O81" i="3" s="1"/>
  <c r="S81" i="3" s="1"/>
  <c r="R122" i="3"/>
  <c r="R123" i="3"/>
  <c r="R14" i="3"/>
  <c r="N14" i="3"/>
  <c r="N64" i="3"/>
  <c r="O64" i="3" s="1"/>
  <c r="R64" i="3"/>
  <c r="R124" i="3"/>
  <c r="N53" i="3"/>
  <c r="O53" i="3" s="1"/>
  <c r="R53" i="3"/>
  <c r="R47" i="3"/>
  <c r="N47" i="3"/>
  <c r="O47" i="3" s="1"/>
  <c r="R83" i="3"/>
  <c r="N83" i="3"/>
  <c r="O83" i="3" s="1"/>
  <c r="N82" i="3"/>
  <c r="O82" i="3" s="1"/>
  <c r="R82" i="3"/>
  <c r="R80" i="3"/>
  <c r="N80" i="3"/>
  <c r="O80" i="3" s="1"/>
  <c r="N78" i="3"/>
  <c r="O78" i="3" s="1"/>
  <c r="R78" i="3"/>
  <c r="O14" i="3"/>
  <c r="S14" i="3" s="1"/>
  <c r="S123" i="3" l="1"/>
  <c r="S53" i="3"/>
  <c r="S124" i="3"/>
  <c r="S78" i="3"/>
  <c r="S47" i="3"/>
  <c r="S83" i="3"/>
  <c r="S80" i="3"/>
  <c r="R125" i="3"/>
  <c r="S82" i="3"/>
  <c r="S64" i="3"/>
  <c r="O122" i="3"/>
  <c r="S122" i="3" s="1"/>
  <c r="G12" i="8" l="1"/>
  <c r="D16" i="13" s="1"/>
  <c r="G62" i="3"/>
  <c r="D9" i="13" s="1"/>
  <c r="G87" i="3" l="1"/>
  <c r="G74" i="3"/>
  <c r="G72" i="3"/>
  <c r="G69" i="3"/>
  <c r="F28" i="11"/>
  <c r="D22" i="11"/>
  <c r="G117" i="3" l="1"/>
  <c r="I117" i="3" s="1"/>
  <c r="K117" i="3" s="1"/>
  <c r="L117" i="3" s="1"/>
  <c r="G116" i="3"/>
  <c r="G98" i="3"/>
  <c r="I98" i="3" s="1"/>
  <c r="K98" i="3" s="1"/>
  <c r="L98" i="3" s="1"/>
  <c r="G103" i="3"/>
  <c r="I103" i="3" s="1"/>
  <c r="K103" i="3" s="1"/>
  <c r="L103" i="3" s="1"/>
  <c r="G101" i="3"/>
  <c r="I101" i="3" s="1"/>
  <c r="K101" i="3" s="1"/>
  <c r="G93" i="3"/>
  <c r="I93" i="3" s="1"/>
  <c r="K93" i="3" s="1"/>
  <c r="L93" i="3" s="1"/>
  <c r="G21" i="8"/>
  <c r="G94" i="3"/>
  <c r="G115" i="3"/>
  <c r="G96" i="3"/>
  <c r="G105" i="3"/>
  <c r="I105" i="3" s="1"/>
  <c r="K105" i="3" s="1"/>
  <c r="L105" i="3" s="1"/>
  <c r="G113" i="3"/>
  <c r="I113" i="3" s="1"/>
  <c r="K113" i="3" s="1"/>
  <c r="L113" i="3" s="1"/>
  <c r="G112" i="3"/>
  <c r="I112" i="3" s="1"/>
  <c r="K112" i="3" s="1"/>
  <c r="L112" i="3" s="1"/>
  <c r="G111" i="3"/>
  <c r="I111" i="3" s="1"/>
  <c r="K111" i="3" s="1"/>
  <c r="L111" i="3" s="1"/>
  <c r="G114" i="3"/>
  <c r="I114" i="3" s="1"/>
  <c r="K114" i="3" s="1"/>
  <c r="L114" i="3" s="1"/>
  <c r="G110" i="3"/>
  <c r="I110" i="3" s="1"/>
  <c r="K110" i="3" s="1"/>
  <c r="L110" i="3" s="1"/>
  <c r="G109" i="3"/>
  <c r="I109" i="3" s="1"/>
  <c r="K109" i="3" s="1"/>
  <c r="L109" i="3" s="1"/>
  <c r="G107" i="3"/>
  <c r="I107" i="3" s="1"/>
  <c r="K107" i="3" s="1"/>
  <c r="L107" i="3" s="1"/>
  <c r="G108" i="3"/>
  <c r="I108" i="3" s="1"/>
  <c r="K108" i="3" s="1"/>
  <c r="L108" i="3" s="1"/>
  <c r="G102" i="3"/>
  <c r="I102" i="3" s="1"/>
  <c r="K102" i="3" s="1"/>
  <c r="L102" i="3" s="1"/>
  <c r="I96" i="3"/>
  <c r="I116" i="3"/>
  <c r="K116" i="3" s="1"/>
  <c r="L116" i="3" s="1"/>
  <c r="L101" i="3" l="1"/>
  <c r="N101" i="3" s="1"/>
  <c r="O101" i="3" s="1"/>
  <c r="R101" i="3"/>
  <c r="S101" i="3" s="1"/>
  <c r="G25" i="8"/>
  <c r="D18" i="13" s="1"/>
  <c r="N110" i="3"/>
  <c r="O110" i="3" s="1"/>
  <c r="R110" i="3"/>
  <c r="R114" i="3"/>
  <c r="N114" i="3"/>
  <c r="O114" i="3" s="1"/>
  <c r="N111" i="3"/>
  <c r="O111" i="3" s="1"/>
  <c r="R111" i="3"/>
  <c r="N93" i="3"/>
  <c r="O93" i="3" s="1"/>
  <c r="R93" i="3"/>
  <c r="R112" i="3"/>
  <c r="N112" i="3"/>
  <c r="O112" i="3" s="1"/>
  <c r="R113" i="3"/>
  <c r="N113" i="3"/>
  <c r="O113" i="3" s="1"/>
  <c r="N103" i="3"/>
  <c r="O103" i="3" s="1"/>
  <c r="Q103" i="3"/>
  <c r="Q116" i="3"/>
  <c r="N116" i="3"/>
  <c r="O116" i="3" s="1"/>
  <c r="R105" i="3"/>
  <c r="N105" i="3"/>
  <c r="O105" i="3" s="1"/>
  <c r="S105" i="3" s="1"/>
  <c r="N98" i="3"/>
  <c r="O98" i="3" s="1"/>
  <c r="Q98" i="3"/>
  <c r="N102" i="3"/>
  <c r="O102" i="3" s="1"/>
  <c r="Q102" i="3"/>
  <c r="R107" i="3"/>
  <c r="N107" i="3"/>
  <c r="O107" i="3" s="1"/>
  <c r="R108" i="3"/>
  <c r="N108" i="3"/>
  <c r="O108" i="3" s="1"/>
  <c r="S108" i="3" s="1"/>
  <c r="N109" i="3"/>
  <c r="O109" i="3" s="1"/>
  <c r="R109" i="3"/>
  <c r="Q117" i="3"/>
  <c r="N117" i="3"/>
  <c r="O117" i="3" s="1"/>
  <c r="K96" i="3"/>
  <c r="L96" i="3" s="1"/>
  <c r="S107" i="3" l="1"/>
  <c r="S117" i="3"/>
  <c r="S109" i="3"/>
  <c r="S110" i="3"/>
  <c r="S111" i="3"/>
  <c r="S113" i="3"/>
  <c r="S114" i="3"/>
  <c r="S98" i="3"/>
  <c r="S116" i="3"/>
  <c r="S112" i="3"/>
  <c r="Q96" i="3"/>
  <c r="N96" i="3"/>
  <c r="S103" i="3"/>
  <c r="S102" i="3"/>
  <c r="S93" i="3"/>
  <c r="I72" i="3"/>
  <c r="K72" i="3" s="1"/>
  <c r="L72" i="3" l="1"/>
  <c r="N72" i="3" s="1"/>
  <c r="O72" i="3" s="1"/>
  <c r="R72" i="3"/>
  <c r="S72" i="3" s="1"/>
  <c r="O96" i="3"/>
  <c r="S96" i="3" s="1"/>
  <c r="O88" i="3" l="1"/>
  <c r="S88" i="3" s="1"/>
  <c r="I87" i="3" l="1"/>
  <c r="K87" i="3" s="1"/>
  <c r="L87" i="3" s="1"/>
  <c r="N87" i="3" l="1"/>
  <c r="O87" i="3" s="1"/>
  <c r="Q87" i="3"/>
  <c r="D41" i="11"/>
  <c r="S87" i="3" l="1"/>
  <c r="G118" i="3"/>
  <c r="D11" i="13" s="1"/>
  <c r="G89" i="3"/>
  <c r="G86" i="3"/>
  <c r="I115" i="3"/>
  <c r="G17" i="8"/>
  <c r="G77" i="3"/>
  <c r="G65" i="3"/>
  <c r="G99" i="3"/>
  <c r="I99" i="3" s="1"/>
  <c r="K99" i="3" s="1"/>
  <c r="L99" i="3" s="1"/>
  <c r="G97" i="3"/>
  <c r="I97" i="3" s="1"/>
  <c r="K97" i="3" s="1"/>
  <c r="L97" i="3" s="1"/>
  <c r="G75" i="3"/>
  <c r="G71" i="3"/>
  <c r="G15" i="9"/>
  <c r="D24" i="13" s="1"/>
  <c r="G104" i="3"/>
  <c r="I104" i="3" s="1"/>
  <c r="K104" i="3" s="1"/>
  <c r="L104" i="3" s="1"/>
  <c r="G100" i="3"/>
  <c r="I100" i="3" s="1"/>
  <c r="K100" i="3" s="1"/>
  <c r="L100" i="3" s="1"/>
  <c r="G95" i="3"/>
  <c r="I95" i="3" s="1"/>
  <c r="K95" i="3" s="1"/>
  <c r="L95" i="3" s="1"/>
  <c r="G11" i="9"/>
  <c r="G66" i="3"/>
  <c r="G106" i="3"/>
  <c r="I106" i="3" s="1"/>
  <c r="K106" i="3" s="1"/>
  <c r="L106" i="3" s="1"/>
  <c r="I94" i="3"/>
  <c r="G79" i="3"/>
  <c r="G70" i="3"/>
  <c r="G68" i="3"/>
  <c r="G129" i="3"/>
  <c r="N99" i="3" l="1"/>
  <c r="O99" i="3" s="1"/>
  <c r="R99" i="3"/>
  <c r="Q95" i="3"/>
  <c r="N95" i="3"/>
  <c r="Q100" i="3"/>
  <c r="N100" i="3"/>
  <c r="O100" i="3" s="1"/>
  <c r="N104" i="3"/>
  <c r="O104" i="3" s="1"/>
  <c r="Q104" i="3"/>
  <c r="R106" i="3"/>
  <c r="N106" i="3"/>
  <c r="O106" i="3" s="1"/>
  <c r="N97" i="3"/>
  <c r="O97" i="3" s="1"/>
  <c r="R97" i="3"/>
  <c r="I11" i="9"/>
  <c r="D23" i="18" s="1"/>
  <c r="F23" i="18" s="1"/>
  <c r="D23" i="13"/>
  <c r="G90" i="3"/>
  <c r="G136" i="3" s="1"/>
  <c r="D10" i="13"/>
  <c r="G18" i="8"/>
  <c r="D17" i="13"/>
  <c r="K115" i="3"/>
  <c r="L115" i="3" s="1"/>
  <c r="I118" i="3"/>
  <c r="D11" i="18" s="1"/>
  <c r="F11" i="18" s="1"/>
  <c r="O95" i="3"/>
  <c r="S95" i="3" s="1"/>
  <c r="K94" i="3"/>
  <c r="L94" i="3" s="1"/>
  <c r="L118" i="3" s="1"/>
  <c r="I21" i="8"/>
  <c r="F31" i="11"/>
  <c r="T63" i="11"/>
  <c r="S99" i="3" l="1"/>
  <c r="S106" i="3"/>
  <c r="R118" i="3"/>
  <c r="R126" i="3" s="1"/>
  <c r="R137" i="3" s="1"/>
  <c r="S100" i="3"/>
  <c r="S97" i="3"/>
  <c r="S104" i="3"/>
  <c r="Q115" i="3"/>
  <c r="N115" i="3"/>
  <c r="Q94" i="3"/>
  <c r="N94" i="3"/>
  <c r="K118" i="3"/>
  <c r="J118" i="3" s="1"/>
  <c r="G11" i="13" s="1"/>
  <c r="H118" i="3"/>
  <c r="E11" i="13" s="1"/>
  <c r="F11" i="13"/>
  <c r="K11" i="9"/>
  <c r="L11" i="9" s="1"/>
  <c r="F23" i="13"/>
  <c r="K21" i="8"/>
  <c r="F40" i="11"/>
  <c r="N118" i="3" l="1"/>
  <c r="L21" i="8"/>
  <c r="N11" i="9"/>
  <c r="R11" i="9"/>
  <c r="Q21" i="8"/>
  <c r="O11" i="9"/>
  <c r="S11" i="9" s="1"/>
  <c r="H11" i="13"/>
  <c r="H23" i="13"/>
  <c r="O115" i="3"/>
  <c r="S115" i="3" s="1"/>
  <c r="M118" i="3"/>
  <c r="O94" i="3"/>
  <c r="I77" i="3"/>
  <c r="K77" i="3" s="1"/>
  <c r="L77" i="3" s="1"/>
  <c r="N21" i="8" l="1"/>
  <c r="R77" i="3"/>
  <c r="N77" i="3"/>
  <c r="S94" i="3"/>
  <c r="S118" i="3" s="1"/>
  <c r="Q118" i="3"/>
  <c r="O118" i="3"/>
  <c r="O21" i="8"/>
  <c r="O77" i="3"/>
  <c r="S77" i="3" l="1"/>
  <c r="S21" i="8"/>
  <c r="I12" i="3"/>
  <c r="K12" i="3" l="1"/>
  <c r="L12" i="3" s="1"/>
  <c r="F42" i="11"/>
  <c r="N12" i="3" l="1"/>
  <c r="O12" i="3" s="1"/>
  <c r="Q12" i="3"/>
  <c r="I129" i="3"/>
  <c r="K129" i="3" s="1"/>
  <c r="L129" i="3" s="1"/>
  <c r="N129" i="3" l="1"/>
  <c r="O129" i="3" s="1"/>
  <c r="R129" i="3"/>
  <c r="R131" i="3" s="1"/>
  <c r="R138" i="3" s="1"/>
  <c r="S12" i="3"/>
  <c r="G21" i="3"/>
  <c r="I21" i="3" s="1"/>
  <c r="K21" i="3" s="1"/>
  <c r="L21" i="3" s="1"/>
  <c r="S129" i="3" l="1"/>
  <c r="N21" i="3"/>
  <c r="O21" i="3" s="1"/>
  <c r="Q21" i="3"/>
  <c r="G17" i="3"/>
  <c r="S21" i="3" l="1"/>
  <c r="I17" i="3"/>
  <c r="K17" i="3" s="1"/>
  <c r="L17" i="3" s="1"/>
  <c r="G9" i="9"/>
  <c r="D22" i="13" s="1"/>
  <c r="Q17" i="3" l="1"/>
  <c r="N17" i="3"/>
  <c r="O17" i="3" s="1"/>
  <c r="G12" i="9"/>
  <c r="G22" i="9" s="1"/>
  <c r="I9" i="9"/>
  <c r="D22" i="18" s="1"/>
  <c r="F22" i="18" s="1"/>
  <c r="S17" i="3" l="1"/>
  <c r="I12" i="9"/>
  <c r="F22" i="13"/>
  <c r="K9" i="9"/>
  <c r="L9" i="9" s="1"/>
  <c r="L12" i="9" s="1"/>
  <c r="L22" i="9" s="1"/>
  <c r="N9" i="9" l="1"/>
  <c r="R9" i="9"/>
  <c r="R12" i="9" s="1"/>
  <c r="R22" i="9" s="1"/>
  <c r="O9" i="9"/>
  <c r="N12" i="9"/>
  <c r="N22" i="9" s="1"/>
  <c r="K12" i="9"/>
  <c r="H22" i="13"/>
  <c r="I22" i="9"/>
  <c r="H12" i="9"/>
  <c r="H22" i="9" s="1"/>
  <c r="S9" i="9" l="1"/>
  <c r="S12" i="9" s="1"/>
  <c r="S22" i="9" s="1"/>
  <c r="Q12" i="9"/>
  <c r="Q22" i="9" s="1"/>
  <c r="O12" i="9"/>
  <c r="O22" i="9" s="1"/>
  <c r="M12" i="9"/>
  <c r="M22" i="9" s="1"/>
  <c r="J12" i="9"/>
  <c r="J22" i="9" s="1"/>
  <c r="K22" i="9"/>
  <c r="D43" i="11" l="1"/>
  <c r="D37" i="11" l="1"/>
  <c r="H23" i="8" l="1"/>
  <c r="I23" i="8" s="1"/>
  <c r="K23" i="8" s="1"/>
  <c r="L23" i="8" s="1"/>
  <c r="H22" i="8"/>
  <c r="I22" i="8" s="1"/>
  <c r="I86" i="3"/>
  <c r="I25" i="8" l="1"/>
  <c r="H25" i="8" s="1"/>
  <c r="N23" i="8"/>
  <c r="O23" i="8" s="1"/>
  <c r="Q23" i="8"/>
  <c r="K22" i="8"/>
  <c r="D18" i="18"/>
  <c r="F18" i="18" s="1"/>
  <c r="K86" i="3"/>
  <c r="L86" i="3" s="1"/>
  <c r="F39" i="11"/>
  <c r="F35" i="11"/>
  <c r="F25" i="11"/>
  <c r="F26" i="11"/>
  <c r="F27" i="11"/>
  <c r="F29" i="11"/>
  <c r="F36" i="11"/>
  <c r="F10" i="11"/>
  <c r="F11" i="11"/>
  <c r="F12" i="11"/>
  <c r="F13" i="11"/>
  <c r="F14" i="11"/>
  <c r="F15" i="11"/>
  <c r="F16" i="11"/>
  <c r="F18" i="11"/>
  <c r="F32" i="11"/>
  <c r="C37" i="11"/>
  <c r="F37" i="11" s="1"/>
  <c r="I79" i="3"/>
  <c r="K79" i="3" s="1"/>
  <c r="L79" i="3" s="1"/>
  <c r="I70" i="3"/>
  <c r="K70" i="3" s="1"/>
  <c r="I68" i="3"/>
  <c r="K68" i="3" s="1"/>
  <c r="F34" i="11"/>
  <c r="I76" i="3"/>
  <c r="K76" i="3" s="1"/>
  <c r="L76" i="3" s="1"/>
  <c r="I23" i="3"/>
  <c r="K23" i="3" s="1"/>
  <c r="G18" i="3"/>
  <c r="I18" i="3" s="1"/>
  <c r="K18" i="3" s="1"/>
  <c r="G52" i="3"/>
  <c r="I52" i="3" s="1"/>
  <c r="K52" i="3" s="1"/>
  <c r="L52" i="3" s="1"/>
  <c r="G19" i="3"/>
  <c r="I19" i="3" s="1"/>
  <c r="K19" i="3" s="1"/>
  <c r="I15" i="9"/>
  <c r="D24" i="18" s="1"/>
  <c r="F24" i="18" s="1"/>
  <c r="F25" i="18" s="1"/>
  <c r="G36" i="8"/>
  <c r="I15" i="3"/>
  <c r="F43" i="11"/>
  <c r="I14" i="8"/>
  <c r="G10" i="8"/>
  <c r="I10" i="8" s="1"/>
  <c r="G8" i="8"/>
  <c r="I8" i="8" s="1"/>
  <c r="G121" i="3"/>
  <c r="I121" i="3" s="1"/>
  <c r="K121" i="3" s="1"/>
  <c r="I69" i="3"/>
  <c r="K69" i="3" s="1"/>
  <c r="L69" i="3" s="1"/>
  <c r="I75" i="3"/>
  <c r="K75" i="3" s="1"/>
  <c r="L75" i="3" s="1"/>
  <c r="I74" i="3"/>
  <c r="K74" i="3" s="1"/>
  <c r="L74" i="3" s="1"/>
  <c r="I73" i="3"/>
  <c r="K73" i="3" s="1"/>
  <c r="L73" i="3" s="1"/>
  <c r="I71" i="3"/>
  <c r="G32" i="3"/>
  <c r="H32" i="3" s="1"/>
  <c r="I66" i="3"/>
  <c r="K66" i="3" s="1"/>
  <c r="L66" i="3" s="1"/>
  <c r="I65" i="3"/>
  <c r="I60" i="3"/>
  <c r="K60" i="3" s="1"/>
  <c r="L60" i="3" s="1"/>
  <c r="I59" i="3"/>
  <c r="K59" i="3" s="1"/>
  <c r="L59" i="3" s="1"/>
  <c r="G58" i="3"/>
  <c r="G57" i="3"/>
  <c r="I57" i="3" s="1"/>
  <c r="K57" i="3" s="1"/>
  <c r="L57" i="3" s="1"/>
  <c r="G56" i="3"/>
  <c r="I56" i="3" s="1"/>
  <c r="K56" i="3" s="1"/>
  <c r="L56" i="3" s="1"/>
  <c r="G55" i="3"/>
  <c r="I55" i="3" s="1"/>
  <c r="K55" i="3" s="1"/>
  <c r="L55" i="3" s="1"/>
  <c r="G54" i="3"/>
  <c r="I54" i="3" s="1"/>
  <c r="K54" i="3" s="1"/>
  <c r="L54" i="3" s="1"/>
  <c r="G50" i="3"/>
  <c r="I50" i="3" s="1"/>
  <c r="K50" i="3" s="1"/>
  <c r="L50" i="3" s="1"/>
  <c r="G48" i="3"/>
  <c r="I48" i="3" s="1"/>
  <c r="K48" i="3" s="1"/>
  <c r="L48" i="3" s="1"/>
  <c r="G46" i="3"/>
  <c r="I46" i="3" s="1"/>
  <c r="K46" i="3" s="1"/>
  <c r="L46" i="3" s="1"/>
  <c r="G45" i="3"/>
  <c r="I45" i="3" s="1"/>
  <c r="K45" i="3" s="1"/>
  <c r="L45" i="3" s="1"/>
  <c r="G39" i="3"/>
  <c r="I39" i="3" s="1"/>
  <c r="K39" i="3" s="1"/>
  <c r="L39" i="3" s="1"/>
  <c r="G38" i="3"/>
  <c r="G37" i="3"/>
  <c r="I37" i="3" s="1"/>
  <c r="K37" i="3" s="1"/>
  <c r="L37" i="3" s="1"/>
  <c r="G36" i="3"/>
  <c r="I36" i="3" s="1"/>
  <c r="K36" i="3" s="1"/>
  <c r="L36" i="3" s="1"/>
  <c r="G34" i="3"/>
  <c r="I34" i="3" s="1"/>
  <c r="K34" i="3" s="1"/>
  <c r="L34" i="3" s="1"/>
  <c r="G35" i="3"/>
  <c r="H35" i="3" s="1"/>
  <c r="G33" i="3"/>
  <c r="I33" i="3" s="1"/>
  <c r="K33" i="3" s="1"/>
  <c r="L33" i="3" s="1"/>
  <c r="G31" i="3"/>
  <c r="H31" i="3" s="1"/>
  <c r="G30" i="3"/>
  <c r="I30" i="3" s="1"/>
  <c r="K30" i="3" s="1"/>
  <c r="L30" i="3" s="1"/>
  <c r="G27" i="3"/>
  <c r="I27" i="3" s="1"/>
  <c r="K27" i="3" s="1"/>
  <c r="L27" i="3" s="1"/>
  <c r="G26" i="3"/>
  <c r="I26" i="3" s="1"/>
  <c r="K26" i="3" s="1"/>
  <c r="L26" i="3" s="1"/>
  <c r="G25" i="3"/>
  <c r="I25" i="3" s="1"/>
  <c r="K25" i="3" s="1"/>
  <c r="L25" i="3" s="1"/>
  <c r="G22" i="3"/>
  <c r="I22" i="3" s="1"/>
  <c r="K22" i="3" s="1"/>
  <c r="L22" i="3" s="1"/>
  <c r="G20" i="3"/>
  <c r="I20" i="3" s="1"/>
  <c r="K20" i="3" s="1"/>
  <c r="L20" i="3" s="1"/>
  <c r="H15" i="8"/>
  <c r="H16" i="8"/>
  <c r="L23" i="3" l="1"/>
  <c r="N23" i="3" s="1"/>
  <c r="O23" i="3" s="1"/>
  <c r="R23" i="3"/>
  <c r="L18" i="3"/>
  <c r="N18" i="3" s="1"/>
  <c r="O18" i="3" s="1"/>
  <c r="R18" i="3"/>
  <c r="L68" i="3"/>
  <c r="N68" i="3" s="1"/>
  <c r="O68" i="3" s="1"/>
  <c r="R68" i="3"/>
  <c r="Q121" i="3"/>
  <c r="L121" i="3"/>
  <c r="N121" i="3" s="1"/>
  <c r="L19" i="3"/>
  <c r="N19" i="3" s="1"/>
  <c r="O19" i="3" s="1"/>
  <c r="R19" i="3"/>
  <c r="L70" i="3"/>
  <c r="N70" i="3" s="1"/>
  <c r="O70" i="3" s="1"/>
  <c r="R70" i="3"/>
  <c r="L22" i="8"/>
  <c r="L25" i="8" s="1"/>
  <c r="K25" i="8"/>
  <c r="S23" i="8"/>
  <c r="N22" i="8"/>
  <c r="N25" i="8" s="1"/>
  <c r="Q22" i="8"/>
  <c r="Q25" i="8" s="1"/>
  <c r="N27" i="3"/>
  <c r="O27" i="3" s="1"/>
  <c r="Q27" i="3"/>
  <c r="N30" i="3"/>
  <c r="Q30" i="3"/>
  <c r="N39" i="3"/>
  <c r="O39" i="3" s="1"/>
  <c r="Q39" i="3"/>
  <c r="Q57" i="3"/>
  <c r="N57" i="3"/>
  <c r="O57" i="3" s="1"/>
  <c r="N73" i="3"/>
  <c r="O73" i="3" s="1"/>
  <c r="Q73" i="3"/>
  <c r="Q45" i="3"/>
  <c r="N45" i="3"/>
  <c r="O45" i="3" s="1"/>
  <c r="Q74" i="3"/>
  <c r="N74" i="3"/>
  <c r="O74" i="3" s="1"/>
  <c r="R79" i="3"/>
  <c r="N79" i="3"/>
  <c r="O79" i="3" s="1"/>
  <c r="Q33" i="3"/>
  <c r="N33" i="3"/>
  <c r="O33" i="3" s="1"/>
  <c r="Q59" i="3"/>
  <c r="N59" i="3"/>
  <c r="O59" i="3" s="1"/>
  <c r="Q75" i="3"/>
  <c r="N75" i="3"/>
  <c r="O75" i="3" s="1"/>
  <c r="N52" i="3"/>
  <c r="O52" i="3" s="1"/>
  <c r="R52" i="3"/>
  <c r="N56" i="3"/>
  <c r="O56" i="3" s="1"/>
  <c r="Q56" i="3"/>
  <c r="Q46" i="3"/>
  <c r="N46" i="3"/>
  <c r="O46" i="3" s="1"/>
  <c r="Q48" i="3"/>
  <c r="N48" i="3"/>
  <c r="O48" i="3" s="1"/>
  <c r="Q60" i="3"/>
  <c r="N60" i="3"/>
  <c r="O60" i="3" s="1"/>
  <c r="Q69" i="3"/>
  <c r="N69" i="3"/>
  <c r="O69" i="3" s="1"/>
  <c r="N86" i="3"/>
  <c r="O86" i="3" s="1"/>
  <c r="Q86" i="3"/>
  <c r="Q34" i="3"/>
  <c r="N34" i="3"/>
  <c r="O34" i="3" s="1"/>
  <c r="Q50" i="3"/>
  <c r="N50" i="3"/>
  <c r="O50" i="3" s="1"/>
  <c r="Q22" i="3"/>
  <c r="N22" i="3"/>
  <c r="O22" i="3" s="1"/>
  <c r="Q36" i="3"/>
  <c r="N36" i="3"/>
  <c r="O36" i="3" s="1"/>
  <c r="N54" i="3"/>
  <c r="O54" i="3" s="1"/>
  <c r="Q54" i="3"/>
  <c r="Q66" i="3"/>
  <c r="N66" i="3"/>
  <c r="O66" i="3" s="1"/>
  <c r="R76" i="3"/>
  <c r="N76" i="3"/>
  <c r="O76" i="3" s="1"/>
  <c r="N25" i="3"/>
  <c r="O25" i="3" s="1"/>
  <c r="Q25" i="3"/>
  <c r="Q26" i="3"/>
  <c r="N26" i="3"/>
  <c r="O26" i="3" s="1"/>
  <c r="N37" i="3"/>
  <c r="O37" i="3" s="1"/>
  <c r="Q37" i="3"/>
  <c r="N55" i="3"/>
  <c r="O55" i="3" s="1"/>
  <c r="Q55" i="3"/>
  <c r="N20" i="3"/>
  <c r="Q20" i="3"/>
  <c r="I12" i="8"/>
  <c r="K15" i="9"/>
  <c r="L15" i="9" s="1"/>
  <c r="L16" i="9" s="1"/>
  <c r="L23" i="9" s="1"/>
  <c r="L24" i="9" s="1"/>
  <c r="H11" i="12" s="1"/>
  <c r="F24" i="13"/>
  <c r="E18" i="13"/>
  <c r="F18" i="13"/>
  <c r="K14" i="8"/>
  <c r="L14" i="8" s="1"/>
  <c r="K65" i="3"/>
  <c r="L65" i="3" s="1"/>
  <c r="K8" i="8"/>
  <c r="L8" i="8" s="1"/>
  <c r="K15" i="3"/>
  <c r="L15" i="3" s="1"/>
  <c r="O30" i="3"/>
  <c r="K71" i="3"/>
  <c r="L71" i="3" s="1"/>
  <c r="G128" i="3"/>
  <c r="I128" i="3" s="1"/>
  <c r="K128" i="3" s="1"/>
  <c r="L128" i="3" s="1"/>
  <c r="I32" i="3"/>
  <c r="K32" i="3" s="1"/>
  <c r="L32" i="3" s="1"/>
  <c r="I67" i="3"/>
  <c r="I38" i="3"/>
  <c r="K38" i="3" s="1"/>
  <c r="L38" i="3" s="1"/>
  <c r="I31" i="3"/>
  <c r="K31" i="3" s="1"/>
  <c r="L31" i="3" s="1"/>
  <c r="I58" i="3"/>
  <c r="K58" i="3" s="1"/>
  <c r="L58" i="3" s="1"/>
  <c r="I35" i="3"/>
  <c r="K35" i="3" s="1"/>
  <c r="L35" i="3" s="1"/>
  <c r="G16" i="9"/>
  <c r="G131" i="3"/>
  <c r="F41" i="11"/>
  <c r="G130" i="3"/>
  <c r="I130" i="3" s="1"/>
  <c r="K130" i="3" s="1"/>
  <c r="L130" i="3" s="1"/>
  <c r="G120" i="3"/>
  <c r="G27" i="8"/>
  <c r="I15" i="8"/>
  <c r="K15" i="8" s="1"/>
  <c r="L15" i="8" s="1"/>
  <c r="I16" i="8"/>
  <c r="K16" i="8" s="1"/>
  <c r="L16" i="8" s="1"/>
  <c r="I16" i="9"/>
  <c r="K10" i="8"/>
  <c r="L10" i="8" s="1"/>
  <c r="S48" i="3" l="1"/>
  <c r="S76" i="3"/>
  <c r="S22" i="3"/>
  <c r="S25" i="3"/>
  <c r="S39" i="3"/>
  <c r="S33" i="3"/>
  <c r="S57" i="3"/>
  <c r="S26" i="3"/>
  <c r="S74" i="3"/>
  <c r="S86" i="3"/>
  <c r="L131" i="3"/>
  <c r="L138" i="3" s="1"/>
  <c r="R62" i="3"/>
  <c r="L62" i="3"/>
  <c r="S55" i="3"/>
  <c r="S52" i="3"/>
  <c r="S50" i="3"/>
  <c r="S54" i="3"/>
  <c r="L12" i="8"/>
  <c r="L17" i="8"/>
  <c r="L18" i="8" s="1"/>
  <c r="L36" i="8" s="1"/>
  <c r="N15" i="9"/>
  <c r="R15" i="9"/>
  <c r="R16" i="9" s="1"/>
  <c r="R23" i="9" s="1"/>
  <c r="R24" i="9" s="1"/>
  <c r="N11" i="12" s="1"/>
  <c r="N10" i="8"/>
  <c r="O10" i="8" s="1"/>
  <c r="Q10" i="8"/>
  <c r="Q8" i="8"/>
  <c r="N8" i="8"/>
  <c r="O8" i="8" s="1"/>
  <c r="N15" i="8"/>
  <c r="O15" i="8" s="1"/>
  <c r="Q15" i="8"/>
  <c r="N16" i="8"/>
  <c r="Q16" i="8"/>
  <c r="N14" i="8"/>
  <c r="Q14" i="8"/>
  <c r="S73" i="3"/>
  <c r="S69" i="3"/>
  <c r="S66" i="3"/>
  <c r="S23" i="3"/>
  <c r="S46" i="3"/>
  <c r="S45" i="3"/>
  <c r="S70" i="3"/>
  <c r="S56" i="3"/>
  <c r="S30" i="3"/>
  <c r="S59" i="3"/>
  <c r="S27" i="3"/>
  <c r="Q35" i="3"/>
  <c r="N35" i="3"/>
  <c r="O35" i="3" s="1"/>
  <c r="N65" i="3"/>
  <c r="O65" i="3" s="1"/>
  <c r="Q65" i="3"/>
  <c r="Q58" i="3"/>
  <c r="N58" i="3"/>
  <c r="O58" i="3" s="1"/>
  <c r="N71" i="3"/>
  <c r="O71" i="3" s="1"/>
  <c r="Q71" i="3"/>
  <c r="S37" i="3"/>
  <c r="N31" i="3"/>
  <c r="O31" i="3" s="1"/>
  <c r="Q31" i="3"/>
  <c r="S18" i="3"/>
  <c r="Q32" i="3"/>
  <c r="N32" i="3"/>
  <c r="O32" i="3" s="1"/>
  <c r="N38" i="3"/>
  <c r="Q38" i="3"/>
  <c r="S60" i="3"/>
  <c r="S36" i="3"/>
  <c r="S68" i="3"/>
  <c r="N130" i="3"/>
  <c r="O130" i="3" s="1"/>
  <c r="Q130" i="3"/>
  <c r="S19" i="3"/>
  <c r="S75" i="3"/>
  <c r="Q15" i="3"/>
  <c r="N15" i="3"/>
  <c r="R89" i="3"/>
  <c r="R90" i="3" s="1"/>
  <c r="R136" i="3" s="1"/>
  <c r="R139" i="3" s="1"/>
  <c r="N9" i="12" s="1"/>
  <c r="N128" i="3"/>
  <c r="Q128" i="3"/>
  <c r="S34" i="3"/>
  <c r="S79" i="3"/>
  <c r="O20" i="3"/>
  <c r="S20" i="3" s="1"/>
  <c r="D11" i="17"/>
  <c r="I11" i="17" s="1"/>
  <c r="F16" i="13"/>
  <c r="D16" i="18"/>
  <c r="F16" i="18" s="1"/>
  <c r="H24" i="13"/>
  <c r="G138" i="3"/>
  <c r="D13" i="13"/>
  <c r="K12" i="8"/>
  <c r="H16" i="13" s="1"/>
  <c r="J25" i="8"/>
  <c r="G18" i="13" s="1"/>
  <c r="H18" i="13"/>
  <c r="K67" i="3"/>
  <c r="L67" i="3" s="1"/>
  <c r="L89" i="3" s="1"/>
  <c r="I89" i="3"/>
  <c r="I27" i="8"/>
  <c r="G29" i="8"/>
  <c r="O22" i="8"/>
  <c r="O25" i="8" s="1"/>
  <c r="M25" i="8"/>
  <c r="I120" i="3"/>
  <c r="I125" i="3" s="1"/>
  <c r="H12" i="8"/>
  <c r="E16" i="13" s="1"/>
  <c r="I17" i="8"/>
  <c r="K17" i="8"/>
  <c r="H17" i="13" s="1"/>
  <c r="K62" i="3"/>
  <c r="I62" i="3"/>
  <c r="M16" i="9"/>
  <c r="M23" i="9" s="1"/>
  <c r="M24" i="9" s="1"/>
  <c r="I11" i="12" s="1"/>
  <c r="O16" i="8"/>
  <c r="S16" i="8" s="1"/>
  <c r="H16" i="9"/>
  <c r="G23" i="9"/>
  <c r="I23" i="9"/>
  <c r="K131" i="3"/>
  <c r="D15" i="17" s="1"/>
  <c r="I131" i="3"/>
  <c r="O121" i="3"/>
  <c r="S121" i="3" s="1"/>
  <c r="K16" i="9"/>
  <c r="K23" i="9" s="1"/>
  <c r="S31" i="3" l="1"/>
  <c r="L90" i="3"/>
  <c r="L136" i="3" s="1"/>
  <c r="S35" i="3"/>
  <c r="S32" i="3"/>
  <c r="S58" i="3"/>
  <c r="S130" i="3"/>
  <c r="I29" i="8"/>
  <c r="D19" i="18" s="1"/>
  <c r="F19" i="18" s="1"/>
  <c r="S10" i="8"/>
  <c r="S15" i="8"/>
  <c r="N17" i="8"/>
  <c r="N12" i="12"/>
  <c r="O14" i="8"/>
  <c r="O17" i="8" s="1"/>
  <c r="N12" i="8"/>
  <c r="N131" i="3"/>
  <c r="N138" i="3" s="1"/>
  <c r="N62" i="3"/>
  <c r="K89" i="3"/>
  <c r="H10" i="13" s="1"/>
  <c r="Q67" i="3"/>
  <c r="N67" i="3"/>
  <c r="N89" i="3" s="1"/>
  <c r="S71" i="3"/>
  <c r="S65" i="3"/>
  <c r="S14" i="8"/>
  <c r="Q17" i="8"/>
  <c r="S8" i="8"/>
  <c r="Q12" i="8"/>
  <c r="F9" i="13"/>
  <c r="D9" i="18"/>
  <c r="F9" i="18" s="1"/>
  <c r="F12" i="13"/>
  <c r="D12" i="18"/>
  <c r="F12" i="18" s="1"/>
  <c r="F17" i="13"/>
  <c r="D17" i="18"/>
  <c r="F17" i="18" s="1"/>
  <c r="F10" i="13"/>
  <c r="D10" i="18"/>
  <c r="F10" i="18" s="1"/>
  <c r="F13" i="13"/>
  <c r="D13" i="18"/>
  <c r="F13" i="18" s="1"/>
  <c r="H9" i="13"/>
  <c r="D7" i="17"/>
  <c r="I15" i="17"/>
  <c r="I16" i="17" s="1"/>
  <c r="D16" i="17"/>
  <c r="O15" i="9"/>
  <c r="N16" i="9"/>
  <c r="N23" i="9" s="1"/>
  <c r="N24" i="9" s="1"/>
  <c r="J11" i="12" s="1"/>
  <c r="O12" i="8"/>
  <c r="G30" i="8"/>
  <c r="G37" i="8" s="1"/>
  <c r="G38" i="8" s="1"/>
  <c r="D20" i="13" s="1"/>
  <c r="D19" i="13"/>
  <c r="I30" i="8"/>
  <c r="I37" i="8" s="1"/>
  <c r="F19" i="13"/>
  <c r="M12" i="8"/>
  <c r="K138" i="3"/>
  <c r="H13" i="13"/>
  <c r="K120" i="3"/>
  <c r="H29" i="8"/>
  <c r="E19" i="13" s="1"/>
  <c r="K27" i="8"/>
  <c r="G126" i="3"/>
  <c r="G137" i="3" s="1"/>
  <c r="H89" i="3"/>
  <c r="E10" i="13" s="1"/>
  <c r="H125" i="3"/>
  <c r="E12" i="13" s="1"/>
  <c r="I126" i="3"/>
  <c r="I137" i="3" s="1"/>
  <c r="J17" i="8"/>
  <c r="G17" i="13" s="1"/>
  <c r="H17" i="8"/>
  <c r="E17" i="13" s="1"/>
  <c r="M17" i="8"/>
  <c r="I18" i="8"/>
  <c r="H18" i="8" s="1"/>
  <c r="H36" i="8" s="1"/>
  <c r="J12" i="8"/>
  <c r="G16" i="13" s="1"/>
  <c r="K18" i="8"/>
  <c r="K36" i="8" s="1"/>
  <c r="H62" i="3"/>
  <c r="E9" i="13" s="1"/>
  <c r="I90" i="3"/>
  <c r="H90" i="3" s="1"/>
  <c r="K90" i="3"/>
  <c r="K136" i="3" s="1"/>
  <c r="M62" i="3"/>
  <c r="J62" i="3"/>
  <c r="G9" i="13" s="1"/>
  <c r="M131" i="3"/>
  <c r="M138" i="3" s="1"/>
  <c r="O15" i="3"/>
  <c r="K24" i="9"/>
  <c r="I24" i="9"/>
  <c r="G24" i="9"/>
  <c r="H23" i="9"/>
  <c r="I138" i="3"/>
  <c r="H131" i="3"/>
  <c r="O128" i="3"/>
  <c r="J131" i="3"/>
  <c r="J16" i="9"/>
  <c r="J23" i="9" s="1"/>
  <c r="O38" i="3"/>
  <c r="S38" i="3" s="1"/>
  <c r="J89" i="3" l="1"/>
  <c r="G10" i="13" s="1"/>
  <c r="D8" i="17"/>
  <c r="I8" i="17" s="1"/>
  <c r="Q120" i="3"/>
  <c r="L120" i="3"/>
  <c r="L125" i="3" s="1"/>
  <c r="L126" i="3" s="1"/>
  <c r="L137" i="3" s="1"/>
  <c r="L139" i="3" s="1"/>
  <c r="H9" i="12" s="1"/>
  <c r="F20" i="18"/>
  <c r="L27" i="8"/>
  <c r="L29" i="8" s="1"/>
  <c r="L30" i="8" s="1"/>
  <c r="L37" i="8" s="1"/>
  <c r="L38" i="8" s="1"/>
  <c r="H10" i="12" s="1"/>
  <c r="K29" i="8"/>
  <c r="S12" i="8"/>
  <c r="S17" i="8"/>
  <c r="N18" i="8"/>
  <c r="N36" i="8" s="1"/>
  <c r="N27" i="8"/>
  <c r="Q27" i="8"/>
  <c r="N90" i="3"/>
  <c r="N136" i="3" s="1"/>
  <c r="S15" i="3"/>
  <c r="S62" i="3" s="1"/>
  <c r="Q62" i="3"/>
  <c r="S128" i="3"/>
  <c r="S131" i="3" s="1"/>
  <c r="S138" i="3" s="1"/>
  <c r="Q131" i="3"/>
  <c r="Q138" i="3" s="1"/>
  <c r="S18" i="8"/>
  <c r="S36" i="8" s="1"/>
  <c r="S22" i="8"/>
  <c r="S25" i="8" s="1"/>
  <c r="Q18" i="8"/>
  <c r="Q36" i="8" s="1"/>
  <c r="O16" i="9"/>
  <c r="F25" i="13"/>
  <c r="D25" i="18"/>
  <c r="F14" i="18"/>
  <c r="F26" i="18" s="1"/>
  <c r="J11" i="18" s="1"/>
  <c r="I7" i="17"/>
  <c r="H30" i="8"/>
  <c r="H37" i="8" s="1"/>
  <c r="H138" i="3"/>
  <c r="E13" i="13"/>
  <c r="J138" i="3"/>
  <c r="G13" i="13"/>
  <c r="O67" i="3"/>
  <c r="M89" i="3"/>
  <c r="M90" i="3" s="1"/>
  <c r="M136" i="3" s="1"/>
  <c r="K125" i="3"/>
  <c r="C10" i="12"/>
  <c r="M125" i="3"/>
  <c r="I36" i="8"/>
  <c r="I136" i="3"/>
  <c r="H126" i="3"/>
  <c r="H137" i="3" s="1"/>
  <c r="G139" i="3"/>
  <c r="J90" i="3"/>
  <c r="J136" i="3" s="1"/>
  <c r="O18" i="8"/>
  <c r="O36" i="8" s="1"/>
  <c r="M18" i="8"/>
  <c r="M36" i="8" s="1"/>
  <c r="J18" i="8"/>
  <c r="J36" i="8" s="1"/>
  <c r="O62" i="3"/>
  <c r="H136" i="3"/>
  <c r="O131" i="3"/>
  <c r="O138" i="3" s="1"/>
  <c r="H24" i="9"/>
  <c r="E25" i="13" s="1"/>
  <c r="G11" i="12"/>
  <c r="H25" i="13"/>
  <c r="J24" i="9"/>
  <c r="E11" i="12"/>
  <c r="C11" i="12"/>
  <c r="D25" i="13"/>
  <c r="O23" i="9"/>
  <c r="O24" i="9" s="1"/>
  <c r="K11" i="12" s="1"/>
  <c r="I9" i="17" l="1"/>
  <c r="D9" i="17"/>
  <c r="H12" i="12"/>
  <c r="N120" i="3"/>
  <c r="N125" i="3" s="1"/>
  <c r="N126" i="3" s="1"/>
  <c r="N137" i="3" s="1"/>
  <c r="N139" i="3" s="1"/>
  <c r="J9" i="12" s="1"/>
  <c r="N29" i="8"/>
  <c r="N30" i="8" s="1"/>
  <c r="N37" i="8" s="1"/>
  <c r="N38" i="8" s="1"/>
  <c r="J10" i="12" s="1"/>
  <c r="O27" i="8"/>
  <c r="O89" i="3"/>
  <c r="O90" i="3" s="1"/>
  <c r="O136" i="3" s="1"/>
  <c r="S15" i="9"/>
  <c r="S16" i="9" s="1"/>
  <c r="S23" i="9" s="1"/>
  <c r="S24" i="9" s="1"/>
  <c r="O11" i="12" s="1"/>
  <c r="Q16" i="9"/>
  <c r="Q23" i="9" s="1"/>
  <c r="Q24" i="9" s="1"/>
  <c r="M11" i="12" s="1"/>
  <c r="H19" i="13"/>
  <c r="K30" i="8"/>
  <c r="J30" i="8" s="1"/>
  <c r="J37" i="8" s="1"/>
  <c r="D12" i="17"/>
  <c r="D13" i="17" s="1"/>
  <c r="D20" i="17" s="1"/>
  <c r="J29" i="8"/>
  <c r="G19" i="13" s="1"/>
  <c r="J125" i="3"/>
  <c r="G12" i="13" s="1"/>
  <c r="H12" i="13"/>
  <c r="K126" i="3"/>
  <c r="K137" i="3" s="1"/>
  <c r="M30" i="8"/>
  <c r="M37" i="8" s="1"/>
  <c r="M38" i="8" s="1"/>
  <c r="I10" i="12" s="1"/>
  <c r="I38" i="8"/>
  <c r="I139" i="3"/>
  <c r="M126" i="3"/>
  <c r="D14" i="13"/>
  <c r="D26" i="13" s="1"/>
  <c r="C9" i="12"/>
  <c r="C12" i="12" s="1"/>
  <c r="D11" i="12"/>
  <c r="F11" i="12"/>
  <c r="G25" i="13"/>
  <c r="J12" i="12" l="1"/>
  <c r="O120" i="3"/>
  <c r="O29" i="8"/>
  <c r="O30" i="8" s="1"/>
  <c r="O37" i="8" s="1"/>
  <c r="O38" i="8" s="1"/>
  <c r="K10" i="12" s="1"/>
  <c r="M137" i="3"/>
  <c r="M139" i="3" s="1"/>
  <c r="I9" i="12" s="1"/>
  <c r="I12" i="12" s="1"/>
  <c r="O125" i="3"/>
  <c r="O126" i="3" s="1"/>
  <c r="S67" i="3"/>
  <c r="S89" i="3" s="1"/>
  <c r="S90" i="3" s="1"/>
  <c r="S136" i="3" s="1"/>
  <c r="Q89" i="3"/>
  <c r="Q90" i="3" s="1"/>
  <c r="Q136" i="3" s="1"/>
  <c r="S27" i="8"/>
  <c r="S29" i="8" s="1"/>
  <c r="S30" i="8" s="1"/>
  <c r="S37" i="8" s="1"/>
  <c r="S38" i="8" s="1"/>
  <c r="O10" i="12" s="1"/>
  <c r="Q29" i="8"/>
  <c r="Q30" i="8" s="1"/>
  <c r="Q37" i="8" s="1"/>
  <c r="Q38" i="8" s="1"/>
  <c r="M10" i="12" s="1"/>
  <c r="F20" i="13"/>
  <c r="D20" i="18"/>
  <c r="I12" i="17"/>
  <c r="I13" i="17" s="1"/>
  <c r="I18" i="17" s="1"/>
  <c r="I19" i="17" s="1"/>
  <c r="I20" i="17" s="1"/>
  <c r="F14" i="13"/>
  <c r="D14" i="18"/>
  <c r="K37" i="8"/>
  <c r="K38" i="8" s="1"/>
  <c r="K139" i="3"/>
  <c r="H14" i="13" s="1"/>
  <c r="J126" i="3"/>
  <c r="J137" i="3" s="1"/>
  <c r="H38" i="8"/>
  <c r="D10" i="12" s="1"/>
  <c r="E10" i="12"/>
  <c r="E9" i="12"/>
  <c r="H139" i="3"/>
  <c r="D9" i="12" s="1"/>
  <c r="D26" i="18" l="1"/>
  <c r="J12" i="18" s="1"/>
  <c r="F26" i="13"/>
  <c r="E26" i="13" s="1"/>
  <c r="O137" i="3"/>
  <c r="O139" i="3" s="1"/>
  <c r="K9" i="12" s="1"/>
  <c r="K12" i="12" s="1"/>
  <c r="Q125" i="3"/>
  <c r="Q126" i="3" s="1"/>
  <c r="S120" i="3"/>
  <c r="S125" i="3" s="1"/>
  <c r="S126" i="3" s="1"/>
  <c r="J139" i="3"/>
  <c r="F9" i="12" s="1"/>
  <c r="G9" i="12"/>
  <c r="E20" i="13"/>
  <c r="E12" i="12"/>
  <c r="D12" i="12" s="1"/>
  <c r="H20" i="13"/>
  <c r="J38" i="8"/>
  <c r="G10" i="12"/>
  <c r="E14" i="13"/>
  <c r="S137" i="3" l="1"/>
  <c r="S139" i="3" s="1"/>
  <c r="O9" i="12" s="1"/>
  <c r="O12" i="12" s="1"/>
  <c r="Q137" i="3"/>
  <c r="Q139" i="3" s="1"/>
  <c r="M9" i="12" s="1"/>
  <c r="M12" i="12" s="1"/>
  <c r="H26" i="13"/>
  <c r="G26" i="13" s="1"/>
  <c r="G12" i="12"/>
  <c r="F12" i="12" s="1"/>
  <c r="G14" i="13"/>
  <c r="G20" i="13"/>
  <c r="F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tc={6C6DC027-8EFD-4989-B5A5-A4FE3698F6EA}</author>
    <author>tc={385F1701-0429-4A4D-999E-D8198E257646}</author>
    <author>tc={B6748D5E-991E-49CE-8823-5E0D746E012C}</author>
    <author>tc={35E70D99-7CF1-4DEF-872A-16F931576448}</author>
    <author>tc={7E0256CD-45D7-4420-8E4A-BDDCAE89D63B}</author>
    <author>tc={A64393DC-0257-4B05-AA03-D931609D2C17}</author>
    <author>tc={D796B19A-59CE-4A33-8E58-29E3719AC456}</author>
    <author>tc={0D27372B-C37C-413E-BCFB-6062C137640B}</author>
    <author>tc={BEAA3FBC-6874-49DC-BB82-3F183D899C00}</author>
    <author>tc={FC26E32C-C0A6-4056-BA69-1C9B7836071C}</author>
    <author>tc={5BA2C160-A335-4FD2-B2AA-B1DA19DE7372}</author>
    <author>tc={0D27372B-C37C-413F-BCFB-6062C137640B}</author>
    <author>tc={74F909FA-04E9-4514-9CFA-2F1C0198E0DE}</author>
    <author>tc={47B91E52-E573-434F-A424-635BD13076AD}</author>
    <author>tc={9C8C135F-803E-467E-9130-CE1489C6557A}</author>
    <author>tc={2E2BA072-FC03-4655-AE9B-8F429429AF8D}</author>
    <author>tc={7B8EDE31-8F75-41A4-9434-98BB1C3BA71A}</author>
    <author>tc={2C39D737-3B60-4FDA-9516-F48DAF5EEA8A}</author>
    <author>tc={642F52BF-5FD3-4E60-AA89-34635788C90D}</author>
    <author>tc={0EE4E1AA-1DEF-4D49-B859-3E6AED86DDE9}</author>
    <author>tc={C104C0E3-7776-42C0-846D-08B856C73E5F}</author>
    <author>tc={AFE4C33D-9065-41E0-AD55-7C70F74E41F0}</author>
    <author>tc={C104C0E3-7776-42C1-846D-08B856C73E5F}</author>
    <author>tc={99EEC26A-3A28-4FDC-BF85-7E45EEB990F2}</author>
    <author>tc={2F3512F9-AFDE-4DFC-AA15-47F9DDE9F188}</author>
    <author>tc={6A08FCCC-EFE7-48B0-8912-A395792885DC}</author>
    <author>tc={9CF792DE-1FF1-49D5-BD43-9F788F8DFF84}</author>
    <author>tc={DBCB2059-340F-4017-ABCF-7E2855D4A772}</author>
    <author>tc={82DABF51-AF3F-410F-A13F-577122F57FDA}</author>
    <author>tc={9B0CA8B6-B232-4DD2-970E-241ECB6EE3E8}</author>
    <author>tc={103456D0-406C-4B13-B548-6A6413E041C1}</author>
    <author>tc={63BCC381-249B-4CAA-BA0F-6E6B49E1D057}</author>
    <author>tc={F5235CB6-14EB-4828-9E71-3D048022C536}</author>
    <author>tc={86FCC841-0815-47BB-9A55-7BE34FE6CA69}</author>
    <author>tc={45250181-A841-4BDE-9E10-9279C6709C35}</author>
    <author>tc={7673BFDA-96B7-44CD-A10A-4936AACEB029}</author>
    <author>tc={29E4E4E5-BE42-473F-BD40-896DB9D77F67}</author>
    <author>tc={C2C45033-C236-4977-A5D5-90CD55C1143D}</author>
    <author>tc={9EA04705-8E75-49AE-9FE1-3FE957387CB7}</author>
    <author>tc={4D4C1613-3F0D-4B96-82C8-E43CFD86D65E}</author>
    <author>tc={2DCEA17D-AAAE-44B2-AB4D-E806776065EE}</author>
    <author>tc={28E3CFC5-032C-4BE7-8621-C7463B4D0A5A}</author>
    <author>tc={20F926F3-0C29-4500-BB8E-B79BE6676FCA}</author>
    <author>tc={06196694-12CB-4CA4-A361-2D9A981EC57F}</author>
    <author>tc={A9CC1B6E-02E0-4465-8FCA-C2153C64DEA5}</author>
    <author>tc={130F5180-B9A8-4979-AF95-59CD75F2E4EC}</author>
    <author>tc={0CC631CA-06DC-42B1-BF65-71D8DD2D0E6E}</author>
    <author>tc={FC79792B-A463-4D82-80B7-5453DA1740AC}</author>
    <author>tc={76956331-C8B2-469B-83EC-026B4E0E130C}</author>
    <author>tc={AC9E5AB2-9C42-4A17-B13B-81C960E551EA}</author>
    <author>tc={6F934147-07F2-47DE-80AE-198D3F8C1EEB}</author>
    <author>tc={AA070292-758E-4675-892C-6891A83C585B}</author>
    <author>tc={29DBEABE-3819-4332-A498-02E4DC3961AC}</author>
    <author>tc={BA98F913-294C-4964-9C7B-0B4DA8F40A09}</author>
    <author>tc={395E49B7-DCB9-4DC1-A1CA-E207B0044029}</author>
    <author>tc={75C86A85-12F0-4388-B3D1-94DFCFCCE816}</author>
    <author>tc={2899FE9B-D8A3-4FB2-88DC-CCEC21B053AF}</author>
    <author>tc={DDF42CBE-C71B-4365-BBB2-40D16EB0F20B}</author>
    <author>tc={48392310-1CAC-46C6-B97A-77A9BC6367F5}</author>
    <author>tc={42C03854-CCF8-4CEC-B916-08DE16F45154}</author>
    <author>tc={9DDFA1FE-EAD6-44D8-9BB2-347EB26AC92C}</author>
    <author>tc={630757C4-61B2-4F90-87EC-06F8985CB973}</author>
    <author>tc={9B481904-39D1-4904-9193-64570E59796E}</author>
    <author>tc={7478C7E7-FA1A-4DC5-ABB7-E6E09BA5C218}</author>
    <author>tc={734B945F-4D4D-4792-A150-E2C2BD76D5D1}</author>
    <author>tc={AEB64DEC-0E18-4B8E-B280-10A82B4714AC}</author>
    <author>tc={2D5C79FF-6DDC-4DE0-87D5-6F39E7E95FB9}</author>
    <author>tc={693ECF5D-4AEF-438A-992A-FD4DB8BC31E4}</author>
    <author>tc={68364983-D4AF-4E4C-9489-7DD9223840DD}</author>
    <author>tc={765759F0-F070-46A5-95E6-603BD0E800E7}</author>
    <author>tc={03C4E75E-F14E-4D8C-B496-FA0CE87ADCCB}</author>
    <author>tc={CE4E0E78-C5E2-4BB3-B58A-F936DE1224B6}</author>
    <author>tc={AF1316D6-FF20-42EB-A516-18918235B5D4}</author>
    <author>tc={58FCD074-F69D-4FFB-85D6-5600C9DA3842}</author>
    <author>tc={BC63472A-D649-449E-8B45-79F843DB77E5}</author>
    <author>tc={D8C8A399-10BF-4CCB-9344-0EE071742F6D}</author>
    <author>tc={AC542C87-AA99-4D44-BA2C-68B84A953681}</author>
    <author>tc={FF0220F4-032C-47D7-8421-F3280F5ACC6D}</author>
    <author>tc={6BFDA12D-35AC-4463-A4A7-E39427BFF28B}</author>
    <author>tc={B10BB1BA-856C-4640-AEA0-E7BEBA603F38}</author>
    <author>tc={1EFF3C2D-797F-4E0D-AC65-658FE5608B77}</author>
    <author>tc={0EC405C3-30FB-4380-AA5C-8ABA8DD3A12A}</author>
    <author>tc={69C285E2-0665-4DE5-A243-AE207BF27578}</author>
    <author>tc={FD784AF4-C21D-408F-ABA8-F04E249FB706}</author>
    <author>tc={076F887C-8447-43FB-81C9-E530C2D0F5ED}</author>
    <author>tc={F31219FD-C59C-45A9-915F-3011D62EC98B}</author>
    <author>tc={33929D39-41CC-4341-81F5-A602C63509B1}</author>
    <author>tc={99DAC8F2-0CB0-4D8E-8BAE-43D6F678541D}</author>
    <author>tc={8ECB3DBA-625E-4A4E-86C2-FE2E5FF9BAFD}</author>
    <author>tc={A2C99DC0-93AB-487B-A1E8-909DC64EDE13}</author>
    <author>tc={0E9B034C-90CA-41DB-8A5F-4B98C4061962}</author>
    <author>tc={95FF7CE4-5E21-4841-82F0-DF8722F2FA11}</author>
    <author>tc={851C9EBC-FC21-4C50-8C40-A892CA2DC4EE}</author>
    <author>tc={0FBC24B8-5DD7-41FD-A6F1-1A52BB912C7A}</author>
    <author>tc={3B877EA6-1D8E-4B08-85F4-53C9B9047928}</author>
    <author>tc={5A7983D2-98C5-4187-ADE8-9217BFF5B2E7}</author>
    <author>tc={81E7FAA1-B80B-4D2D-AE33-43C39AE6C928}</author>
    <author>tc={893070E0-22DD-47AF-BDF7-BD7FF89E73E0}</author>
    <author>tc={39177BE3-EC22-4B8B-8FAA-32E8E954442D}</author>
    <author>tc={D78E9D3E-3316-44E2-8B0A-C019FBDFF43D}</author>
    <author>tc={4A1547FA-E7FF-481F-96FA-EDC84DC28128}</author>
    <author>tc={1A23FC19-35E6-4913-AA2D-D0125FA80F18}</author>
    <author>tc={F994D638-EF16-4E2E-B434-1708429C039D}</author>
    <author>tc={067BC60B-D3A4-4B48-A231-86B1471A888E}</author>
    <author>tc={0EC405C3-30FB-4381-AA5C-8ABA8DD3A12A}</author>
    <author>tc={A8DF85C6-D35E-4314-ACB4-D7FE3B8B3DB3}</author>
    <author>tc={9F5C1D16-C0A8-473A-9A0E-3A08BB636A49}</author>
    <author>tc={076F887C-8447-43FC-81C9-E530C2D0F5ED}</author>
    <author>tc={1AF595B0-97B9-4D59-9967-F36356115364}</author>
    <author>tc={99DAC8F2-0CB0-4D8F-8BAE-43D6F678541D}</author>
    <author>tc={72FBC58C-E3B2-47A1-857B-F70BAF2A347F}</author>
    <author>tc={A2C99DC0-93AB-487C-A1E8-909DC64EDE13}</author>
    <author>tc={5D37B9C8-B1A1-4194-B47A-B313B060503E}</author>
    <author>tc={0ACE4564-2B57-4D0C-B55E-548BEAB13FB1}</author>
    <author>tc={37ED6543-2DF2-401F-B66D-5DBD3DE2CC58}</author>
    <author>tc={2478EB61-76E7-4225-A9EC-1D5607472CA2}</author>
    <author>tc={51331494-8366-4AF5-8261-C7100A1A4186}</author>
    <author>tc={C50FD705-B17F-4F98-B500-BAFD92239D8F}</author>
    <author>tc={D5EDE9F4-8B97-435D-8724-E4DBF13E0BA3}</author>
    <author>tc={FB0534D6-15AA-4379-9D47-E1E95F5DEBF1}</author>
    <author>tc={E6277517-88A9-405F-903D-72145A558ED9}</author>
    <author>tc={1E1E9AB3-0665-49F9-86CF-DF62D511DE65}</author>
    <author>tc={B49EFD2E-65A7-498B-8066-B1F35266AF7C}</author>
    <author>tc={9625638D-71F7-40E8-A014-9A7F6D5D9E9C}</author>
    <author>tc={AB9564E5-8FBB-4ECC-AC67-D119DF165B32}</author>
    <author>tc={3D6D40B1-C16B-4F33-93DD-6645264BA7FC}</author>
    <author>tc={67610750-8E95-49E4-A060-8D6BA05C163A}</author>
    <author>tc={8078AF68-843D-4B8D-8CA2-CF3820119E26}</author>
    <author>tc={1ECA037F-5722-4527-8345-9E1C19254F42}</author>
    <author>tc={D1CF01EE-B62A-4B7C-9A3A-1F546E230744}</author>
    <author>tc={211F5AB5-BDA7-45DB-A519-32EBF096EFC1}</author>
    <author>tc={CB0A274B-36AC-466C-8686-81CB439130A4}</author>
    <author>Roth, Laura - FNS</author>
    <author>tc={FA135861-3838-4C4C-A70C-A4C37381E794}</author>
    <author>tc={7D1A25E5-8069-449F-BADE-5B7AAC47B3A8}</author>
  </authors>
  <commentList>
    <comment ref="G12"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FNS assumes that each State agency will revise its written agreement once over the three-year period covered by the ICR.
This number is obtained through the use of a formula.</t>
      </text>
    </comment>
    <comment ref="H12"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In this ICR, this burden is 0 hours because the burden associated with this requirement will be accounted for under the SAE Funds ICR (OMB Control Number 0584-0067), Form FNS-74.</t>
      </text>
    </comment>
    <comment ref="K12"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In this ICR, this burden is 0 hours because the burden associated with this requirement will be accounted for under the SAE Funds ICR (OMB Control Number 0584-0067), Form FNS-74.</t>
      </text>
    </comment>
    <comment ref="F13"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13" authorId="4" shapeId="0" xr:uid="{00000000-0006-0000-0000-000005000000}">
      <text>
        <t>[Threaded comment]
Your version of Excel allows you to read this threaded comment; however, any edits to it will get removed if the file is opened in a newer version of Excel. Learn more: https://go.microsoft.com/fwlink/?linkid=870924
Comment:
    This is the number of new institutions per State Agency.
This number is obtained through the use of a formula.</t>
      </text>
    </comment>
    <comment ref="F14" authorId="5" shapeId="0" xr:uid="{00000000-0006-0000-0000-00000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14" authorId="6" shapeId="0" xr:uid="{00000000-0006-0000-0000-000007000000}">
      <text>
        <t>[Threaded comment]
Your version of Excel allows you to read this threaded comment; however, any edits to it will get removed if the file is opened in a newer version of Excel. Learn more: https://go.microsoft.com/fwlink/?linkid=870924
Comment:
    This is the number of sponsoring organizations (centers and homes) per State Agency.
This number is obtained through the use of a formula.</t>
      </text>
    </comment>
    <comment ref="J15" authorId="7" shapeId="0" xr:uid="{00000000-0006-0000-0000-000008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F16" authorId="8" shapeId="0" xr:uid="{00000000-0006-0000-0000-000009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16" authorId="9" shapeId="0" xr:uid="{00000000-0006-0000-0000-00000A000000}">
      <text>
        <t>[Threaded comment]
Your version of Excel allows you to read this threaded comment; however, any edits to it will get removed if the file is opened in a newer version of Excel. Learn more: https://go.microsoft.com/fwlink/?linkid=870924
Comment:
    This is the number of new institutions per State Agency.
This number is obtained through the use of a formula.</t>
      </text>
    </comment>
    <comment ref="E17" authorId="10" shapeId="0" xr:uid="{00000000-0006-0000-0000-00000B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J17" authorId="11" shapeId="0" xr:uid="{00000000-0006-0000-0000-00000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F18" authorId="12" shapeId="0" xr:uid="{00000000-0006-0000-0000-00000D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18" authorId="13" shapeId="0" xr:uid="{00000000-0006-0000-0000-00000E000000}">
      <text>
        <t>[Threaded comment]
Your version of Excel allows you to read this threaded comment; however, any edits to it will get removed if the file is opened in a newer version of Excel. Learn more: https://go.microsoft.com/fwlink/?linkid=870924
Comment:
    FNS assumes that 7 out of the 10 institutions with seriuosly deficient notices received this type of notification.</t>
      </text>
    </comment>
    <comment ref="J18" authorId="14" shapeId="0" xr:uid="{00000000-0006-0000-0000-00000F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F19" authorId="15" shapeId="0" xr:uid="{00000000-0006-0000-0000-00001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19" authorId="16" shapeId="0" xr:uid="{00000000-0006-0000-0000-000011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t>
      </text>
    </comment>
    <comment ref="J19" authorId="17" shapeId="0" xr:uid="{00000000-0006-0000-0000-000012000000}">
      <text>
        <t>[Threaded comment]
Your version of Excel allows you to read this threaded comment; however, any edits to it will get removed if the file is opened in a newer version of Excel. Learn more: https://go.microsoft.com/fwlink/?linkid=870924
Comment:
    Assumed same burden as the notice of agreement termination (if applicable) and disqualification.</t>
      </text>
    </comment>
    <comment ref="E20" authorId="18" shapeId="0" xr:uid="{00000000-0006-0000-0000-000013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H20" authorId="19" shapeId="0" xr:uid="{00000000-0006-0000-0000-000014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10 to 3.</t>
      </text>
    </comment>
    <comment ref="J20" authorId="20" shapeId="0" xr:uid="{00000000-0006-0000-0000-000015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H21" authorId="21" shapeId="0" xr:uid="{00000000-0006-0000-0000-000016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
      </text>
    </comment>
    <comment ref="J21" authorId="22" shapeId="0" xr:uid="{00000000-0006-0000-0000-000017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E22" authorId="2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H22" authorId="2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
      </text>
    </comment>
    <comment ref="J22" authorId="2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F23" authorId="26" shapeId="0" xr:uid="{00000000-0006-0000-0000-00001B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23" authorId="27" shapeId="0" xr:uid="{00000000-0006-0000-0000-00001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F24" authorId="28" shapeId="0" xr:uid="{00000000-0006-0000-0000-00001D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24" authorId="29" shapeId="0" xr:uid="{00000000-0006-0000-0000-00001E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disqualification, and have agreement terminated.</t>
      </text>
    </comment>
    <comment ref="G26" authorId="30" shapeId="0" xr:uid="{00000000-0006-0000-0000-00001F000000}">
      <text>
        <t>[Threaded comment]
Your version of Excel allows you to read this threaded comment; however, any edits to it will get removed if the file is opened in a newer version of Excel. Learn more: https://go.microsoft.com/fwlink/?linkid=870924
Comment:
    Most State agencies already have this procedure due to implementation of published guidance.</t>
      </text>
    </comment>
    <comment ref="G27" authorId="31" shapeId="0" xr:uid="{00000000-0006-0000-0000-000020000000}">
      <text>
        <t>[Threaded comment]
Your version of Excel allows you to read this threaded comment; however, any edits to it will get removed if the file is opened in a newer version of Excel. Learn more: https://go.microsoft.com/fwlink/?linkid=870924
Comment:
    Most State agencies already have this procedure due to implementation of published guidance.</t>
      </text>
    </comment>
    <comment ref="F28" authorId="32" shapeId="0" xr:uid="{00000000-0006-0000-0000-00002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29" authorId="33" shapeId="0" xr:uid="{00000000-0006-0000-0000-00002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30" authorId="34" shapeId="0" xr:uid="{00000000-0006-0000-0000-000023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H31" authorId="35" shapeId="0" xr:uid="{00000000-0006-0000-0000-000024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decreased from 15 to 11.</t>
      </text>
    </comment>
    <comment ref="J31" authorId="36" shapeId="0" xr:uid="{00000000-0006-0000-0000-000025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H32" authorId="37" shapeId="0" xr:uid="{00000000-0006-0000-0000-000026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drecreased from 15 to 11.</t>
      </text>
    </comment>
    <comment ref="J32" authorId="38" shapeId="0" xr:uid="{00000000-0006-0000-0000-000027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J34" authorId="39" shapeId="0" xr:uid="{00000000-0006-0000-0000-000028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2 hours based on public comments received in response to 60-day Federal Register Notice.</t>
      </text>
    </comment>
    <comment ref="H35" authorId="40" shapeId="0" xr:uid="{00000000-0006-0000-0000-000029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decreased from 15 to 11.</t>
      </text>
    </comment>
    <comment ref="J35" authorId="41" shapeId="0" xr:uid="{00000000-0006-0000-0000-00002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36" authorId="42" shapeId="0" xr:uid="{00000000-0006-0000-0000-00002B000000}">
      <text>
        <t>[Threaded comment]
Your version of Excel allows you to read this threaded comment; however, any edits to it will get removed if the file is opened in a newer version of Excel. Learn more: https://go.microsoft.com/fwlink/?linkid=870924
Comment:
    CND estimates that only 15 State Agencies distribute commodities to CACFP institutions; the majority provide cash-in-lieu of commodities.</t>
      </text>
    </comment>
    <comment ref="J36" authorId="43" shapeId="0" xr:uid="{00000000-0006-0000-0000-00002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J37" authorId="44" shapeId="0" xr:uid="{00000000-0006-0000-0000-00002D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1 hour based on public comments received in response to 60-day Federal Register Notice.</t>
      </text>
    </comment>
    <comment ref="H38" authorId="45" shapeId="0" xr:uid="{00000000-0006-0000-0000-00002E000000}">
      <text>
        <t>[Threaded comment]
Your version of Excel allows you to read this threaded comment; however, any edits to it will get removed if the file is opened in a newer version of Excel. Learn more: https://go.microsoft.com/fwlink/?linkid=870924
Comment:
    This is the number of institutions per State Agency.
This number is obtained through the use of a formula.
Due to increase in number of sponsoring organizations of centers, the number of responses per respondent increased from 376 to 390.</t>
      </text>
    </comment>
    <comment ref="J38" authorId="46" shapeId="0" xr:uid="{00000000-0006-0000-0000-00002F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 and batch distribution.</t>
      </text>
    </comment>
    <comment ref="F40" authorId="47" shapeId="0" xr:uid="{00000000-0006-0000-0000-00003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40" authorId="48" shapeId="0" xr:uid="{00000000-0006-0000-0000-000031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F41" authorId="49" shapeId="0" xr:uid="{00000000-0006-0000-0000-00003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41" authorId="50" shapeId="0" xr:uid="{00000000-0006-0000-0000-000033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F42" authorId="51" shapeId="0" xr:uid="{00000000-0006-0000-0000-00003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42" authorId="52" shapeId="0" xr:uid="{00000000-0006-0000-0000-000035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F43" authorId="53" shapeId="0" xr:uid="{00000000-0006-0000-0000-00003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43" authorId="54" shapeId="0" xr:uid="{00000000-0006-0000-0000-000037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F44" authorId="55" shapeId="0" xr:uid="{00000000-0006-0000-0000-00003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44" authorId="56" shapeId="0" xr:uid="{00000000-0006-0000-0000-000039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J45" authorId="57" shapeId="0" xr:uid="{00000000-0006-0000-0000-00003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J46" authorId="58" shapeId="0" xr:uid="{00000000-0006-0000-0000-00003B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F47" authorId="59" shapeId="0" xr:uid="{00000000-0006-0000-0000-00003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47" authorId="60" shapeId="0" xr:uid="{00000000-0006-0000-0000-00003D000000}">
      <text>
        <t>[Threaded comment]
Your version of Excel allows you to read this threaded comment; however, any edits to it will get removed if the file is opened in a newer version of Excel. Learn more: https://go.microsoft.com/fwlink/?linkid=870924
Comment:
    [Sponsoring organizations (centers and homes)] / [Number of State Agencies]; rounded</t>
      </text>
    </comment>
    <comment ref="J48" authorId="61" shapeId="0" xr:uid="{00000000-0006-0000-0000-00003E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6 hours based on public comments received in response to 60-day Federal Register Notice.</t>
      </text>
    </comment>
    <comment ref="F49" authorId="62" shapeId="0" xr:uid="{00000000-0006-0000-0000-00003F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49" authorId="63" shapeId="0" xr:uid="{00000000-0006-0000-0000-000040000000}">
      <text>
        <t>[Threaded comment]
Your version of Excel allows you to read this threaded comment; however, any edits to it will get removed if the file is opened in a newer version of Excel. Learn more: https://go.microsoft.com/fwlink/?linkid=870924
Comment:
    Each State agency most likely disseminates this information as one response through a State system or through a training for all their institutions annually.</t>
      </text>
    </comment>
    <comment ref="G50" authorId="64" shapeId="0" xr:uid="{00000000-0006-0000-0000-000041000000}">
      <text>
        <t>[Threaded comment]
Your version of Excel allows you to read this threaded comment; however, any edits to it will get removed if the file is opened in a newer version of Excel. Learn more: https://go.microsoft.com/fwlink/?linkid=870924
Comment:
    Management Evaluations/Audits are on a 2-year cycle.</t>
      </text>
    </comment>
    <comment ref="J50" authorId="65" shapeId="0" xr:uid="{00000000-0006-0000-0000-000042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K51" authorId="66" shapeId="0" xr:uid="{2D5C79FF-6DDC-4DE0-87D5-6F39E7E95FB9}">
      <text>
        <t>[Threaded comment]
Your version of Excel allows you to read this threaded comment; however, any edits to it will get removed if the file is opened in a newer version of Excel. Learn more: https://go.microsoft.com/fwlink/?linkid=870924
Comment:
    The burden is 0 hours because the burden is already captured in the Food Programs Reporting System (FPRS) ICR, information collection with OMB Control Number 0584 0594, Form FNS-44.</t>
      </text>
    </comment>
    <comment ref="F52" authorId="67" shapeId="0" xr:uid="{00000000-0006-0000-0000-00004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52" authorId="68" shapeId="0" xr:uid="{00000000-0006-0000-0000-000045000000}">
      <text>
        <t>[Threaded comment]
Your version of Excel allows you to read this threaded comment; however, any edits to it will get removed if the file is opened in a newer version of Excel. Learn more: https://go.microsoft.com/fwlink/?linkid=870924
Comment:
    Annual activity</t>
      </text>
    </comment>
    <comment ref="F53" authorId="69" shapeId="0" xr:uid="{00000000-0006-0000-0000-00004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53" authorId="70" shapeId="0" xr:uid="{00000000-0006-0000-0000-000047000000}">
      <text>
        <t>[Threaded comment]
Your version of Excel allows you to read this threaded comment; however, any edits to it will get removed if the file is opened in a newer version of Excel. Learn more: https://go.microsoft.com/fwlink/?linkid=870924
Comment:
    [Sponsoring organizations (centers and homes)] / [Number of State Agencies]; rounded
This number is obtained through the use of a formula.</t>
      </text>
    </comment>
    <comment ref="H55" authorId="71" shapeId="0" xr:uid="{00000000-0006-0000-0000-000048000000}">
      <text>
        <t>[Threaded comment]
Your version of Excel allows you to read this threaded comment; however, any edits to it will get removed if the file is opened in a newer version of Excel. Learn more: https://go.microsoft.com/fwlink/?linkid=870924
Comment:
    Each State Agency must process claims once a month.</t>
      </text>
    </comment>
    <comment ref="J55" authorId="72" shapeId="0" xr:uid="{00000000-0006-0000-0000-000049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J57" authorId="73" shapeId="0" xr:uid="{00000000-0006-0000-0000-00004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H58" authorId="74" shapeId="0" xr:uid="{00000000-0006-0000-0000-00004B000000}">
      <text>
        <t>[Threaded comment]
Your version of Excel allows you to read this threaded comment; however, any edits to it will get removed if the file is opened in a newer version of Excel. Learn more: https://go.microsoft.com/fwlink/?linkid=870924
Comment:
    This is 10% of the number of institutions per State Agency.
This number is obtained through the use of a formula.
Due to increase in number of sponsoring organizations, the number of responses per respondent increased from 38 to 39.</t>
      </text>
    </comment>
    <comment ref="K59" authorId="75" shapeId="0" xr:uid="{D8C8A399-10BF-4CCB-9344-0EE071742F6D}">
      <text>
        <t>[Threaded comment]
Your version of Excel allows you to read this threaded comment; however, any edits to it will get removed if the file is opened in a newer version of Excel. Learn more: https://go.microsoft.com/fwlink/?linkid=870924
Comment:
    FNS estimates that none of the 56 SAs plan to use or disclose information about children eligible for free/reduced-price meals in ways not specified in the regulations. Therefore, the total burden hours associated with this requirement is 0.</t>
      </text>
    </comment>
    <comment ref="K60" authorId="76" shapeId="0" xr:uid="{AC542C87-AA99-4D44-BA2C-68B84A953681}">
      <text>
        <t>[Threaded comment]
Your version of Excel allows you to read this threaded comment; however, any edits to it will get removed if the file is opened in a newer version of Excel. Learn more: https://go.microsoft.com/fwlink/?linkid=870924
Comment:
    FNS estimates that all 56 SAs already have entered into written agreements with the parties requesting children’s free/reduced-price eligibility information. Therefore, the total burden hours associated with this requirement is 0.</t>
      </text>
    </comment>
    <comment ref="K61" authorId="77" shapeId="0" xr:uid="{FF0220F4-032C-47D7-8421-F3280F5ACC6D}">
      <text>
        <t>[Threaded comment]
Your version of Excel allows you to read this threaded comment; however, any edits to it will get removed if the file is opened in a newer version of Excel. Learn more: https://go.microsoft.com/fwlink/?linkid=870924
Comment:
    FNS believes that all administering agencies have already established the policies and procedures governing the use, title, and disposition of equipment. Therefore, the total burden hours associated with this requirement is 0.</t>
      </text>
    </comment>
    <comment ref="F64" authorId="78" shapeId="0" xr:uid="{00000000-0006-0000-0000-00004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66" authorId="79" shapeId="0" xr:uid="{00000000-0006-0000-0000-00004D000000}">
      <text>
        <t>[Threaded comment]
Your version of Excel allows you to read this threaded comment; however, any edits to it will get removed if the file is opened in a newer version of Excel. Learn more: https://go.microsoft.com/fwlink/?linkid=870924
Comment:
    Even though this is an annual requirement, institutions submit information on a monthly basis.</t>
      </text>
    </comment>
    <comment ref="G67" authorId="80" shapeId="0" xr:uid="{00000000-0006-0000-0000-00004E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F68" authorId="81" shapeId="0" xr:uid="{00000000-0006-0000-0000-00004F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68" authorId="82" shapeId="0" xr:uid="{00000000-0006-0000-0000-000050000000}">
      <text>
        <t>[Threaded comment]
Your version of Excel allows you to read this threaded comment; however, any edits to it will get removed if the file is opened in a newer version of Excel. Learn more: https://go.microsoft.com/fwlink/?linkid=870924
Comment:
    Assumed to be an annual requirement.</t>
      </text>
    </comment>
    <comment ref="F70" authorId="83" shapeId="0" xr:uid="{00000000-0006-0000-0000-00005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71" authorId="84" shapeId="0" xr:uid="{00000000-0006-0000-0000-000052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electronic transmission.</t>
      </text>
    </comment>
    <comment ref="F72" authorId="85" shapeId="0" xr:uid="{00000000-0006-0000-0000-00005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73" authorId="86" shapeId="0" xr:uid="{00000000-0006-0000-0000-000054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J75" authorId="87" shapeId="0" xr:uid="{00000000-0006-0000-0000-000055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use of advanced technology/automation.</t>
      </text>
    </comment>
    <comment ref="F76" authorId="88" shapeId="0" xr:uid="{00000000-0006-0000-0000-00005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76" authorId="89" shapeId="0" xr:uid="{00000000-0006-0000-0000-000057000000}">
      <text>
        <t>[Threaded comment]
Your version of Excel allows you to read this threaded comment; however, any edits to it will get removed if the file is opened in a newer version of Excel. Learn more: https://go.microsoft.com/fwlink/?linkid=870924
Comment:
    Based on estimates for other requirements in the currently approved ICR. 
Burden assumption takes into account use of advanced technology.</t>
      </text>
    </comment>
    <comment ref="F77" authorId="90" shapeId="0" xr:uid="{00000000-0006-0000-0000-00005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77" authorId="91" shapeId="0" xr:uid="{00000000-0006-0000-0000-000059000000}">
      <text>
        <t>[Threaded comment]
Your version of Excel allows you to read this threaded comment; however, any edits to it will get removed if the file is opened in a newer version of Excel. Learn more: https://go.microsoft.com/fwlink/?linkid=870924
Comment:
    Assumes that institutions spend 3 hours a month reviewing materials. Thus, in a year, institutions spend 36 hours reviewing FNS materials.</t>
      </text>
    </comment>
    <comment ref="F78" authorId="92" shapeId="0" xr:uid="{00000000-0006-0000-0000-00005A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79" authorId="93" shapeId="0" xr:uid="{00000000-0006-0000-0000-00005B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80" authorId="94" shapeId="0" xr:uid="{00000000-0006-0000-0000-00005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81" authorId="95" shapeId="0" xr:uid="{00000000-0006-0000-0000-00005D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82" authorId="96" shapeId="0" xr:uid="{00000000-0006-0000-0000-00005E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82" authorId="97" shapeId="0" xr:uid="{00000000-0006-0000-0000-00005F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F83" authorId="98" shapeId="0" xr:uid="{00000000-0006-0000-0000-00006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83" authorId="99" shapeId="0" xr:uid="{00000000-0006-0000-0000-000061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
Imminent threat to health or safety does not occur often. FNS assumes that ¼ (25%) of Sponsoring organizations of day care homes may need to take action due to health or safety violations at day care homes.</t>
      </text>
    </comment>
    <comment ref="F84" authorId="100" shapeId="0" xr:uid="{00000000-0006-0000-0000-00006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85" authorId="101" shapeId="0" xr:uid="{00000000-0006-0000-0000-00006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93" authorId="102" shapeId="0" xr:uid="{00000000-0006-0000-0000-00006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95" authorId="103" shapeId="0" xr:uid="{00000000-0006-0000-0000-000065000000}">
      <text>
        <t>[Threaded comment]
Your version of Excel allows you to read this threaded comment; however, any edits to it will get removed if the file is opened in a newer version of Excel. Learn more: https://go.microsoft.com/fwlink/?linkid=870924
Comment:
    Even though this is an annual requirement, institutions submit information on a monthly basis.</t>
      </text>
    </comment>
    <comment ref="F97" authorId="104" shapeId="0" xr:uid="{00000000-0006-0000-0000-00006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97" authorId="105" shapeId="0" xr:uid="{00000000-0006-0000-0000-000067000000}">
      <text>
        <t>[Threaded comment]
Your version of Excel allows you to read this threaded comment; however, any edits to it will get removed if the file is opened in a newer version of Excel. Learn more: https://go.microsoft.com/fwlink/?linkid=870924
Comment:
    Assumed to be an annual requirement</t>
      </text>
    </comment>
    <comment ref="F99" authorId="106" shapeId="0" xr:uid="{00000000-0006-0000-0000-00006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00" authorId="107" shapeId="0" xr:uid="{00000000-0006-0000-0000-000069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electronic transmission.</t>
      </text>
    </comment>
    <comment ref="F101" authorId="108" shapeId="0" xr:uid="{00000000-0006-0000-0000-00006A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04" authorId="109" shapeId="0" xr:uid="{00000000-0006-0000-0000-00006B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use of advanced technology/automation.</t>
      </text>
    </comment>
    <comment ref="F105" authorId="110" shapeId="0" xr:uid="{00000000-0006-0000-0000-00006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05" authorId="111" shapeId="0" xr:uid="{00000000-0006-0000-0000-00006D000000}">
      <text>
        <t>[Threaded comment]
Your version of Excel allows you to read this threaded comment; however, any edits to it will get removed if the file is opened in a newer version of Excel. Learn more: https://go.microsoft.com/fwlink/?linkid=870924
Comment:
    Based on estimates for other requirements in the currently approved ICR. 
Burden assumption takes into account use of advanced technology.</t>
      </text>
    </comment>
    <comment ref="F106" authorId="112" shapeId="0" xr:uid="{00000000-0006-0000-0000-00006E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06" authorId="113" shapeId="0" xr:uid="{00000000-0006-0000-0000-00006F000000}">
      <text>
        <t>[Threaded comment]
Your version of Excel allows you to read this threaded comment; however, any edits to it will get removed if the file is opened in a newer version of Excel. Learn more: https://go.microsoft.com/fwlink/?linkid=870924
Comment:
    Assumes that institutions spend 3 hours a month reviewing materials. Thus, in a year, institutions spend 36 hours reviewing FNS materials.</t>
      </text>
    </comment>
    <comment ref="F107" authorId="114" shapeId="0" xr:uid="{00000000-0006-0000-0000-00007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108" authorId="115" shapeId="0" xr:uid="{00000000-0006-0000-0000-00007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109" authorId="116" shapeId="0" xr:uid="{00000000-0006-0000-0000-00007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110" authorId="117" shapeId="0" xr:uid="{00000000-0006-0000-0000-00007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10" authorId="118" shapeId="0" xr:uid="{00000000-0006-0000-0000-000074000000}">
      <text>
        <t>[Threaded comment]
Your version of Excel allows you to read this threaded comment; however, any edits to it will get removed if the file is opened in a newer version of Excel. Learn more: https://go.microsoft.com/fwlink/?linkid=870924
Comment:
    Imminent threat to health or safety does not occur often. FNS assumes that ¼ (25%) of sponsoring organizations may need to notify the State agency or local authorities and take action.</t>
      </text>
    </comment>
    <comment ref="F111" authorId="119" shapeId="0" xr:uid="{00000000-0006-0000-0000-000075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112" authorId="120" shapeId="0" xr:uid="{00000000-0006-0000-0000-00007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12" authorId="121" shapeId="0" xr:uid="{00000000-0006-0000-0000-000077000000}">
      <text>
        <t>[Threaded comment]
Your version of Excel allows you to read this threaded comment; however, any edits to it will get removed if the file is opened in a newer version of Excel. Learn more: https://go.microsoft.com/fwlink/?linkid=870924
Comment:
    Imminent threat to health or safety does not occur often. FNS assumes that ¼ (25%) of Sponsoring organizations of day care homes may need to take action due to health or safety violations at day care homes.</t>
      </text>
    </comment>
    <comment ref="F113" authorId="122" shapeId="0" xr:uid="{00000000-0006-0000-0000-00007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114" authorId="123" shapeId="0" xr:uid="{00000000-0006-0000-0000-000079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E120" authorId="124" shapeId="0" xr:uid="{00000000-0006-0000-0000-00007A000000}">
      <text>
        <t>[Threaded comment]
Your version of Excel allows you to read this threaded comment; however, any edits to it will get removed if the file is opened in a newer version of Excel. Learn more: https://go.microsoft.com/fwlink/?linkid=870924
Comment:
    226.17(b)(9) was not included in the list of requirements because it is a recordkeeping requirement.</t>
      </text>
    </comment>
    <comment ref="G120" authorId="125" shapeId="0" xr:uid="{00000000-0006-0000-0000-00007B000000}">
      <text>
        <t>[Threaded comment]
Your version of Excel allows you to read this threaded comment; however, any edits to it will get removed if the file is opened in a newer version of Excel. Learn more: https://go.microsoft.com/fwlink/?linkid=870924
Comment:
    Calculation:  [National Database, “Outlets All Child Care Centers” data field] + [National Database, “Outlets Adult Care Centers” data field].</t>
      </text>
    </comment>
    <comment ref="J120" authorId="126" shapeId="0" xr:uid="{00000000-0006-0000-0000-00007C000000}">
      <text>
        <t>[Threaded comment]
Your version of Excel allows you to read this threaded comment; however, any edits to it will get removed if the file is opened in a newer version of Excel. Learn more: https://go.microsoft.com/fwlink/?linkid=870924
Comment:
    Estimate used in previously approved ICR. 
Burden assumption takes into account use of advanced technology/automation.</t>
      </text>
    </comment>
    <comment ref="G121" authorId="127" shapeId="0" xr:uid="{00000000-0006-0000-0000-00007D000000}">
      <text>
        <t>[Threaded comment]
Your version of Excel allows you to read this threaded comment; however, any edits to it will get removed if the file is opened in a newer version of Excel. Learn more: https://go.microsoft.com/fwlink/?linkid=870924
Comment:
    National Database, “Calc: CACFP Total Number of Homes” data field.</t>
      </text>
    </comment>
    <comment ref="F122" authorId="128" shapeId="0" xr:uid="{00000000-0006-0000-0000-00007E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123" authorId="129" shapeId="0" xr:uid="{00000000-0006-0000-0000-00007F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124" authorId="130" shapeId="0" xr:uid="{00000000-0006-0000-0000-00008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28" authorId="131" shapeId="0" xr:uid="{00000000-0006-0000-0000-000081000000}">
      <text>
        <t>[Threaded comment]
Your version of Excel allows you to read this threaded comment; however, any edits to it will get removed if the file is opened in a newer version of Excel. Learn more: https://go.microsoft.com/fwlink/?linkid=870924
Comment:
    Calculation: [National Database, “Calc: CACFP Total Avg. Daily Attendance” data field] * 0.70</t>
      </text>
    </comment>
    <comment ref="H128" authorId="132" shapeId="0" xr:uid="{00000000-0006-0000-0000-000082000000}">
      <text>
        <r>
          <rPr>
            <b/>
            <sz val="9"/>
            <color indexed="81"/>
            <rFont val="Tahoma"/>
            <family val="2"/>
          </rPr>
          <t>Roth, Laura - FNS:</t>
        </r>
        <r>
          <rPr>
            <sz val="9"/>
            <color indexed="81"/>
            <rFont val="Tahoma"/>
            <family val="2"/>
          </rPr>
          <t xml:space="preserve">
From previously approved ICR dated 092819: This estimate is 1.59 because parents have to fill out/sign a form for EACH child, same as with the enrollment forms. The number of parents was calculated from the # of children, and this was adjusted up by the same amount.</t>
        </r>
      </text>
    </comment>
    <comment ref="F129" authorId="133" shapeId="0" xr:uid="{00000000-0006-0000-0000-00008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129" authorId="132" shapeId="0" xr:uid="{00000000-0006-0000-0000-000084000000}">
      <text>
        <r>
          <rPr>
            <b/>
            <sz val="9"/>
            <color indexed="81"/>
            <rFont val="Tahoma"/>
            <family val="2"/>
          </rPr>
          <t>Roth, Laura - FNS:</t>
        </r>
        <r>
          <rPr>
            <sz val="9"/>
            <color indexed="81"/>
            <rFont val="Tahoma"/>
            <family val="2"/>
          </rPr>
          <t xml:space="preserve">
This estimate is 1.59 because parents have to fill out/sign a form for EACH child, same as with the enrollment forms. From the previously approved ICR dated 092816, The number of parents was calculated from the # of children, and this was adjusted up by the same amount.</t>
        </r>
      </text>
    </comment>
    <comment ref="G130" authorId="134" shapeId="0" xr:uid="{00000000-0006-0000-0000-000085000000}">
      <text>
        <t>[Threaded comment]
Your version of Excel allows you to read this threaded comment; however, any edits to it will get removed if the file is opened in a newer version of Excel. Learn more: https://go.microsoft.com/fwlink/?linkid=870924
Comment:
    Calculation: [National Database, “Calc: CACFP Total Avg. Daily Attendance” data field] * [% near poor participants (ages 0 to 17) with food allergies]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tc={994786C4-BE22-411F-910B-F2DAF69DD35C}</author>
    <author>tc={AAD57113-FA12-41D7-95C4-F3445EEA7F2B}</author>
    <author>tc={3048B1D7-8259-4758-85A2-F13EDF18E9A8}</author>
    <author>tc={31E2EEE8-F936-472F-B3E9-59FF6A8A1D35}</author>
    <author>tc={E6D16EE3-75A3-479B-A533-C0A5822CD100}</author>
    <author>tc={AB53B450-085C-408A-B0DC-BCF770712B91}</author>
    <author>tc={72AF157E-2B4B-4320-88DE-749A6C36E92F}</author>
    <author>tc={8E8D60CC-07C4-4045-BF92-0B400D841C75}</author>
    <author>tc={79D3D5BC-4BD4-4D18-BD7D-1FB31A616001}</author>
    <author>tc={AB53B450-085C-408B-B0DC-BCF770712B91}</author>
    <author>tc={8E8D60CC-07C4-4046-BF92-0B400D841C75}</author>
    <author>tc={136B6A19-B6CE-432E-91DE-2B26F2C1F999}</author>
  </authors>
  <commentList>
    <comment ref="F9"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0"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F11" authorId="2"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E14" authorId="3" shapeId="0" xr:uid="{00000000-0006-0000-0100-000004000000}">
      <text>
        <t>[Threaded comment]
Your version of Excel allows you to read this threaded comment; however, any edits to it will get removed if the file is opened in a newer version of Excel. Learn more: https://go.microsoft.com/fwlink/?linkid=870924
Comment:
    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
      </text>
    </comment>
    <comment ref="G15" authorId="4" shapeId="0" xr:uid="{00000000-0006-0000-0100-000005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H15" authorId="5" shapeId="0" xr:uid="{00000000-0006-0000-0100-000006000000}">
      <text>
        <t>[Threaded comment]
Your version of Excel allows you to read this threaded comment; however, any edits to it will get removed if the file is opened in a newer version of Excel. Learn more: https://go.microsoft.com/fwlink/?linkid=870924
Comment:
    This is the number of Tier I providers per sponsoring organization.</t>
      </text>
    </comment>
    <comment ref="G16" authorId="6" shapeId="0" xr:uid="{00000000-0006-0000-0100-000007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H16" authorId="7" shapeId="0" xr:uid="{00000000-0006-0000-0100-000008000000}">
      <text>
        <t>[Threaded comment]
Your version of Excel allows you to read this threaded comment; however, any edits to it will get removed if the file is opened in a newer version of Excel. Learn more: https://go.microsoft.com/fwlink/?linkid=870924
Comment:
    This is 1/3 of the number of Tier I providers per sponsoring organization.
This number is obtained through the use of a formula.</t>
      </text>
    </comment>
    <comment ref="E21" authorId="8" shapeId="0" xr:uid="{00000000-0006-0000-0100-000009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H22" authorId="9" shapeId="0" xr:uid="{00000000-0006-0000-0100-00000A000000}">
      <text>
        <t>[Threaded comment]
Your version of Excel allows you to read this threaded comment; however, any edits to it will get removed if the file is opened in a newer version of Excel. Learn more: https://go.microsoft.com/fwlink/?linkid=870924
Comment:
    This is the number of Tier I providers per sponsoring organization.</t>
      </text>
    </comment>
    <comment ref="H23" authorId="10" shapeId="0" xr:uid="{00000000-0006-0000-0100-00000B000000}">
      <text>
        <t>[Threaded comment]
Your version of Excel allows you to read this threaded comment; however, any edits to it will get removed if the file is opened in a newer version of Excel. Learn more: https://go.microsoft.com/fwlink/?linkid=870924
Comment:
    This is 1/3 of the number of Tier I providers per sponsoring organization.
This number is obtained through the use of a formula.</t>
      </text>
    </comment>
    <comment ref="E27" authorId="11" shapeId="0" xr:uid="{00000000-0006-0000-0100-00000C000000}">
      <text>
        <t>[Threaded comment]
Your version of Excel allows you to read this threaded comment; however, any edits to it will get removed if the file is opened in a newer version of Excel. Learn more: https://go.microsoft.com/fwlink/?linkid=870924
Comment:
    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tc={2D20FDD5-A7F2-4DEC-84C1-5B692E54FF3B}</author>
    <author>tc={32919CF0-1B6F-45E0-B31C-6405044854BC}</author>
    <author>tc={F55BF6F2-60C8-4FBE-8EAB-98BCBE5E8E45}</author>
    <author>tc={F8FF9605-C4DF-43CB-BF16-ABCB352C27C1}</author>
    <author>tc={2D20FDD5-A7F2-4DED-84C1-5B692E54FF3B}</author>
    <author>tc={41343DFF-750E-409E-88BE-B359579B4855}</author>
    <author>tc={F55BF6F2-60C8-4FBF-8EAB-98BCBE5E8E45}</author>
    <author>tc={F8FF9605-C4DF-43CC-BF16-ABCB352C27C1}</author>
    <author>tc={708D940B-6957-4678-A5C5-59E916F50E4C}</author>
    <author>tc={D0F8695C-CC6A-4135-A0AA-74F3DC7D2F97}</author>
    <author>tc={F55BF6F2-60C8-4FC0-8EAB-98BCBE5E8E45}</author>
    <author>tc={F8FF9605-C4DF-43CD-BF16-ABCB352C27C1}</author>
  </authors>
  <commentList>
    <comment ref="F9"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9"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It is assumed that 50% of State agencies do this media release.</t>
      </text>
    </comment>
    <comment ref="H9"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J9"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F11" authorId="4"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1" authorId="5"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It is assumed that 50% of local government agencies do this media release.</t>
      </text>
    </comment>
    <comment ref="H11" authorId="6" shapeId="0" xr:uid="{00000000-0006-0000-0200-000007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J11" authorId="7" shapeId="0" xr:uid="{00000000-0006-0000-0200-000008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F15" authorId="8" shapeId="0" xr:uid="{708D940B-6957-4678-A5C5-59E916F50E4C}">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5" authorId="9" shapeId="0" xr:uid="{00000000-0006-0000-0200-00000A000000}">
      <text>
        <t>[Threaded comment]
Your version of Excel allows you to read this threaded comment; however, any edits to it will get removed if the file is opened in a newer version of Excel. Learn more: https://go.microsoft.com/fwlink/?linkid=870924
Comment:
    It is assumed that 50% of institutions do this media release.</t>
      </text>
    </comment>
    <comment ref="H15" authorId="10" shapeId="0" xr:uid="{00000000-0006-0000-0200-00000B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J15" authorId="11" shapeId="0" xr:uid="{00000000-0006-0000-0200-00000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tc={ABCACEF9-C39D-457C-8BFA-8CB3FD3665A4}</author>
    <author>tc={8FE09178-4B70-4E53-90CD-81EC81D7F574}</author>
    <author>tc={2BF8C597-BC23-44C0-AC67-B714E03A49D6}</author>
  </authors>
  <commentList>
    <comment ref="C12"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This estimate is the total number of respondents. If there are respondents that conduct both reporting and recordkeeping activities, the respondent is counted once.</t>
      </text>
    </comment>
    <comment ref="D12"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This estimate is obtained using the following calculation: [Total Annual Responses] / [Estimated Number of Respondents]. The values used in the calculation are the values in the "TOTAL BURDEN FOR #054-0055" row.</t>
      </text>
    </comment>
    <comment ref="F12" authorId="2" shapeId="0" xr:uid="{00000000-0006-0000-0300-000003000000}">
      <text>
        <t>[Threaded comment]
Your version of Excel allows you to read this threaded comment; however, any edits to it will get removed if the file is opened in a newer version of Excel. Learn more: https://go.microsoft.com/fwlink/?linkid=870924
Comment:
    This estimate is obtained using the following calculation: [Estimated Total Hours] / [Total Annual Responses]. The values used in the calculation are the values in the "TOTAL BURDEN FOR #054-0055" row.</t>
      </text>
    </comment>
  </commentList>
</comments>
</file>

<file path=xl/sharedStrings.xml><?xml version="1.0" encoding="utf-8"?>
<sst xmlns="http://schemas.openxmlformats.org/spreadsheetml/2006/main" count="1050" uniqueCount="494">
  <si>
    <t>Legend</t>
  </si>
  <si>
    <t>NOTE:  Unless otherwise noted in comments, burden assumptions are the same assumptions used in the previously approved ICR dated 092816.
              Comments also provide clarification or additional information on burden assumptions even if the assumptions are the same assumptions used in the previously approved ICR.</t>
  </si>
  <si>
    <t>Previously Approved ICR</t>
  </si>
  <si>
    <t>Review of Regulations</t>
  </si>
  <si>
    <t>Comparison with Current OMB Inventory</t>
  </si>
  <si>
    <t>Comparison with OMB Inventory Prior to Expiration</t>
  </si>
  <si>
    <t>Section of Regulation/Form</t>
  </si>
  <si>
    <t>Title</t>
  </si>
  <si>
    <t>Estimated Number of Respondents</t>
  </si>
  <si>
    <t>Responses Per Respondent</t>
  </si>
  <si>
    <t>Total Annual Responses</t>
  </si>
  <si>
    <t>Estimated Average Number of Hours Per Response</t>
  </si>
  <si>
    <t>Estimated Total Burden Hours</t>
  </si>
  <si>
    <t>Previously Approved Burden Hours</t>
  </si>
  <si>
    <t>Change in Burden Hours Due to an Adjustment</t>
  </si>
  <si>
    <t>Change in Burden Hours Due to Program Change</t>
  </si>
  <si>
    <t>Total Difference in Burden Hours</t>
  </si>
  <si>
    <t>Notes</t>
  </si>
  <si>
    <t>A</t>
  </si>
  <si>
    <t>B</t>
  </si>
  <si>
    <t>C</t>
  </si>
  <si>
    <t>D</t>
  </si>
  <si>
    <t>E = C x D</t>
  </si>
  <si>
    <t>F</t>
  </si>
  <si>
    <t>G = E x F</t>
  </si>
  <si>
    <t>H</t>
  </si>
  <si>
    <t>I = G - H</t>
  </si>
  <si>
    <t>J</t>
  </si>
  <si>
    <t>K</t>
  </si>
  <si>
    <t>STATE/LOCAL/TRIBAL GOVERNMENT LEVEL</t>
  </si>
  <si>
    <t>State Agencies</t>
  </si>
  <si>
    <t>226.3(c)</t>
  </si>
  <si>
    <t xml:space="preserve">Federal/State agreement </t>
  </si>
  <si>
    <t>SAs that have been approved to administer the Program must enter into written agreement with FNS for the administration of the Program in the State (Federal/State agreement).</t>
  </si>
  <si>
    <t>In this ICR, this burden is 0 hours because the burden for completing the FNS-74 form will be captured under the upcoming renewal of the SAE Funds ICR, OMB #0584-0067.</t>
  </si>
  <si>
    <t>226.6(b)(1)</t>
  </si>
  <si>
    <t>SAs must review applications submitted by new institutions.</t>
  </si>
  <si>
    <t>Burden of the State agency to review the application of new institutions.</t>
  </si>
  <si>
    <t>226.6(b)(2)</t>
  </si>
  <si>
    <t xml:space="preserve">SAs must review updated documentation submitted by renewing institutions.  </t>
  </si>
  <si>
    <t xml:space="preserve">Burden of the State agency to review updated documentation from renewing institutions. </t>
  </si>
  <si>
    <t>226.6(b)</t>
  </si>
  <si>
    <t>(3) Notify institution of approval or disapproval of application within 30 days of receipt of a complete application</t>
  </si>
  <si>
    <t>226.6(b)(3)</t>
  </si>
  <si>
    <t>SAs must notify an institution of approval or disapproval of its application within 30 calendar days of receipt of a complete application. The agreement shall contain an assurance that the State agency will comply with policy, instructions, guidance, and handbooks issued by FNS.</t>
  </si>
  <si>
    <t>226.6(b)(4)</t>
  </si>
  <si>
    <t>SAs must enter into written agreement with an institution that has been approved for participation in the Program (State/Institution agreement).</t>
  </si>
  <si>
    <t>226.6(c)</t>
  </si>
  <si>
    <t>Notice of serious deficiency to participating institutions</t>
  </si>
  <si>
    <t>226.6(c)(1)(iii)(A)
226.6(c)(2)(iii)(A)
226.6(c)(3)(iii)(A)
226.6(c)(6)(ii)(A)</t>
  </si>
  <si>
    <t>SAs must notify an institution’s executive director and chairman of the board of directors that the institution has been determined to be seriously deficient. At the same time the notice is issued, the SAs must add the institution to the SA list, along with the basis for the serious deficiency determination, and provide a copy of the notice to the appropriate FNS Regional Office (FNSRO).</t>
  </si>
  <si>
    <t>226.6(c)(1)(iii)(B)
226.6(c)(2)(iii)(B)
226.6(c)(3)(iii)(B)
226.6(c)(6)(ii)(C)</t>
  </si>
  <si>
    <t>SAs must submit a copy of successful corrective action (temporary deferment or serious deficiency determination) notices to FNSRO for new, renewing, and participating institutions.</t>
  </si>
  <si>
    <t>226.6(c)(1)(iii)(C)
226.6(c)(2)(iii)(C)
226.6(c)(3)(iii)(C)
226.6(c)(6)(ii)(D)</t>
  </si>
  <si>
    <t>SAs must submit a copy of application denial and proposed disqualification notice to FNSRO.</t>
  </si>
  <si>
    <t>Notice of serious deficiency (decision to disapprove new application or renew existing agreement) to institution</t>
  </si>
  <si>
    <t>226.6(c)(1)(iii)(E)
226.6(c)(2)(iii)(D)
226.6(c)(3)(iii)(E)
226.6(c)(5)(i)(C)</t>
  </si>
  <si>
    <t>SAs must submit copies of disqualification notices to the FNSRO for new, renewing, and participating institutions.</t>
  </si>
  <si>
    <t>226.6(c)(3)(i)</t>
  </si>
  <si>
    <t xml:space="preserve">If a SA holds an agreement with an institution operating in more than one State that has been disqualified from the Program by another SA and has been placed on the National Disqualified List, the SA must terminate the institution’s agreement effective no later than 45 days from the date of the institution’s disqualification by the other SA. </t>
  </si>
  <si>
    <t>Submit copy disqualification notice and supportive documentation to FNSRO</t>
  </si>
  <si>
    <t>226.6(c)(1)(iii)(E)
226.6(c)(2)(iii)(D)
226.6(c)(3)(i)
226.6(c)(3)(iii)(E)
226.6(c)(5)(i)(C)
226.6(c)(6)(ii)(E)</t>
  </si>
  <si>
    <t>SAs must submit copies of disqualification notices and supportive documentation to the FNSRO.</t>
  </si>
  <si>
    <t>226.6(c)(5)(i)(A)-(B)
226.6(c)(5)(ii)(A)-(B)
226.6(c)(5)(ii)(B)
226.6(c)(5)(ii)(D)
226.6(c)(6)(ii)(B)</t>
  </si>
  <si>
    <t>SAs must submit copies of proposed suspension of participation notices to the FNSRO.</t>
  </si>
  <si>
    <t>226.6(c)(6)(ii)(G)</t>
  </si>
  <si>
    <t>SAs must terminate an institution's agreement no later than 45 days after the date of the institution’s disqualification if FNS determines that institution to be seriously deficient and subsequently disqualifies the institution. At the same time the notice of termination is issued, the SA must add the institution to the State agency list and provide a copy of the notice to the appropriate FNSRO.</t>
  </si>
  <si>
    <t xml:space="preserve">226.6(c)(8)      (C)(ii)   </t>
  </si>
  <si>
    <t>Provide FNSRO the required information of each day care home provider terminated for cause</t>
  </si>
  <si>
    <t>226.6(c)(8)(C)(ii)</t>
  </si>
  <si>
    <t>SA must provide the appropriate FNSRO the name, mailing address, and date of birth of each day care home provider whose agreement is terminated for cause, within 10 days of receiving a notice of termination and disqualification from a sponsoring organization.</t>
  </si>
  <si>
    <t>226.6(d)(1) &amp; 226.6(e)</t>
  </si>
  <si>
    <t xml:space="preserve">Establish licensing/compliance review procedures for child care centers, day care homes, outside-school hours care centers and adult day centers </t>
  </si>
  <si>
    <t>226.6(d)(1)
226.6(e)</t>
  </si>
  <si>
    <t>SAs must establish licensing/compliance review procedures for child care centers, at-risk afterschool care centers, day care homes, outside-school hours care centers, and adult day centers. Because SAs currently administer the Program in accordance with licensing/compliance review procedures, now the burden associated with this requirement is to revise/update the established procedures, as necessary.</t>
  </si>
  <si>
    <t>226.6(d)(3)</t>
  </si>
  <si>
    <t>Establish alternate procedures for review of institutions for which licensing or approval is not available -</t>
  </si>
  <si>
    <t xml:space="preserve">226.6(d)(3) </t>
  </si>
  <si>
    <t>SAs must establish alternate procedures for review of institutions for which licensing or approval is not available.</t>
  </si>
  <si>
    <t>2226.6(e)(1)(ix)(A)</t>
  </si>
  <si>
    <t>SAs must coordinate with the NSLP State agency to ensure the receipt of a list of schools in the State in which at least one-half of the children enrolled are certified eligible to receive free or reduced-price meals.</t>
  </si>
  <si>
    <t>226.6(f)(1)(i)</t>
  </si>
  <si>
    <t xml:space="preserve">SAs must annually inform institutions that are pricing programs of their responsibility to ensure that free and reduced-price meals are served to participants unable to pay the full price. </t>
  </si>
  <si>
    <t>226.6(f)(1)(ii)</t>
  </si>
  <si>
    <t>Provide all institutions a copy of the income standards to be used by institutions for determining the eligibility of participants for free and reduced-price meals under the Program</t>
  </si>
  <si>
    <t>SAs must annually provide all institutions a copy of the income standards to be used by institutions for determining the eligibility of participants for free and reduced-price meals under the Program. These standards are provided in Appendix E5. Child Nutrition Programs Income Eligibility Guidelines.</t>
  </si>
  <si>
    <t>226.6(f)(1)(viii) (A)</t>
  </si>
  <si>
    <t>Provide day home sponsoring organizations a list of elementary schools in which at least one-half of the children enrolled receive f/rp meals</t>
  </si>
  <si>
    <t>226.6(f)(1)(viii)(A)</t>
  </si>
  <si>
    <t>SAs must provide day care home sponsoring organizations a list of elementary schools in which at least one-half of the children enrolled receive free/reduced-price meals on an annual basis.</t>
  </si>
  <si>
    <t>226.6(f) (1) (viii) (D)</t>
  </si>
  <si>
    <t>Provide day care home sponsors a listing of State-funded programs, participation in which by a parent or child will qualify a meal served to a child in a tier II home for the tier I rate of reimbursement.</t>
  </si>
  <si>
    <t>226.6(f)(1)(viii)(D)</t>
  </si>
  <si>
    <t>SAs must provide day care home sponsors a listing of State-funded programs, participation in which a parent or child will qualify for a meal served to a child in a tier II home for the tier I rate of reimbursement on an annual basis.</t>
  </si>
  <si>
    <t>226.6(f)(1)   (viii)(E)</t>
  </si>
  <si>
    <t>Submit to SNAP SA list of providers receiving Tier I benefits based on SNAP participation</t>
  </si>
  <si>
    <t>226.6(f)(1)(viii)(E)</t>
  </si>
  <si>
    <t>SAs must submit to the SNAP SA a list of family day care home providers receiving Tier I benefits on an annual basis.</t>
  </si>
  <si>
    <t>226.6(f)(1) (ix)(A)</t>
  </si>
  <si>
    <t>Provide at-risk-afterschool care centers and sponsoring organizations the list of schools in which one-half of children enrolled are eligible for f/rp meals</t>
  </si>
  <si>
    <t>226.6(f)(1)(ix)(A)</t>
  </si>
  <si>
    <t>SAs must provide at-risk-afterschool care centers and sponsoring organizations the list of schools in which one-half of children enrolled are eligible for free/reduced-price meals on an annual basis.</t>
  </si>
  <si>
    <t>226.6(f)(3)(iii)</t>
  </si>
  <si>
    <t>Provide census data to day care home sponsoring organizations</t>
  </si>
  <si>
    <t>SAs must provide census data to day care home sponsoring organizations.</t>
  </si>
  <si>
    <t>226.6 (h)</t>
  </si>
  <si>
    <t>Submit to State commodity distribution agency list of institutions receiving commodities by June 1</t>
  </si>
  <si>
    <t>226.6(h)</t>
  </si>
  <si>
    <t>SAs must submit, to the State commodity distribution agency, a list of institutions receiving commodities, by June 1 of each year.</t>
  </si>
  <si>
    <t>226.6 ( i )</t>
  </si>
  <si>
    <t>Develop standard contract for use between institutions and food service management companies</t>
  </si>
  <si>
    <t>226.6(i)</t>
  </si>
  <si>
    <t>SAs must develop a standard contract in accordance with section 226.21 for use between institutions and food service management companies. The contract must stipulate the requirements under 226.6(i), as well as adherence to procurement provisions.</t>
  </si>
  <si>
    <t>226.6(k)(4)(i)</t>
  </si>
  <si>
    <t>Annually submit admin review (appeal) procedures to all institutions</t>
  </si>
  <si>
    <t>SAs must annually submit administrative review (appeal) procedures to all institutions.</t>
  </si>
  <si>
    <t>226.6(k)(4)(ii)</t>
  </si>
  <si>
    <t>Submit admin review procedures when applicable action taken</t>
  </si>
  <si>
    <t>Each SA must submit administrative review (appeal) procedures when applicable action is taken.</t>
  </si>
  <si>
    <t>226.6(k)(5)(i)</t>
  </si>
  <si>
    <t>SAs must notify the institution's executive director and chairman of the board of directors, and the responsible principals and responsible individuals, of the action being taken or proposed, the basis for the action, and the procedures under which the institution and the responsible principals or responsible individuals may request an administrative review (appeal) of the action.</t>
  </si>
  <si>
    <t>226.6(k)(5)(ii)</t>
  </si>
  <si>
    <t xml:space="preserve">The Administrative Review Official must acknowledge the receipt of the request for an administrative review (appeal) within 10 days of its receipt of the request. </t>
  </si>
  <si>
    <t>226.6(k)(5)(v)</t>
  </si>
  <si>
    <t xml:space="preserve">The Administrative Review Official must review documentation submitted to refute the findings contained in the notice of action. </t>
  </si>
  <si>
    <t>226.6(k)(5)(vi)</t>
  </si>
  <si>
    <t xml:space="preserve">The Administrative Review Official must hold a hearing if requested in the written request for an administrative review (appeal). </t>
  </si>
  <si>
    <t>226.6(k)(5)(ix)
226.6(k)(9)</t>
  </si>
  <si>
    <t xml:space="preserve">The Administrative Review Official must inform the SA, the institution's executive director, and chairman of the board of directors, and the responsible principals and responsible individuals, of the administrative review's outcome within 60 days of the State agency's receipt of the request for an administrative review. </t>
  </si>
  <si>
    <t>226.6 (l)</t>
  </si>
  <si>
    <r>
      <rPr>
        <sz val="11"/>
        <rFont val="Calibri"/>
        <family val="2"/>
        <scheme val="minor"/>
      </rPr>
      <t>Establish/revise admin review (appeal) procedures for day care home providers</t>
    </r>
    <r>
      <rPr>
        <sz val="11"/>
        <color indexed="8"/>
        <rFont val="Calibri"/>
        <family val="2"/>
        <scheme val="minor"/>
      </rPr>
      <t>- SA must notify the appropriate FNSRO of any change or option to offer an administrative review</t>
    </r>
  </si>
  <si>
    <t>226.6(l)</t>
  </si>
  <si>
    <t xml:space="preserve">The SA must establish/revise administrative review (appeal) procedures for day care home providers AND notify the appropriate FNSRO of any change to the procedures or the selected option for offering an administrative review (appeal) to day care home providers. </t>
  </si>
  <si>
    <t>226.6(m)(5)</t>
  </si>
  <si>
    <t>Revise/edit household contact procedures - submit changes to FNSRO.</t>
  </si>
  <si>
    <t>SAs must submit to FNSROs, no later than April 1, 2005, the policies and procedures they have developed governing household contacts. Because SAs have already submitted these policies and procedures, now the burden associated with this requirement is to revise/update the established procedures, as necessary.</t>
  </si>
  <si>
    <t>226.6(m)(6)</t>
  </si>
  <si>
    <t>SAs must annually review at least 33.3 percent of all institutions. As part of its conduct of reviews, the SA must assess each institution's compliance with the requirements of 7 CFR 226 pertaining to: recordkeeping; meal counts; administrative costs; FNS instructions and handbooks; facility licensing and approval (if sponsoring organization); participant enrollment and eligibility; Civil Rights requirements; meal service; training and monitoring of facilities (if sponsoring organization); serious deficiency and termination procedures (if sponsoring organization); classification of Tier I and Tier II day care homes (if sponsoring organization); agreements; procurement standards, policies and actions; and all other Program requirements.</t>
  </si>
  <si>
    <t>226.6 (p)</t>
  </si>
  <si>
    <t>Develop/revise and provide sponsoring organization agreement between sponsor and facilities</t>
  </si>
  <si>
    <t>226.6(p)</t>
  </si>
  <si>
    <t>SAs must develop/revise and provide sponsoring organization agreement between sponsor and facilities.</t>
  </si>
  <si>
    <t xml:space="preserve">226.6(r) </t>
  </si>
  <si>
    <t xml:space="preserve">SAs must provide information on the importance and benefits of the Special Supplemental Nutrition Program for Women, Infants, and Children (WIC) and WIC income eligibility guidelines to participating institutions. </t>
  </si>
  <si>
    <t>226.7 (c)</t>
  </si>
  <si>
    <t>Submit to FNSRO a written plan for correcting serious deficiencies noted in Management Evaluation/Audit</t>
  </si>
  <si>
    <t xml:space="preserve">226.7(c) </t>
  </si>
  <si>
    <t xml:space="preserve">Each SA must submit to the FNSRO a written plan for correcting serious deficiencies noted in Management Evaluations/Audits. </t>
  </si>
  <si>
    <t>226.7(d) 
(Form FNS-44)</t>
  </si>
  <si>
    <t xml:space="preserve">Submit CACFP Report to FNS 30 and 90 days following the month being reported </t>
  </si>
  <si>
    <t xml:space="preserve">SAs must submit CACFP Report to FNS 30 and 90 days following the month being reported. </t>
  </si>
  <si>
    <t>The burden is 0 hours because the burden is already captured in the Food Programs Reporting System (FPRS) ICR, information collection with OMB Control Number 0584 0594, Form FNS-44.</t>
  </si>
  <si>
    <t xml:space="preserve">226.7(e) </t>
  </si>
  <si>
    <t>SAs must submit an annual plan for the use of State administrative expense funds.</t>
  </si>
  <si>
    <t xml:space="preserve">226.7(g) </t>
  </si>
  <si>
    <t xml:space="preserve">SAs must review institutions’ budgets on an annual basis. </t>
  </si>
  <si>
    <t>226.7 (h), (i) &amp; (j)</t>
  </si>
  <si>
    <t>Establish procedures for start ups, advances, and recovery of over-payments</t>
  </si>
  <si>
    <t>226.7(h)
226.7(i) 
226.7(j)</t>
  </si>
  <si>
    <t>SAs must establish procedures for start-ups, advances, and recovery of over-payments. Annually, SAs revise/edit these policies, as necessary.</t>
  </si>
  <si>
    <t>226.7 (k)</t>
  </si>
  <si>
    <t>Claims processing</t>
  </si>
  <si>
    <t>226.7(k)</t>
  </si>
  <si>
    <t xml:space="preserve">Each SA must process claims for reimbursement to institutions on a monthly basis. </t>
  </si>
  <si>
    <t>226.9 (a)</t>
  </si>
  <si>
    <t>Assign rates of reimbursement for all institutions not less than annually</t>
  </si>
  <si>
    <t>226.9(a)</t>
  </si>
  <si>
    <t xml:space="preserve">Each SA must annually assign rates of reimbursement to institutions on the basis of family-size and income information, and national average payment rates.
</t>
  </si>
  <si>
    <t>226.10(e)</t>
  </si>
  <si>
    <t>Final Claim for Reimbursement postmarked and/or submitted to the State agency not later than 60 days following the last day of the full month covered by the claim.</t>
  </si>
  <si>
    <t>SAs must make adjustments to a final Claim for Reimbursement postmarked and/or submitted to the SA no later than 60 days following the last day of the full month covered by the claim.</t>
  </si>
  <si>
    <t>226.14 (a)</t>
  </si>
  <si>
    <t>Notify institution of disallowed claim and demand repayment</t>
  </si>
  <si>
    <t>226.14(a)</t>
  </si>
  <si>
    <t>SAs must notify institutions of disallowed claim and demand repayment.</t>
  </si>
  <si>
    <t>226.23(l)</t>
  </si>
  <si>
    <t>Obtain written consent from the child's parents or guardians prior to use or disclose if using or disclosing information in ways not permitted by statute</t>
  </si>
  <si>
    <t>SAs must obtain written consent from children’s parents or guardians prior to the use or disclosure of information, if the SA plans to use or disclose information about children eligible for free/reduced-price meals in ways not specified in the regulations.</t>
  </si>
  <si>
    <t>226.23(m) (1)</t>
  </si>
  <si>
    <t>Enter into a written agreement with the party requesting children's free and reduced price eligibility information.</t>
  </si>
  <si>
    <t>226.23(m)(1)
226.23(m)(2)</t>
  </si>
  <si>
    <t>SAs should enter into a written agreement with the party requesting children’s free/reduced-price eligibility information.</t>
  </si>
  <si>
    <t>Property management</t>
  </si>
  <si>
    <t>Follow the policies and procedures governing title, use, and disposition of equipment obtained by purchase, whose cost was acquired in whole or part with food service equipment assistance funds.</t>
  </si>
  <si>
    <t>Subtotal</t>
  </si>
  <si>
    <t>Local Government Agencies</t>
  </si>
  <si>
    <t>An institution that has been approved for participation in the Program must enter into written agreement with the SA (State/Institution agreement).</t>
  </si>
  <si>
    <t>226.6 (d)-(e) and    226.6(f)(1)(vi)</t>
  </si>
  <si>
    <t>Submit documentation to demonstrate that child care centers, outside-school-hours care centers, at-risk afterschool care centers, day care homes, and adult day care centers are in compliance with licensing/approval criteria.</t>
  </si>
  <si>
    <t>226.6(d)
226.6(e)
226.6(f)(1)(vi)</t>
  </si>
  <si>
    <t>Sponsors and institutions must submit documentation to SAs to demonstrate that facilities are in compliance with licensing/approval criteria.</t>
  </si>
  <si>
    <t>226.6(f)(1)(iii)</t>
  </si>
  <si>
    <t>Submit current eligibility information on enrolled participants to be used to calculate  reimbursement rate</t>
  </si>
  <si>
    <t>Centers must submit current eligibility information on enrolled participants, in order to calculate a blended rate or claiming percentage in accordance with section 226.9(b).</t>
  </si>
  <si>
    <t>226.6(f)(1)      (viii)(E)</t>
  </si>
  <si>
    <t>Sponsoring organizations of day care homes must submit a list of family daycare home providers receiving Tier I benefits based on SNAP participation</t>
  </si>
  <si>
    <t>Sponsoring organizations of day care homes must submit annually to the State agency a list of family daycare home providers receiving Tier I benefits based on SNAP participation.</t>
  </si>
  <si>
    <t>226.6(f)(2)(i)</t>
  </si>
  <si>
    <t>Each participating institution must re-apply to continue its participation at intervals that cannot exceed 36 months.</t>
  </si>
  <si>
    <t xml:space="preserve">7 CFR 226.6(n) </t>
  </si>
  <si>
    <t>CACFP Tiering Assessment:  FNS and OIG may make investigations at the request of the State agency, or whenever FNS or OIG determines that investigations are appropriate.</t>
  </si>
  <si>
    <t>226.6(n)</t>
  </si>
  <si>
    <t>Sponsoring organizations must participate and provide necessary documentation requested as part of investigations.</t>
  </si>
  <si>
    <t>226.7(g)</t>
  </si>
  <si>
    <t xml:space="preserve">Sponsoring organizations must submit an administrative budget to the State agency annually, and independent centers must submit budgets as frequently as required by the State agency. </t>
  </si>
  <si>
    <t>226.10 and    226.15(i)
226. 13 (b)</t>
  </si>
  <si>
    <t>Report to SA number of meals claimed for reimbursement</t>
  </si>
  <si>
    <r>
      <t>226.10</t>
    </r>
    <r>
      <rPr>
        <sz val="11"/>
        <color theme="1"/>
        <rFont val="Calibri"/>
        <family val="2"/>
        <scheme val="minor"/>
      </rPr>
      <t xml:space="preserve">
226.13(b)
226.15(i)</t>
    </r>
  </si>
  <si>
    <t>Sponsors/institutions must report the number of meals claimed for reimbursement to the SA.</t>
  </si>
  <si>
    <t>226.10(c)</t>
  </si>
  <si>
    <t xml:space="preserve">Sponsoring organizations must submit documentation to verify for profit center eligibility. 
</t>
  </si>
  <si>
    <t xml:space="preserve"> 226.13 (d)(3)(i) thru (iii)</t>
  </si>
  <si>
    <t>Establish reimbursement rates for Tier 2 providers with income-eligible children</t>
  </si>
  <si>
    <t>226.13(d)(3)(i)-(iii)</t>
  </si>
  <si>
    <t>Sponsoring organizations of family day care homes must establish and provide reimbursement rates for Tier 2 providers with income-eligible children.</t>
  </si>
  <si>
    <t>226.15(b)</t>
  </si>
  <si>
    <t>New institutions submit application for participation</t>
  </si>
  <si>
    <t>New and participating institutions must submit to the SA, with its application, all information required for its approval. The application must demonstrate that the institution has the administrative and financial capability to operate the Program in accordance with the Program regulations.</t>
  </si>
  <si>
    <t>Participating institutions submit documentation required for renewal</t>
  </si>
  <si>
    <t>Participating institutions must submit documentation required for renewal to the SA.</t>
  </si>
  <si>
    <t>226.15(g)</t>
  </si>
  <si>
    <t>Sponsoring organizations of at-risk afterschool care centers must provide information that permits SA to determine eligibility of at-risk afterschool care centers.</t>
  </si>
  <si>
    <t>226.15(n)</t>
  </si>
  <si>
    <t>Each institution must comply with all regulations issued by FNS and the Department, all instructions and handbooks issued by FNS and the Department to clarify or explain existing regulations, and all regulations, instructions and handbooks issued by the SA that are consistent with the provisions established in Program regulations.</t>
  </si>
  <si>
    <t xml:space="preserve"> Handbooks are provided as a reference in Appendix E and include: Appendix E1. 2017 Edition of the Eligibility Manual for School Meals; Appendix E2. At-Risk Handbook; Appendix E3. CACFP Adult Day Care Handbook; Appendix E4. CACFP Duration of Income Eligibility Determinations; Appendix E6. Independent Child Care Centers Handbook; Appendix E8. Crediting Handbook for the CACFP; Appendix E9. Guidance for Management Plans and Budgets – A CACFP Handbook; Appendix E10. Monitoring Handbook for State Agencies – A CACFP Handbook; Appendix E11. Serious Deficiency, Suspension, &amp; Appeals for State Agencies &amp; Sponsoring Organizations – A CACFP Handbook; Appendix E12. Family Day Care Homes Monitor Handbook; and Appendix E13. Collection of Race and Ethnicity Data by Visual Observation and Identification in the CACFP and Summer Food Service Program – Policy Rescission.</t>
  </si>
  <si>
    <t>226.15(o)</t>
  </si>
  <si>
    <t xml:space="preserve">Institutions must ensure that parents of enrolled children are provided with current information on the benefits and importance of the Special Supplemental Nutrition Program for Women, Infants, and Children (WIC) and the eligibility requirements for WIC participation. (Each institution other than outside-school-hours care centers, at-risk afterschool care centers, emergency shelters, and adult day care centers.) </t>
  </si>
  <si>
    <t>226.16(b)</t>
  </si>
  <si>
    <t>Each sponsoring organization must submit to the SA, with its application, all information required for its approval, and the approval of the facilities under its jurisdiction. The application must demonstrate that the institution has the administrative and financial capability to operate the Program in accordance with the Program regulations.</t>
  </si>
  <si>
    <t>226.16(d)(4)(vi)</t>
  </si>
  <si>
    <t>Sponsoring organizations must provide each center with written notification of the right of the sponsoring organizations, the SA,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</si>
  <si>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226.16(d)(4)(viii)</t>
  </si>
  <si>
    <t>Sponsoring organizations that discover in a facility conduct or conditions that pose an imminent threat to the health or safety of participating children or the public must immediately notify the appropriate State or local licensing or health authorities and take action that is consistent with the recommendations and requirements of those authorities.</t>
  </si>
  <si>
    <t>226.16(l)(3)(i)</t>
  </si>
  <si>
    <t xml:space="preserve">Sponsoring organizations must notify the day care home that it has been found to be seriously deficient. </t>
  </si>
  <si>
    <t>226.16(l)(4)</t>
  </si>
  <si>
    <t xml:space="preserve">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   </t>
  </si>
  <si>
    <t xml:space="preserve">226.17a(e) </t>
  </si>
  <si>
    <t>Sponsoring organizations must make written application to the SA for any afterschool care program that it wants to operate as an at-risk afterschool care center.</t>
  </si>
  <si>
    <t>226.17a(h)</t>
  </si>
  <si>
    <t>Independent at-risk afterschool care centers or sponsors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</si>
  <si>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Free and reduced price meal requirements</t>
  </si>
  <si>
    <t>Free/reduced-price meal requirements applicable to independent centers and sponsoring organizations.</t>
  </si>
  <si>
    <t>The respondents for this section should only include: 1) independent child care centers, 2) sponsors of centers affiliated and unaffiliated, and 3) Sponsors of tier II day care homes. 226.23: The State agency must not enter into a Program agreement with a new institution until the institution has submitted, and the State agency has approved, a written policy statement concerning free and reduced-price meals to be used in all child and adult day care facilities under its jurisdiction.</t>
  </si>
  <si>
    <t>Obtain written consent from the child's parents or guardians prior to use or disclosure if using or disclosing information in ways not permitted by statute</t>
  </si>
  <si>
    <t>Child care institutions that plan to use or disclose information about children eligible for free/reduced-price meals in ways not specified in the regulations must obtain written consent from children’s parents or guardians prior to the use or disclosure.</t>
  </si>
  <si>
    <t>226.23(m)</t>
  </si>
  <si>
    <t>A child care institution should have a written agreement or Memorandum of Understanding (MOU) with programs or individuals receiving eligibility information, prior to disclosing children’s free and reduced-price meal eligibility information.</t>
  </si>
  <si>
    <t>STATE/LOCAL/TRIBAL GOVERNMENT LEVEL TOTAL</t>
  </si>
  <si>
    <t>BUSINESS LEVEL</t>
  </si>
  <si>
    <t>Institutions</t>
  </si>
  <si>
    <t>SA must enter into written agreement with an institution that has been approved for participation in the Program (State/Institution agreement).</t>
  </si>
  <si>
    <t>Sponsoring organizations and institutions must submit documentation to SAs in order to demonstrate that facilities are in compliance with licensing/approval criteria.</t>
  </si>
  <si>
    <t xml:space="preserve">Sponsoring organizations of day care homes must submit annually a list of family day care home providers receiving tier I benefits based on SNAP participation. </t>
  </si>
  <si>
    <t>Sponsoring organizations must submit an administrative budget to the SA annually, and independent centers must submit budgets as frequently as required by the SA.</t>
  </si>
  <si>
    <t>Sponsoring organizations and institutions must report to the SA the number of meals claimed for reimbursement.</t>
  </si>
  <si>
    <t xml:space="preserve">Sponsoring organizations must submit documentation to verify for profit center eligibility. </t>
  </si>
  <si>
    <t>Sponsoring organizations of family day care homes must establish reimbursement rates for Tier 2 providers with income-eligible children.</t>
  </si>
  <si>
    <t>New institutions submit application for participation. The application procedures include pre-approval visits and training.</t>
  </si>
  <si>
    <t xml:space="preserve">Participating institutions must submit documentation required for renewal to the SA. </t>
  </si>
  <si>
    <t>Sponsoring organizations of centers must provide each center with written notification of the right of the sponsoring organization, the State agency,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</si>
  <si>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t>
  </si>
  <si>
    <t>Sponsoring organizations must make a written application to the SA for any afterschool care program that it wants to operate as an at-risk afterschool care center.</t>
  </si>
  <si>
    <t>Independent at-risk afterschool care centers or sponsoring organizations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</si>
  <si>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Facilities</t>
  </si>
  <si>
    <t xml:space="preserve">226.11(2); 226.17(b)(9)  and 226.17a(p)      </t>
  </si>
  <si>
    <t>Submit daily meal count records to sponsoring organizations monthly</t>
  </si>
  <si>
    <t>226.11(b)(2)
226.17a(p)</t>
  </si>
  <si>
    <t>Centers must report each month to the SA the total number of Program meals.</t>
  </si>
  <si>
    <t>226.13 (d)(1) thru (3) &amp; 226.18 (e)</t>
  </si>
  <si>
    <t>Day care home providers submit daily meal counts to sponsors monthly</t>
  </si>
  <si>
    <t>226.13(d)(1)
226.13(d)(2)
226.13(d)(3)
226.18(e )</t>
  </si>
  <si>
    <t>Day care home providers must submit daily meal counts to sponsors monthly.</t>
  </si>
  <si>
    <t>226.17(d)</t>
  </si>
  <si>
    <t>A sponsored center must distribute to parents a copy of the sponsoring organization's notice to parents, if so instructed by its sponsoring organization.</t>
  </si>
  <si>
    <t>226.18(a)(5)</t>
  </si>
  <si>
    <t>A day care home must promptly inform the sponsoring organization about any change in the number of children enrolled for care or in its licensing or approval status.</t>
  </si>
  <si>
    <t>226.18(a)(14)</t>
  </si>
  <si>
    <t>A day care home must notify their sponsoring organization in advance whenever they are planning to be out of their home during the meal service period.</t>
  </si>
  <si>
    <t>BUSINESS LEVEL TOTAL</t>
  </si>
  <si>
    <t>HOUSEHOLD LEVEL</t>
  </si>
  <si>
    <t>226.15(e)(2) &amp; 
226.17(8) &amp;
226.18 ( e)</t>
  </si>
  <si>
    <t>Enrollment documentation shall be updated annually, signed by a parent or legal guardian, and include information on child's normal days &amp; hours of care and the meals normally received while in care</t>
  </si>
  <si>
    <t>226.15(e)(2)
226.17(b)(8)
226.18(e)</t>
  </si>
  <si>
    <t xml:space="preserve">Households must annually update enrollment documentation, signed by a parent or legal guardian, and include information on enrolled children’s normal days and hours of care and the meals normally received while in care. </t>
  </si>
  <si>
    <t xml:space="preserve">Enrollment forms and free and reduced price documentation are different. This number does not include at-risk and emergency shelters. Those centers don't need enrollment forms. 
</t>
  </si>
  <si>
    <t>226.23(e)(1)</t>
  </si>
  <si>
    <t xml:space="preserve">Households of participants enrolled in institutions, day care home providers  who wish to enroll their own eligible children in the Program, and households of all children enrolled in the day care home, as applicable, must apply for free/reduced-price meals. The application must include information on household income </t>
  </si>
  <si>
    <t>Appendix D includes a Household Income Statement Template.</t>
  </si>
  <si>
    <t>226.20(g)(3)</t>
  </si>
  <si>
    <t>Written request required for food/milk substitutes</t>
  </si>
  <si>
    <t>226.20(g)</t>
  </si>
  <si>
    <t xml:space="preserve">Households must provide a written statement to support the need for substitutions, on a case-by-case basis, for foods and meals for individual participants. </t>
  </si>
  <si>
    <t>A memorandum that explains the nutrition requirements for fluid milk and fluid milk substitutes in the Program is included in Appendix E7. Nutrition Requirements for Fluid Milk and Milk Substitutions.</t>
  </si>
  <si>
    <t>HOUSEHOLD LEVEL TOTAL</t>
  </si>
  <si>
    <t xml:space="preserve"> SUMMARY OF REPORTING BURDEN</t>
  </si>
  <si>
    <t>C =  A x B</t>
  </si>
  <si>
    <t>G = E - F</t>
  </si>
  <si>
    <t>H = E - F</t>
  </si>
  <si>
    <t>I = G + H</t>
  </si>
  <si>
    <t>K = E - J</t>
  </si>
  <si>
    <t>L = E - J</t>
  </si>
  <si>
    <t>M = K + L</t>
  </si>
  <si>
    <t>State/Local/Tribal Government Burden</t>
  </si>
  <si>
    <t>Business Burden</t>
  </si>
  <si>
    <t>Household Burden</t>
  </si>
  <si>
    <t>Total Reporting Burden</t>
  </si>
  <si>
    <t>Section of Regulation / Form</t>
  </si>
  <si>
    <t>J = G - H</t>
  </si>
  <si>
    <t>K = I + J</t>
  </si>
  <si>
    <t>L</t>
  </si>
  <si>
    <t>M = G - L</t>
  </si>
  <si>
    <t>N = G - L</t>
  </si>
  <si>
    <t>O = M + N</t>
  </si>
  <si>
    <t>Collect and maintain on file CACFP agreements, records received from applicant and participating institutions and documentation of administrative review and Program assistance activities, results, and corrective actions.</t>
  </si>
  <si>
    <t>SAs must collect and maintain on file CACFP agreements (Federal/State and State/Institutions), records received from applicant and participating institutions, National Disqualified List/State Agency Lists, and documentation of administrative review (appeals) and Program assistance activities, results, and corrective actions.</t>
  </si>
  <si>
    <t>226.6(b)
226.6(d)
226.6(m)(5)
226.7(h)
226.7(i), 226.7(j)
226.7(k)
226.7(l) 
226.8</t>
  </si>
  <si>
    <t>SAs must establish and maintain Program procedures, such as procedures to determine the eligibility of institutions, including to conduct pre-approval visits; for monitoring institutions and conduction household contacts; for bid and contracts; to annually review information submitted by institutions; for claims processing and payments; for serious deficiencies; for administrative reviews; and to audit institutions.</t>
  </si>
  <si>
    <t>226.6 (n)</t>
  </si>
  <si>
    <t xml:space="preserve">Maintain record of findings of irregularities investigations </t>
  </si>
  <si>
    <t>Each SA must maintain on file evidence of complaints received or irregularities noted in connection with the operation of the program.</t>
  </si>
  <si>
    <t>226.7(b)
226.7(m)</t>
  </si>
  <si>
    <t>SAs must establish and maintain an acceptable financial management system, adhere to financial management standards and otherwise carry out financial management policies in accordance with 2 CFR part 200, subpart D and USDA implementing regulations 2 CFR part 400, part 415, and part 416, as applicable; and FNS guidance to identify allowable Program costs and set standards for institutional recordkeeping and reporting.</t>
  </si>
  <si>
    <t xml:space="preserve">226.10(d) 226.15(e), </t>
  </si>
  <si>
    <t>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State agency.</t>
  </si>
  <si>
    <t xml:space="preserve">226.10(d)
226.11(e)
226.15(e),226.15(e)(1), 226.15(e)(2)
226.17(b)(8)
226.18(e)
226.22(d)
226.22(k)
</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</si>
  <si>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claims,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</si>
  <si>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226.15(e)(3)</t>
  </si>
  <si>
    <t>Maintain documentation used to classify homes as Tier 1</t>
  </si>
  <si>
    <t>Sponsoring organizations must maintain documentation used to classify homes as Tier 1.</t>
  </si>
  <si>
    <t>226.23(h)(6)</t>
  </si>
  <si>
    <t>Maintain information to verify homes that qualify as Tier 1 based on provider's income.</t>
  </si>
  <si>
    <t>Sponsoring organizations must maintain information to verify homes that qualify as Tier 1 based on provider’s income.</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</si>
  <si>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</si>
  <si>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226.15(e)   226.17(c)    226.17a(o)  226.18(g)   226.19(c)     226.19a(c)</t>
  </si>
  <si>
    <t>226.10(d), 226.11(b)(2), 226.15(e), 226.17(b)(8), 226.17(b)(9), 226.17a(o), 226.17a(p), 226.18(b)(4), 226.18(e), 226.18(g), 226.19a(b)(8), 226.19a(b)(9), and 226.19a(b)(10)</t>
  </si>
  <si>
    <t>Facilities must collect and maintain for a period of 3 years and the current year Program applications, enrollment documents, income eligibility forms, attendance records, menu planning records, time of service, snacks and meal counts invoices and receipts, claims for reimbursement, licenses, administrative and operating costs records, training documentation, and any other records required by the SA. Adult day care centers must maintain records on the age of each enrolled person, functional impairment eligibilities are meant if under 60, and that qualified participants resides in their homes.</t>
  </si>
  <si>
    <t>SUMMARY OF RECORDKEEPING BURDEN</t>
  </si>
  <si>
    <t>C = A x B</t>
  </si>
  <si>
    <t>I</t>
  </si>
  <si>
    <t>Total Recordkeeping Burden</t>
  </si>
  <si>
    <t>226.23(d)</t>
  </si>
  <si>
    <t>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t>
  </si>
  <si>
    <t xml:space="preserve">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
</t>
  </si>
  <si>
    <t>SUMMARY OF PUBLIC DISCLOSURE BURDEN</t>
  </si>
  <si>
    <t>Total Public Disclosure Burden</t>
  </si>
  <si>
    <t>Child and Adult Food Care Program (CAFCP) ICR  (OMB Control No. 0584-0055)</t>
  </si>
  <si>
    <t xml:space="preserve"> </t>
  </si>
  <si>
    <t>TOTAL BURDEN FOR #0584-0055</t>
  </si>
  <si>
    <t>State and Local Government Level</t>
  </si>
  <si>
    <t>State Government Agencies</t>
  </si>
  <si>
    <t>=</t>
  </si>
  <si>
    <t>hours</t>
  </si>
  <si>
    <t>x</t>
  </si>
  <si>
    <t>Business Level</t>
  </si>
  <si>
    <t>Household Level</t>
  </si>
  <si>
    <t>Households</t>
  </si>
  <si>
    <t>Subtotal All Respondents</t>
  </si>
  <si>
    <t>Fringe/overhead (0.33)</t>
  </si>
  <si>
    <t>Total cost to public:</t>
  </si>
  <si>
    <t>NOTE:  Some of the values in the "Total of Reporting, Recordkeeping, and Public Disclosure" row in the table below are different to the values in the "TOTAL BURDEN FOR #0584-0055" row in the "Burden Summary" worksheet.</t>
  </si>
  <si>
    <t>Child and Adult Food Care Program (CAFCP) ICR (OMB Control No. 0584-0055)</t>
  </si>
  <si>
    <t>Respondent</t>
  </si>
  <si>
    <t>Estimated Number of Respondent</t>
  </si>
  <si>
    <t>Responses Annually per Respondent</t>
  </si>
  <si>
    <t xml:space="preserve">Total Annual Responses </t>
  </si>
  <si>
    <t xml:space="preserve">Estimated Total Hours </t>
  </si>
  <si>
    <t>Reporting Burden</t>
  </si>
  <si>
    <t>State/Local/Tribal Government Level</t>
  </si>
  <si>
    <t>State agencies</t>
  </si>
  <si>
    <t>Local government agencies</t>
  </si>
  <si>
    <t> Total Estimated Reporting Burden</t>
  </si>
  <si>
    <t>Recordkeeping Burden</t>
  </si>
  <si>
    <t> Total Estimated Recordkeeping Burden</t>
  </si>
  <si>
    <t>Public Disclosure Burden </t>
  </si>
  <si>
    <t>Total Estimated Public Disclosure Burden</t>
  </si>
  <si>
    <t xml:space="preserve">Total of Reporting, Recordkeeping, and Public Disclosure  </t>
  </si>
  <si>
    <t>Percent Electronic Responses</t>
  </si>
  <si>
    <t>Total Number of Electronic Responsees</t>
  </si>
  <si>
    <t>Reporting</t>
  </si>
  <si>
    <t>Responses That Will Be Collected Electronically</t>
  </si>
  <si>
    <t>Total number</t>
  </si>
  <si>
    <t>Percentage</t>
  </si>
  <si>
    <t>Recordkeeping</t>
  </si>
  <si>
    <t>Public Disclosure</t>
  </si>
  <si>
    <t>Child and Adult Food Care Program (CAFCP) ICR Labor Rates (OMB Control No. 0584-0055)</t>
  </si>
  <si>
    <t>Enter Data</t>
  </si>
  <si>
    <t>Calculation; Do not enter data</t>
  </si>
  <si>
    <t>Item</t>
  </si>
  <si>
    <t>Estimate in Previously Approved ICR</t>
  </si>
  <si>
    <t>Updated Estimate</t>
  </si>
  <si>
    <t>Difference in Estimate</t>
  </si>
  <si>
    <t>Number</t>
  </si>
  <si>
    <t>Data Source</t>
  </si>
  <si>
    <t>State Agencies that currently administer the Program in their State</t>
  </si>
  <si>
    <t>Previously approved ICR, dated 092816</t>
  </si>
  <si>
    <t>All 50 States, District of Columbia, Guam, Puerto Rico, and the U.S. Virgin Islands administer the CACFP. The child and adult components of CACFP are administered by two separate SAs in Florida and Illinois.</t>
  </si>
  <si>
    <t>Number of State Agencies that will establish licensing/compliance review procedures for child care centers, at-risk afterschool care centers, outside-school-hours care centers, day care homes, and adult day care centers</t>
  </si>
  <si>
    <t>Number of State Agencies that will establish alternate procedures for review of institutions for which licensing or approval is not available</t>
  </si>
  <si>
    <t>Number of State Agencies that will submit to State commodity distribution agency list of institutions receiving commodities by June 1</t>
  </si>
  <si>
    <t>Number of State Agencies that will establish/revise administrative review (appeal) procedures for day care home providers AND notify the appropriate FNSRO of any change to the procedures or the selected option for offering an administrative review (appeal) to day care home providers</t>
  </si>
  <si>
    <t>Number of State Agencies that will revise/edit household contact procedures and submit changes to FNSRO</t>
  </si>
  <si>
    <t>Number of State Agencies that will develop/revise and provide sponsoring organization agreement between sponsor and facilities</t>
  </si>
  <si>
    <t>Number of State Agencies that will receive a request from a sponsoring organization for an administrative costs limit waiver</t>
  </si>
  <si>
    <t>Not Applicable</t>
  </si>
  <si>
    <t>Assumption</t>
  </si>
  <si>
    <t>Number of State Agencies that will establish procedures for start ups, advances, and recovery of over-payments</t>
  </si>
  <si>
    <r>
      <t xml:space="preserve">Institutions (includes local government and business entities)
</t>
    </r>
    <r>
      <rPr>
        <sz val="12"/>
        <color theme="1"/>
        <rFont val="Calibri"/>
        <family val="2"/>
        <scheme val="minor"/>
      </rPr>
      <t>(An institution is either a sponsoring organization or an independent child care center.)</t>
    </r>
  </si>
  <si>
    <t>Sponsoring organizations that are local governments</t>
  </si>
  <si>
    <r>
      <t xml:space="preserve">Data provided in August 31, 2020 email from Laura Roth, FNS. Based on data collected in </t>
    </r>
    <r>
      <rPr>
        <i/>
        <sz val="11"/>
        <color theme="1"/>
        <rFont val="Calibri"/>
        <family val="2"/>
        <scheme val="minor"/>
      </rPr>
      <t>CACFP Sponsor and Provider Characteristics Study (https://www.fns.usda.gov/child-and-adult-care-food-program-cacfp-sponsor-and-provider-characteristics-study#:~:text=The%20CACFP%20Sponsor%20and%20Provider,afterschool%20care%20programs%2C%20emergency%20shelters%2C). For reference, Exhibit 1.6 in Volume II of the report details the distribution of CACFP sponsors by private non-profit, private for-profit, or public agency.</t>
    </r>
  </si>
  <si>
    <t>Sponsoring organizations that are businesses</t>
  </si>
  <si>
    <r>
      <t xml:space="preserve">Sponsoring organizations that are local governments - </t>
    </r>
    <r>
      <rPr>
        <sz val="11"/>
        <color rgb="FFFF0000"/>
        <rFont val="Calibri"/>
        <family val="2"/>
        <scheme val="minor"/>
      </rPr>
      <t>Requirements specific to sponsors of family day care homes</t>
    </r>
  </si>
  <si>
    <r>
      <t xml:space="preserve">Sponsoring organizations that are businesses - </t>
    </r>
    <r>
      <rPr>
        <sz val="11"/>
        <color rgb="FFFF0000"/>
        <rFont val="Calibri"/>
        <family val="2"/>
        <scheme val="minor"/>
      </rPr>
      <t>Requirements specific to sponsors of family day care homes</t>
    </r>
  </si>
  <si>
    <t>Sponsoring organizations (centers and homes)</t>
  </si>
  <si>
    <t>National Database, “Calc: CACFP Total Sponsors (CENTERS+HOMES)” data field, FY2019. Data current as of August 12, 2020. (Refer to "National DB Data_20200812_2" worksheet in this file.)</t>
  </si>
  <si>
    <t>Sponsoring organizations (all homes)</t>
  </si>
  <si>
    <t>National Database, “Calc: CACFP Total Sponsors of All Homes” data field, FY2019.  Data current as of August 12, 2020. (Refer to "National DB Data_20200812_2" worksheet in this file.) worksheet in this file.)</t>
  </si>
  <si>
    <t>Annual number of investigations conducted by the State or by the Food and Nutrition Service (FNS) and the Office of the Inspector General (OIG) on irregularities noted in connection with the operation of the Program</t>
  </si>
  <si>
    <t xml:space="preserve">Annual number of institutions that submit documentation to verify for profit center eligibility. </t>
  </si>
  <si>
    <t>Data provided by FNS.</t>
  </si>
  <si>
    <t>Annual number of new institutions that submit an application for participation in the Program</t>
  </si>
  <si>
    <t>Based on program data, on average, 5 new institutions per State would submit an application (i.e., 56 x 5= 280).</t>
  </si>
  <si>
    <t>Number of at-risk after school centers</t>
  </si>
  <si>
    <t>Not Available</t>
  </si>
  <si>
    <t>[National Database, “At-Risk After School Centers” data field, FY2019]. Data current as of August 12, 2020. (Refer to "National DB Data_20200812_2" worksheet in this file.)</t>
  </si>
  <si>
    <t xml:space="preserve">Number of institutions that will offer free and reduced-price meals. </t>
  </si>
  <si>
    <t>Calculation:  [National Database, “Calc: CACFP Total Sponsors (CENTERS+HOMES)” data field, FY2019] + [National Database, “Proprietary Title XX Centers” data field, FY2019] + [National Database, “Outside Sch Hr Centers” data field, FY2019] - [National Database, “At-Risk After School Centers” data field, FY2019] - [National Database, “Headstart Centers” data field, FY2019] - [National Database, “Homeless Centers” data field, FY2019]. Data current as of August 12, 2020. (Refer to "National DB Data_20200812_2" worksheet in this file.)</t>
  </si>
  <si>
    <t xml:space="preserve">FNS calculated this by taking the total number of all CACFP sponsors/all homes and centers adding Proprietary Total XX centers and adding outside school hour centers, then subtracting out at risk sponsors, and head start, homeless centers because these homes are automatically eligible and no forms are necessary. </t>
  </si>
  <si>
    <t xml:space="preserve">Number of institutions that will obtain written consent from the child's parents or guardians prior to use or disclose </t>
  </si>
  <si>
    <r>
      <t xml:space="preserve">Facilities
</t>
    </r>
    <r>
      <rPr>
        <sz val="12"/>
        <color theme="1"/>
        <rFont val="Calibri"/>
        <family val="2"/>
        <scheme val="minor"/>
      </rPr>
      <t>(Facilities means a sponsored center or a day care home provider.)</t>
    </r>
  </si>
  <si>
    <t>Sponsored center facilities</t>
  </si>
  <si>
    <t>Calculation:  [National Database, “Outlets All Child Care Centers” data field, FY2019] + [National Database, “Outlets Adult Care Centers” data field, FY2019].  Data current as of August 12, 2020. (Refer to "National DB Data_20200812_2" worksheet in this file.)</t>
  </si>
  <si>
    <t>Family day care homes</t>
  </si>
  <si>
    <t>National Database, “Calc: CACFP Total Number of Homes” data field, FY2019.  Data current as of August 12, 2020. (Refer to "National DB Data_20200812_1" worksheet in this file.)</t>
  </si>
  <si>
    <t>Total Homes Tier 1</t>
  </si>
  <si>
    <t>National Database, “Calc: CACFP Total Homes Tier I” data field, FY2019.  Data current as of August 12, 2020. (Refer to "National DB Data_20200812_2" worksheet in this file.)</t>
  </si>
  <si>
    <t>Average Number of Tier 1 providers</t>
  </si>
  <si>
    <t>Calculation:  [“Calc: CACFP Total Homes Tier I” data field, FY2019] / ["Calc: CACFP Total Sponsors of All Homes” data field, FY2019].  Data current as of August 12, 2020. (Refer to "National DB Data_20200812_2" worksheet in this file.)</t>
  </si>
  <si>
    <t>Number of participants</t>
  </si>
  <si>
    <t>National Database, “Calc: CACFP Total Avg. Daily Attendance” data field, FY2019.  Data current as of August 12, 2020. (Refer to "National DB Data_20200812_1" worksheet in this file.)</t>
  </si>
  <si>
    <t>Percent of free meals served at CACFP child care centers</t>
  </si>
  <si>
    <t>Based on program data, around 69.31% of meals served at CACFP child care centers are free meals. Percentage rounded to 70 %.</t>
  </si>
  <si>
    <t xml:space="preserve">Around 70% of meals served at CACFP child care centers are free meals. </t>
  </si>
  <si>
    <t>Calculation: [National Database, “Calc: CACFP Total Avg. Daily Attendance” data field, FY2019.  Data current as of August 12, 2020. (Refer to "National DB Data_20200812_1" worksheet in this file.)] * [Percent of free meals served at CACFP child care centers]</t>
  </si>
  <si>
    <t>% poor participants (ages 0 to 17) with food allergies</t>
  </si>
  <si>
    <t>"Poor" children live in families defined as below the poverty threshold. 
Source: CDC. "Table C-2a. Age-adjusted percentages (with standard errors) of hay fever, respiratory allergies, food allergies, and skin allergies in the past 12 months for children under age 18 years, by selected characteristics: United States, 2018." Food Allergies. Available at https://ftp.cdc.gov/pub/Health_Statistics/NCHS/NHIS/SHS/2018_SHS_Table_C-2.pdf, last accessed on August 16, 2020.</t>
  </si>
  <si>
    <t>Number participants with food allergies</t>
  </si>
  <si>
    <t>Calculation: [National Database, “Calc: CACFP Total Avg. Daily Attendance” data field, FY2019] * [% poor participants (ages 0 to 17) with food allergies].  National Database data current as of August 12, 2020. (Refer to "National DB Data_20200812_1" worksheet in this file.)</t>
  </si>
  <si>
    <t>Type of Respondent</t>
  </si>
  <si>
    <t>UNLOADED Loaded Hourly Wage Rate</t>
  </si>
  <si>
    <t>Bureau of Labor Statistics (BLS) Occupational Employment and Wages Statistics data from May 2020; Occupation Code 11-9031 Education and Childcare Administrators, Preschool and Daycare; Mean Hourly Wage Rate for State Government = $41.30. Available at https://www.bls.gov/oes/current/naics4_999200.htm#11-0000, last accessed on May 20, 2021.</t>
  </si>
  <si>
    <t>Local agencies</t>
  </si>
  <si>
    <t>Bureau of Labor Statistics (BLS) Occupational Employment and Wages Statistics data from May 2020; Occupation Code 11-9031 Education and Childcare Administrators, Preschool and Daycare; Mean Hourly Wage Rate for Local Government = $30.54. Available at https://www.bls.gov/oes/current/naics4_999300.htm#11-0000, last accessed on May 20, 2021.</t>
  </si>
  <si>
    <t>Bureau of Labor Statistics (BLS) Occupational Employment and Wages Statistics data from May 2020; Occupation Code 11-9031 Education and Childcare Administrators, Preschool and Daycare; Mean Hourly Wage Rate = $24.78. Available at https://www.bls.gov/oes/current/naics4_624400.htm#11-0000, last accessed on May 20, 2021.</t>
  </si>
  <si>
    <t>Bureau of Labor Statistics (BLS) Occupational Employment and Wages Statistics data from May 2020; Occupation Code 39-9011 Childcare Workers; Mean Hourly Wage Rate = $12.88. Available at https://www.bls.gov/oes/current/oes_nat.htm#00-0000, last accessed on May 20, 2021.</t>
  </si>
  <si>
    <t>U.S. Department of Labor. Available at http://www.dol.gov/whd/minimumwage.htm, last accessed on May 20, 2021.</t>
  </si>
  <si>
    <t>NATIONAL DATA BANK VERSION 8.2 PRELOAD</t>
  </si>
  <si>
    <t/>
  </si>
  <si>
    <t>Value used in "Assumptions" Worksheet</t>
  </si>
  <si>
    <t>SC2s - UP TO 50 VARIABLES - MONTHLY/ANNUAL DATA</t>
  </si>
  <si>
    <t>U.S. SUMMARY</t>
  </si>
  <si>
    <t>Calc: CACFP Total Avg. Daily Attendance</t>
  </si>
  <si>
    <t>Calc: CACFP Total Sponsors (CENTERS+HOMES)</t>
  </si>
  <si>
    <t>Calc: CACFP Total Outlets (CENTERS+HOMES)</t>
  </si>
  <si>
    <t>Calc: CACFP Total Sponsors of All Homes</t>
  </si>
  <si>
    <t>Calc: CACFP Total Number of Homes</t>
  </si>
  <si>
    <t>Calc: CACFP Total Homes Tier I</t>
  </si>
  <si>
    <t>Outlets All Child Care Centers</t>
  </si>
  <si>
    <t>Outlets Adult Care Centers</t>
  </si>
  <si>
    <t>Value used in Burden Calculations</t>
  </si>
  <si>
    <t>FY 2020</t>
  </si>
  <si>
    <t>FY 2019</t>
  </si>
  <si>
    <t>FY 2018</t>
  </si>
  <si>
    <t>NATIONAL DATA BANK VERSION 8.2 PUBLIC USE</t>
  </si>
  <si>
    <t>SC2 - UP TO 99 VARIABLES - MONTHLY/ANNUAL DATA</t>
  </si>
  <si>
    <t>Sponsors/Instit of Child Care Centers Only</t>
  </si>
  <si>
    <t>Sponsors Child Care &amp; Day Care</t>
  </si>
  <si>
    <t>Proprietary Title XX Centers</t>
  </si>
  <si>
    <t>Outside Sch Hr Centers</t>
  </si>
  <si>
    <t>Headstart Centers</t>
  </si>
  <si>
    <t>Homeless Centers</t>
  </si>
  <si>
    <t>At-Risk After School Centers</t>
  </si>
  <si>
    <t>Outlets Outside Sch Hour Centers</t>
  </si>
  <si>
    <t>Outlets Headstart Centers</t>
  </si>
  <si>
    <t>Outlets Homeless</t>
  </si>
  <si>
    <t>Outlets After Sch At-Risk</t>
  </si>
  <si>
    <t>Calc: CACFP Sponsors Centers Only</t>
  </si>
  <si>
    <t>Tier II High Homes</t>
  </si>
  <si>
    <t>Tier II Lower Homes</t>
  </si>
  <si>
    <t>Tier II Mixed Homes</t>
  </si>
  <si>
    <t>226.20(f)</t>
  </si>
  <si>
    <t>Child and Adult Care Food Program Operators (institutions) maintain documentation demonstrating that service sites qualify for the menu planning option to serve vegetables to meet the grains requirement by serving primarily American Indian and Alaska Native children.</t>
  </si>
  <si>
    <t>Child and Adult Care Food Program Operators (facilities) maintain documentation demonstrating that service sites qualify for the menu planning option to serve vegetables to meet the grains requirement by serving primarily American Indian and Alaska Native children.</t>
  </si>
  <si>
    <t>Attachment A.	Burden Chart for OMB Control Number 0584-0055, Final Rule, Child Nutrition Programs: Meal Patterns Consistent with the 2020-2025 Dietary Guidelines for Americans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</si>
</sst>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 [$€-1];[Red]\-#,##0.00\ [$€-1]"/>
    <numFmt numFmtId="165" formatCode="#,##0.000"/>
    <numFmt numFmtId="166" formatCode="#,##0.0000"/>
    <numFmt numFmtId="167" formatCode="0.000"/>
    <numFmt numFmtId="168" formatCode="0.0%"/>
    <numFmt numFmtId="169" formatCode="0.0000%"/>
    <numFmt numFmtId="170" formatCode="&quot;$&quot;#,##0.00"/>
    <numFmt numFmtId="171" formatCode="#,##0.0"/>
    <numFmt numFmtId="172" formatCode="0.0000"/>
    <numFmt numFmtId="173" formatCode="&quot;$&quot;#,##0"/>
    <numFmt numFmtId="174" formatCode="#,##0.000000"/>
  </numFmts>
  <fonts count="31"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1"/>
      <color rgb="FFFF0000"/>
      <name val="Calibri"/>
      <family val="2"/>
      <scheme val="minor"/>
    </font>
    <font>
      <b/>
      <sz val="14"/>
      <color theme="1"/>
      <name val="Calibri"/>
      <family val="2"/>
      <scheme val="minor"/>
    </font>
    <font>
      <b/>
      <sz val="14"/>
      <name val="Calibri"/>
      <family val="2"/>
      <scheme val="minor"/>
    </font>
    <font>
      <sz val="11"/>
      <color theme="1"/>
      <name val="Calibri"/>
      <family val="2"/>
      <scheme val="minor"/>
    </font>
    <font>
      <sz val="12"/>
      <color theme="1"/>
      <name val="Calibri"/>
      <family val="2"/>
      <scheme val="minor"/>
    </font>
    <font>
      <b/>
      <sz val="8"/>
      <name val="Arial"/>
      <family val="2"/>
    </font>
    <font>
      <sz val="8"/>
      <name val="Arial"/>
      <family val="2"/>
    </font>
    <font>
      <vertAlign val="superscript"/>
      <sz val="10"/>
      <name val="Arial"/>
      <family val="2"/>
    </font>
    <font>
      <sz val="10"/>
      <name val="Arial"/>
      <family val="2"/>
    </font>
    <font>
      <b/>
      <vertAlign val="superscript"/>
      <sz val="8"/>
      <name val="Arial"/>
      <family val="2"/>
    </font>
    <font>
      <sz val="11"/>
      <color rgb="FF000000"/>
      <name val="Calibri"/>
      <family val="2"/>
      <scheme val="minor"/>
    </font>
    <font>
      <b/>
      <sz val="11"/>
      <color rgb="FF0070C0"/>
      <name val="Calibri"/>
      <family val="2"/>
      <scheme val="minor"/>
    </font>
    <font>
      <b/>
      <sz val="18"/>
      <color theme="1"/>
      <name val="Calibri"/>
      <family val="2"/>
      <scheme val="minor"/>
    </font>
    <font>
      <i/>
      <sz val="11"/>
      <color theme="1"/>
      <name val="Calibri"/>
      <family val="2"/>
      <scheme val="minor"/>
    </font>
    <font>
      <b/>
      <sz val="14"/>
      <color rgb="FFFF0000"/>
      <name val="Calibri"/>
      <family val="2"/>
      <scheme val="minor"/>
    </font>
    <font>
      <sz val="11"/>
      <color rgb="FFFF0000"/>
      <name val="Calibri"/>
      <family val="2"/>
      <scheme val="minor"/>
    </font>
    <font>
      <sz val="12"/>
      <color rgb="FF000000"/>
      <name val="Times New Roman"/>
      <family val="1"/>
    </font>
    <font>
      <b/>
      <i/>
      <sz val="12"/>
      <color theme="1"/>
      <name val="Calibri"/>
      <family val="2"/>
      <scheme val="minor"/>
    </font>
    <font>
      <b/>
      <sz val="14"/>
      <color rgb="FF0070C0"/>
      <name val="Calibri"/>
      <family val="2"/>
      <scheme val="minor"/>
    </font>
    <font>
      <b/>
      <sz val="12"/>
      <name val="Calibri"/>
      <family val="2"/>
      <scheme val="minor"/>
    </font>
    <font>
      <sz val="9"/>
      <color indexed="81"/>
      <name val="Tahoma"/>
      <family val="2"/>
    </font>
    <font>
      <b/>
      <sz val="9"/>
      <color indexed="81"/>
      <name val="Tahoma"/>
      <family val="2"/>
    </font>
    <font>
      <sz val="11"/>
      <color rgb="FF000000"/>
      <name val="Calibri"/>
      <family val="2"/>
    </font>
    <font>
      <sz val="11"/>
      <color rgb="FF000000"/>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D9D9D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92D05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22"/>
      </bottom>
      <diagonal/>
    </border>
    <border>
      <left/>
      <right/>
      <top style="medium">
        <color indexed="22"/>
      </top>
      <bottom style="medium">
        <color indexed="2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s>
  <cellStyleXfs count="4">
    <xf numFmtId="0" fontId="0" fillId="0" borderId="0"/>
    <xf numFmtId="9" fontId="10"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cellStyleXfs>
  <cellXfs count="334">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center" vertical="center" wrapText="1"/>
    </xf>
    <xf numFmtId="3" fontId="0" fillId="0" borderId="0" xfId="0" applyNumberFormat="1" applyAlignment="1">
      <alignment horizontal="center" vertical="center"/>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5" fillId="0" borderId="1" xfId="0" applyFont="1" applyBorder="1" applyAlignment="1">
      <alignment horizontal="right" vertical="top"/>
    </xf>
    <xf numFmtId="3" fontId="1" fillId="4" borderId="1" xfId="0" applyNumberFormat="1" applyFont="1" applyFill="1" applyBorder="1" applyAlignment="1">
      <alignment horizontal="center" vertical="center"/>
    </xf>
    <xf numFmtId="0" fontId="1" fillId="4" borderId="1" xfId="0" applyFont="1" applyFill="1" applyBorder="1"/>
    <xf numFmtId="0" fontId="1" fillId="0" borderId="0" xfId="0" applyFont="1" applyAlignment="1">
      <alignment horizontal="center" vertical="center"/>
    </xf>
    <xf numFmtId="165" fontId="0" fillId="0" borderId="0" xfId="0" applyNumberFormat="1" applyAlignment="1">
      <alignment horizontal="center" vertical="center"/>
    </xf>
    <xf numFmtId="165" fontId="1" fillId="4" borderId="1" xfId="0" applyNumberFormat="1" applyFont="1" applyFill="1" applyBorder="1" applyAlignment="1">
      <alignment horizontal="center" vertical="center"/>
    </xf>
    <xf numFmtId="165" fontId="3" fillId="0" borderId="1" xfId="0" applyNumberFormat="1" applyFont="1" applyBorder="1" applyAlignment="1">
      <alignment horizontal="center"/>
    </xf>
    <xf numFmtId="165" fontId="5" fillId="0" borderId="1" xfId="0" applyNumberFormat="1" applyFont="1" applyBorder="1" applyAlignment="1">
      <alignment horizontal="center"/>
    </xf>
    <xf numFmtId="4" fontId="0" fillId="0" borderId="0" xfId="0" applyNumberFormat="1" applyAlignment="1">
      <alignment horizontal="center" vertical="center"/>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3" fontId="5" fillId="0" borderId="1" xfId="0" applyNumberFormat="1" applyFont="1" applyBorder="1" applyAlignment="1">
      <alignment horizontal="center"/>
    </xf>
    <xf numFmtId="3" fontId="4" fillId="0" borderId="1" xfId="0" applyNumberFormat="1" applyFont="1" applyBorder="1" applyAlignment="1">
      <alignment horizontal="center"/>
    </xf>
    <xf numFmtId="165" fontId="6" fillId="0" borderId="1" xfId="0" applyNumberFormat="1" applyFont="1" applyBorder="1" applyAlignment="1">
      <alignment horizontal="center"/>
    </xf>
    <xf numFmtId="0" fontId="1" fillId="0" borderId="1" xfId="0" applyFont="1" applyBorder="1" applyAlignment="1">
      <alignment vertical="center" wrapText="1"/>
    </xf>
    <xf numFmtId="0" fontId="1" fillId="0" borderId="3" xfId="0" applyFont="1" applyBorder="1" applyAlignment="1">
      <alignment horizontal="center" vertical="center"/>
    </xf>
    <xf numFmtId="165" fontId="4" fillId="0" borderId="1" xfId="0" applyNumberFormat="1" applyFont="1" applyBorder="1" applyAlignment="1">
      <alignment horizontal="center"/>
    </xf>
    <xf numFmtId="165" fontId="0" fillId="0" borderId="1" xfId="0" applyNumberFormat="1" applyBorder="1" applyAlignment="1">
      <alignment horizontal="center" vertical="center"/>
    </xf>
    <xf numFmtId="0" fontId="13" fillId="0" borderId="0" xfId="0" applyFont="1" applyAlignment="1">
      <alignment horizontal="right"/>
    </xf>
    <xf numFmtId="0" fontId="12" fillId="0" borderId="0" xfId="0" applyFont="1" applyAlignment="1">
      <alignment horizontal="center"/>
    </xf>
    <xf numFmtId="0" fontId="14" fillId="0" borderId="0" xfId="0" applyFont="1" applyAlignment="1">
      <alignment horizontal="left"/>
    </xf>
    <xf numFmtId="0" fontId="12" fillId="0" borderId="0" xfId="0" applyFont="1"/>
    <xf numFmtId="0" fontId="12" fillId="0" borderId="10" xfId="0" applyFont="1" applyBorder="1"/>
    <xf numFmtId="0" fontId="15" fillId="0" borderId="0" xfId="0" applyFont="1"/>
    <xf numFmtId="0" fontId="12"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3" fillId="0" borderId="0" xfId="0" applyFont="1" applyAlignment="1">
      <alignment horizontal="left"/>
    </xf>
    <xf numFmtId="3" fontId="13" fillId="0" borderId="0" xfId="0" applyNumberFormat="1" applyFont="1" applyAlignment="1">
      <alignment horizontal="right"/>
    </xf>
    <xf numFmtId="3" fontId="14" fillId="0" borderId="0" xfId="0" applyNumberFormat="1" applyFont="1" applyAlignment="1">
      <alignment horizontal="left"/>
    </xf>
    <xf numFmtId="3" fontId="13" fillId="6" borderId="0" xfId="0" applyNumberFormat="1" applyFont="1" applyFill="1" applyAlignment="1">
      <alignment horizontal="right"/>
    </xf>
    <xf numFmtId="10" fontId="0" fillId="0" borderId="1" xfId="1" applyNumberFormat="1"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wrapText="1"/>
    </xf>
    <xf numFmtId="0" fontId="1" fillId="7" borderId="1" xfId="0" applyFont="1" applyFill="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vertical="center"/>
    </xf>
    <xf numFmtId="168" fontId="0" fillId="7" borderId="1" xfId="1" applyNumberFormat="1" applyFont="1" applyFill="1" applyBorder="1" applyAlignment="1">
      <alignment horizontal="center" vertical="center"/>
    </xf>
    <xf numFmtId="0" fontId="0" fillId="0" borderId="1" xfId="0" applyBorder="1" applyAlignment="1">
      <alignment horizontal="left" vertical="top"/>
    </xf>
    <xf numFmtId="3"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0" xfId="0" applyAlignment="1">
      <alignment vertical="center" wrapText="1"/>
    </xf>
    <xf numFmtId="0" fontId="0" fillId="0" borderId="1" xfId="0" applyBorder="1" applyAlignment="1">
      <alignment horizontal="center" vertical="center" wrapText="1"/>
    </xf>
    <xf numFmtId="169" fontId="0" fillId="0" borderId="1" xfId="1" applyNumberFormat="1" applyFont="1" applyBorder="1" applyAlignment="1">
      <alignment horizontal="center" vertical="center"/>
    </xf>
    <xf numFmtId="168" fontId="0" fillId="0" borderId="1" xfId="1" applyNumberFormat="1" applyFont="1" applyBorder="1" applyAlignment="1">
      <alignment horizontal="center" vertical="center"/>
    </xf>
    <xf numFmtId="0" fontId="0" fillId="7" borderId="1" xfId="0" applyFill="1" applyBorder="1" applyAlignment="1">
      <alignment horizontal="center" vertical="center"/>
    </xf>
    <xf numFmtId="3" fontId="0" fillId="7" borderId="1" xfId="0" applyNumberFormat="1" applyFill="1" applyBorder="1" applyAlignment="1">
      <alignment horizontal="center" vertical="center"/>
    </xf>
    <xf numFmtId="3" fontId="0" fillId="0" borderId="1" xfId="0" applyNumberFormat="1" applyBorder="1" applyAlignment="1">
      <alignment horizontal="center" vertical="center" wrapText="1"/>
    </xf>
    <xf numFmtId="0" fontId="1" fillId="0" borderId="2" xfId="0" applyFont="1" applyBorder="1" applyAlignment="1">
      <alignment horizontal="center" vertic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17" fillId="0" borderId="1" xfId="0" applyFont="1" applyBorder="1" applyAlignment="1">
      <alignment horizontal="left" vertical="top" wrapText="1"/>
    </xf>
    <xf numFmtId="0" fontId="3" fillId="0" borderId="1" xfId="0" applyFont="1" applyBorder="1" applyAlignment="1">
      <alignment horizontal="left" vertical="top" wrapText="1"/>
    </xf>
    <xf numFmtId="165" fontId="4" fillId="0" borderId="1" xfId="0" applyNumberFormat="1" applyFont="1" applyBorder="1" applyAlignment="1">
      <alignment horizontal="center" vertical="center"/>
    </xf>
    <xf numFmtId="166" fontId="0" fillId="0" borderId="1" xfId="0" applyNumberFormat="1" applyBorder="1" applyAlignment="1">
      <alignment horizontal="center" vertical="center"/>
    </xf>
    <xf numFmtId="165" fontId="6" fillId="0" borderId="1" xfId="0" applyNumberFormat="1" applyFont="1" applyBorder="1" applyAlignment="1">
      <alignment horizontal="center" vertical="center"/>
    </xf>
    <xf numFmtId="167" fontId="1" fillId="4" borderId="1" xfId="0" applyNumberFormat="1" applyFont="1" applyFill="1" applyBorder="1" applyAlignment="1">
      <alignment horizontal="center" vertical="center"/>
    </xf>
    <xf numFmtId="0" fontId="1" fillId="4" borderId="1" xfId="0" applyFont="1" applyFill="1" applyBorder="1" applyAlignment="1">
      <alignment vertical="center"/>
    </xf>
    <xf numFmtId="0" fontId="4" fillId="0" borderId="1" xfId="0" applyFont="1" applyBorder="1" applyAlignment="1">
      <alignment vertical="top" wrapText="1"/>
    </xf>
    <xf numFmtId="164" fontId="0" fillId="0" borderId="1" xfId="0" applyNumberFormat="1" applyBorder="1" applyAlignment="1">
      <alignment horizontal="left" vertical="top" wrapText="1"/>
    </xf>
    <xf numFmtId="0" fontId="1" fillId="0" borderId="1" xfId="0" applyFont="1" applyBorder="1" applyAlignment="1">
      <alignment vertical="center"/>
    </xf>
    <xf numFmtId="0" fontId="1" fillId="0" borderId="1" xfId="0" applyFont="1" applyBorder="1" applyAlignment="1">
      <alignment vertical="top" wrapText="1"/>
    </xf>
    <xf numFmtId="0" fontId="5" fillId="0" borderId="0" xfId="0" applyFont="1"/>
    <xf numFmtId="165" fontId="5" fillId="0" borderId="3"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0" fontId="0" fillId="0" borderId="0" xfId="0" applyAlignment="1">
      <alignment horizontal="center" wrapText="1"/>
    </xf>
    <xf numFmtId="4" fontId="0" fillId="0" borderId="0" xfId="0" applyNumberFormat="1"/>
    <xf numFmtId="0" fontId="1" fillId="0" borderId="16" xfId="0" applyFont="1" applyBorder="1" applyAlignment="1">
      <alignment horizontal="center" vertical="center"/>
    </xf>
    <xf numFmtId="0" fontId="0" fillId="0" borderId="17" xfId="0" applyBorder="1" applyAlignment="1">
      <alignment horizontal="left" vertical="center"/>
    </xf>
    <xf numFmtId="170" fontId="0" fillId="0" borderId="18" xfId="0" applyNumberFormat="1" applyBorder="1" applyAlignment="1">
      <alignment horizontal="center" vertical="center"/>
    </xf>
    <xf numFmtId="0" fontId="0" fillId="0" borderId="19" xfId="0" applyBorder="1" applyAlignment="1">
      <alignment horizontal="left" vertical="center" wrapText="1"/>
    </xf>
    <xf numFmtId="170" fontId="0" fillId="0" borderId="1" xfId="0" applyNumberForma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wrapText="1"/>
    </xf>
    <xf numFmtId="170" fontId="0" fillId="0" borderId="4" xfId="0" applyNumberFormat="1" applyBorder="1" applyAlignment="1">
      <alignment horizontal="center" vertical="center"/>
    </xf>
    <xf numFmtId="170" fontId="0" fillId="0" borderId="21" xfId="0" applyNumberFormat="1" applyBorder="1" applyAlignment="1">
      <alignment horizontal="center" vertical="center"/>
    </xf>
    <xf numFmtId="0" fontId="5" fillId="0" borderId="15" xfId="0" applyFont="1" applyBorder="1" applyAlignment="1">
      <alignment horizontal="right" vertical="center" indent="1"/>
    </xf>
    <xf numFmtId="165" fontId="4" fillId="0" borderId="16" xfId="0" applyNumberFormat="1" applyFont="1" applyBorder="1" applyAlignment="1">
      <alignment horizontal="center" vertical="center"/>
    </xf>
    <xf numFmtId="0" fontId="6" fillId="0" borderId="17" xfId="0" applyFont="1" applyBorder="1" applyAlignment="1">
      <alignment horizontal="right" vertical="center" indent="1"/>
    </xf>
    <xf numFmtId="3" fontId="6" fillId="0" borderId="18" xfId="0" applyNumberFormat="1" applyFont="1" applyBorder="1" applyAlignment="1">
      <alignment horizontal="center" vertical="center"/>
    </xf>
    <xf numFmtId="165" fontId="6" fillId="0" borderId="18" xfId="0" applyNumberFormat="1" applyFont="1" applyBorder="1" applyAlignment="1">
      <alignment horizontal="center" vertical="center"/>
    </xf>
    <xf numFmtId="165" fontId="6" fillId="0" borderId="19" xfId="0" applyNumberFormat="1" applyFont="1" applyBorder="1" applyAlignment="1">
      <alignment horizontal="center" vertical="center"/>
    </xf>
    <xf numFmtId="3" fontId="0" fillId="0" borderId="0" xfId="0" applyNumberFormat="1"/>
    <xf numFmtId="10" fontId="0" fillId="0" borderId="0" xfId="0" applyNumberFormat="1" applyAlignment="1">
      <alignment vertical="center"/>
    </xf>
    <xf numFmtId="3" fontId="0" fillId="0" borderId="0" xfId="0" applyNumberFormat="1" applyAlignment="1">
      <alignment vertical="center"/>
    </xf>
    <xf numFmtId="0" fontId="17" fillId="0" borderId="1" xfId="0" applyFont="1" applyBorder="1" applyAlignment="1">
      <alignment horizontal="left" vertical="top"/>
    </xf>
    <xf numFmtId="0" fontId="0" fillId="0" borderId="1" xfId="0" quotePrefix="1" applyBorder="1" applyAlignment="1">
      <alignment horizontal="left" vertical="top" wrapText="1"/>
    </xf>
    <xf numFmtId="0" fontId="1" fillId="0" borderId="29" xfId="0" applyFont="1" applyBorder="1"/>
    <xf numFmtId="0" fontId="0" fillId="0" borderId="22" xfId="0"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vertical="center" wrapText="1"/>
    </xf>
    <xf numFmtId="0" fontId="6" fillId="0" borderId="41" xfId="0" applyFont="1" applyBorder="1" applyAlignment="1">
      <alignment horizontal="center" vertical="center" wrapText="1"/>
    </xf>
    <xf numFmtId="0" fontId="5" fillId="0" borderId="40" xfId="0" applyFont="1" applyBorder="1" applyAlignment="1">
      <alignment horizontal="center" vertical="center" wrapText="1"/>
    </xf>
    <xf numFmtId="165" fontId="5" fillId="0" borderId="42" xfId="0" applyNumberFormat="1" applyFont="1" applyBorder="1" applyAlignment="1">
      <alignment horizontal="center" vertical="center" wrapText="1"/>
    </xf>
    <xf numFmtId="170" fontId="0" fillId="0" borderId="0" xfId="0" applyNumberFormat="1" applyAlignment="1">
      <alignment horizontal="center" vertical="center"/>
    </xf>
    <xf numFmtId="0" fontId="20" fillId="0" borderId="1" xfId="0" applyFont="1" applyBorder="1" applyAlignment="1">
      <alignment horizontal="center" vertical="top" wrapText="1"/>
    </xf>
    <xf numFmtId="0" fontId="20" fillId="0" borderId="1" xfId="0" applyFont="1" applyBorder="1" applyAlignment="1">
      <alignment horizontal="center" vertical="center"/>
    </xf>
    <xf numFmtId="3" fontId="20" fillId="0" borderId="1" xfId="0" applyNumberFormat="1" applyFont="1" applyBorder="1" applyAlignment="1">
      <alignment horizontal="center" vertical="center"/>
    </xf>
    <xf numFmtId="165" fontId="20" fillId="0" borderId="1" xfId="0" applyNumberFormat="1" applyFont="1" applyBorder="1" applyAlignment="1">
      <alignment horizontal="center" vertical="center"/>
    </xf>
    <xf numFmtId="3" fontId="20" fillId="0" borderId="1" xfId="0" applyNumberFormat="1" applyFont="1" applyBorder="1" applyAlignment="1">
      <alignment horizontal="center" vertical="top" wrapText="1"/>
    </xf>
    <xf numFmtId="4" fontId="20" fillId="0" borderId="1" xfId="0" applyNumberFormat="1" applyFont="1" applyBorder="1" applyAlignment="1">
      <alignment horizontal="center" vertical="center"/>
    </xf>
    <xf numFmtId="43" fontId="0" fillId="0" borderId="0" xfId="2" applyFont="1" applyBorder="1"/>
    <xf numFmtId="43" fontId="0" fillId="0" borderId="0" xfId="0" applyNumberFormat="1"/>
    <xf numFmtId="14" fontId="13" fillId="0" borderId="0" xfId="0" applyNumberFormat="1" applyFont="1" applyAlignment="1">
      <alignment horizontal="right"/>
    </xf>
    <xf numFmtId="14" fontId="13" fillId="0" borderId="0" xfId="0" applyNumberFormat="1" applyFont="1"/>
    <xf numFmtId="0" fontId="13" fillId="0" borderId="0" xfId="0" applyFont="1"/>
    <xf numFmtId="3" fontId="13" fillId="8" borderId="0" xfId="0" applyNumberFormat="1" applyFont="1" applyFill="1" applyAlignment="1">
      <alignment horizontal="right"/>
    </xf>
    <xf numFmtId="0" fontId="12" fillId="8" borderId="0" xfId="0" applyFont="1" applyFill="1" applyAlignment="1">
      <alignment horizontal="center" vertical="center" wrapText="1"/>
    </xf>
    <xf numFmtId="0" fontId="12" fillId="0" borderId="0" xfId="0" applyFont="1" applyAlignment="1">
      <alignment vertical="center" wrapText="1"/>
    </xf>
    <xf numFmtId="0" fontId="21" fillId="0" borderId="0" xfId="0" applyFont="1" applyAlignment="1">
      <alignment vertical="center" wrapText="1"/>
    </xf>
    <xf numFmtId="0" fontId="0" fillId="0" borderId="0" xfId="0" applyAlignment="1">
      <alignment horizontal="left" vertical="top"/>
    </xf>
    <xf numFmtId="0" fontId="4" fillId="0" borderId="1" xfId="0" quotePrefix="1" applyFont="1" applyBorder="1" applyAlignment="1">
      <alignment horizontal="left" vertical="top" wrapText="1"/>
    </xf>
    <xf numFmtId="0" fontId="0" fillId="2" borderId="1" xfId="0" applyFill="1" applyBorder="1" applyAlignment="1">
      <alignment horizontal="center" vertical="top"/>
    </xf>
    <xf numFmtId="0" fontId="21" fillId="0" borderId="0" xfId="0" applyFont="1" applyAlignment="1">
      <alignment horizontal="left" vertical="top" wrapText="1"/>
    </xf>
    <xf numFmtId="0" fontId="3" fillId="0" borderId="0" xfId="0" applyFont="1" applyAlignment="1">
      <alignment horizontal="left" vertical="top"/>
    </xf>
    <xf numFmtId="165" fontId="20" fillId="0" borderId="4" xfId="0" applyNumberFormat="1" applyFont="1" applyBorder="1" applyAlignment="1">
      <alignment horizontal="center" vertical="center"/>
    </xf>
    <xf numFmtId="165" fontId="1" fillId="4" borderId="4" xfId="0" applyNumberFormat="1" applyFont="1" applyFill="1" applyBorder="1" applyAlignment="1">
      <alignment horizontal="center" vertical="center"/>
    </xf>
    <xf numFmtId="0" fontId="0" fillId="9" borderId="1" xfId="0" applyFill="1" applyBorder="1" applyAlignment="1">
      <alignment vertical="center" wrapText="1"/>
    </xf>
    <xf numFmtId="0" fontId="8" fillId="2" borderId="1" xfId="0" applyFont="1" applyFill="1" applyBorder="1" applyAlignment="1">
      <alignment vertical="center"/>
    </xf>
    <xf numFmtId="0" fontId="1" fillId="0" borderId="3" xfId="0" applyFont="1" applyBorder="1" applyAlignment="1">
      <alignment horizontal="center" vertical="top"/>
    </xf>
    <xf numFmtId="168" fontId="0" fillId="0" borderId="1" xfId="1" applyNumberFormat="1" applyFont="1" applyFill="1" applyBorder="1" applyAlignment="1">
      <alignment horizontal="center" vertical="center"/>
    </xf>
    <xf numFmtId="4" fontId="1" fillId="4" borderId="1" xfId="0" applyNumberFormat="1" applyFont="1" applyFill="1" applyBorder="1" applyAlignment="1">
      <alignment horizontal="center" vertical="center"/>
    </xf>
    <xf numFmtId="0" fontId="1" fillId="0" borderId="47" xfId="0" applyFont="1" applyBorder="1"/>
    <xf numFmtId="0" fontId="0" fillId="0" borderId="52" xfId="0" applyBorder="1" applyAlignment="1">
      <alignment vertical="center"/>
    </xf>
    <xf numFmtId="3" fontId="0" fillId="0" borderId="53" xfId="0" applyNumberFormat="1" applyBorder="1" applyAlignment="1">
      <alignment horizontal="right"/>
    </xf>
    <xf numFmtId="3" fontId="0" fillId="0" borderId="1" xfId="0" applyNumberFormat="1" applyBorder="1" applyAlignment="1">
      <alignment horizontal="right"/>
    </xf>
    <xf numFmtId="165" fontId="0" fillId="0" borderId="1" xfId="0" applyNumberFormat="1" applyBorder="1" applyAlignment="1">
      <alignment horizontal="right"/>
    </xf>
    <xf numFmtId="3" fontId="0" fillId="0" borderId="32" xfId="0" applyNumberFormat="1" applyBorder="1" applyAlignment="1">
      <alignment horizontal="right"/>
    </xf>
    <xf numFmtId="165" fontId="0" fillId="0" borderId="32" xfId="0" applyNumberFormat="1" applyBorder="1" applyAlignment="1">
      <alignment horizontal="right"/>
    </xf>
    <xf numFmtId="3" fontId="1" fillId="5" borderId="5" xfId="0" applyNumberFormat="1" applyFont="1" applyFill="1" applyBorder="1" applyAlignment="1">
      <alignment horizontal="right"/>
    </xf>
    <xf numFmtId="165" fontId="1" fillId="5" borderId="5" xfId="0" applyNumberFormat="1" applyFont="1" applyFill="1" applyBorder="1" applyAlignment="1">
      <alignment horizontal="right"/>
    </xf>
    <xf numFmtId="165" fontId="1" fillId="5" borderId="24" xfId="0" applyNumberFormat="1" applyFont="1" applyFill="1" applyBorder="1" applyAlignment="1">
      <alignment horizontal="right"/>
    </xf>
    <xf numFmtId="3" fontId="0" fillId="0" borderId="5" xfId="0" applyNumberFormat="1" applyBorder="1" applyAlignment="1">
      <alignment horizontal="right"/>
    </xf>
    <xf numFmtId="165" fontId="0" fillId="0" borderId="5" xfId="0" applyNumberFormat="1" applyBorder="1" applyAlignment="1">
      <alignment horizontal="right"/>
    </xf>
    <xf numFmtId="3" fontId="1" fillId="0" borderId="30" xfId="0" applyNumberFormat="1" applyFont="1" applyBorder="1" applyAlignment="1">
      <alignment horizontal="right"/>
    </xf>
    <xf numFmtId="165" fontId="1" fillId="0" borderId="30" xfId="0" applyNumberFormat="1" applyFont="1" applyBorder="1" applyAlignment="1">
      <alignment horizontal="right"/>
    </xf>
    <xf numFmtId="165" fontId="1" fillId="0" borderId="31" xfId="0" applyNumberFormat="1" applyFont="1" applyBorder="1" applyAlignment="1">
      <alignment horizontal="right"/>
    </xf>
    <xf numFmtId="165" fontId="0" fillId="0" borderId="53" xfId="0" applyNumberFormat="1" applyBorder="1" applyAlignment="1">
      <alignment horizontal="right"/>
    </xf>
    <xf numFmtId="0" fontId="0" fillId="0" borderId="23" xfId="0" applyBorder="1" applyAlignment="1">
      <alignment horizontal="center" vertical="center"/>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3" fontId="0" fillId="0" borderId="56" xfId="0" applyNumberFormat="1" applyBorder="1" applyAlignment="1">
      <alignment horizontal="right"/>
    </xf>
    <xf numFmtId="3" fontId="0" fillId="0" borderId="16" xfId="0" applyNumberFormat="1" applyBorder="1" applyAlignment="1">
      <alignment horizontal="right"/>
    </xf>
    <xf numFmtId="3" fontId="0" fillId="0" borderId="33" xfId="0" applyNumberFormat="1" applyBorder="1" applyAlignment="1">
      <alignment horizontal="right"/>
    </xf>
    <xf numFmtId="3" fontId="0" fillId="0" borderId="24" xfId="0" applyNumberFormat="1" applyBorder="1" applyAlignment="1">
      <alignment horizontal="right"/>
    </xf>
    <xf numFmtId="3" fontId="23" fillId="0" borderId="0" xfId="0" applyNumberFormat="1" applyFont="1"/>
    <xf numFmtId="165" fontId="0" fillId="0" borderId="0" xfId="0" applyNumberFormat="1"/>
    <xf numFmtId="172" fontId="1" fillId="4" borderId="1" xfId="0" applyNumberFormat="1" applyFont="1" applyFill="1" applyBorder="1" applyAlignment="1">
      <alignment horizontal="center" vertical="center"/>
    </xf>
    <xf numFmtId="166" fontId="0" fillId="0" borderId="32" xfId="0" applyNumberFormat="1" applyBorder="1" applyAlignment="1">
      <alignment horizontal="right"/>
    </xf>
    <xf numFmtId="0" fontId="0" fillId="0" borderId="25" xfId="0" applyBorder="1" applyAlignment="1">
      <alignment horizontal="center" vertical="center"/>
    </xf>
    <xf numFmtId="0" fontId="0" fillId="0" borderId="45" xfId="0" applyBorder="1" applyAlignment="1">
      <alignment horizontal="center" vertical="center"/>
    </xf>
    <xf numFmtId="0" fontId="4" fillId="10" borderId="1" xfId="0" applyFont="1" applyFill="1" applyBorder="1" applyAlignment="1">
      <alignment horizontal="left" vertical="top"/>
    </xf>
    <xf numFmtId="0" fontId="4" fillId="10" borderId="1" xfId="0" applyFont="1" applyFill="1" applyBorder="1" applyAlignment="1">
      <alignment horizontal="left" vertical="top" wrapText="1"/>
    </xf>
    <xf numFmtId="0" fontId="17" fillId="10" borderId="1" xfId="0" applyFont="1" applyFill="1" applyBorder="1" applyAlignment="1">
      <alignment horizontal="left" vertical="top" wrapText="1"/>
    </xf>
    <xf numFmtId="0" fontId="0" fillId="10" borderId="1" xfId="0" applyFill="1" applyBorder="1" applyAlignment="1">
      <alignment horizontal="left" vertical="top" wrapText="1"/>
    </xf>
    <xf numFmtId="0" fontId="0" fillId="10" borderId="1" xfId="0" applyFill="1" applyBorder="1" applyAlignment="1">
      <alignment horizontal="center" vertical="center"/>
    </xf>
    <xf numFmtId="3" fontId="0" fillId="10" borderId="1" xfId="0" applyNumberFormat="1" applyFill="1" applyBorder="1" applyAlignment="1">
      <alignment horizontal="center" vertical="center"/>
    </xf>
    <xf numFmtId="0" fontId="0" fillId="10" borderId="1" xfId="0" applyFill="1" applyBorder="1" applyAlignment="1">
      <alignment vertical="center" wrapText="1"/>
    </xf>
    <xf numFmtId="171" fontId="0" fillId="10" borderId="1" xfId="0" applyNumberFormat="1" applyFill="1" applyBorder="1" applyAlignment="1">
      <alignment horizontal="center" vertical="center"/>
    </xf>
    <xf numFmtId="0" fontId="17" fillId="10" borderId="1" xfId="0" applyFont="1" applyFill="1" applyBorder="1" applyAlignment="1">
      <alignment horizontal="left" vertical="top"/>
    </xf>
    <xf numFmtId="4" fontId="0" fillId="10" borderId="1" xfId="0" applyNumberFormat="1" applyFill="1" applyBorder="1" applyAlignment="1">
      <alignment horizontal="center" vertical="center"/>
    </xf>
    <xf numFmtId="0" fontId="1" fillId="10" borderId="1" xfId="0" applyFont="1" applyFill="1" applyBorder="1" applyAlignment="1">
      <alignment horizontal="left" vertical="center" wrapText="1"/>
    </xf>
    <xf numFmtId="0" fontId="0" fillId="10" borderId="1" xfId="0" quotePrefix="1" applyFill="1" applyBorder="1" applyAlignment="1">
      <alignment horizontal="left" vertical="top" wrapText="1"/>
    </xf>
    <xf numFmtId="0" fontId="0" fillId="10" borderId="1" xfId="0" applyFill="1" applyBorder="1" applyAlignment="1">
      <alignment vertical="top" wrapText="1"/>
    </xf>
    <xf numFmtId="0" fontId="0" fillId="10" borderId="1" xfId="0" applyFill="1" applyBorder="1" applyAlignment="1">
      <alignment horizontal="left" vertical="top"/>
    </xf>
    <xf numFmtId="0" fontId="18" fillId="10" borderId="1" xfId="0" applyFont="1" applyFill="1" applyBorder="1" applyAlignment="1">
      <alignment vertical="center" wrapText="1"/>
    </xf>
    <xf numFmtId="0" fontId="0" fillId="10" borderId="1" xfId="0" applyFill="1" applyBorder="1" applyAlignment="1">
      <alignment vertical="top"/>
    </xf>
    <xf numFmtId="0" fontId="0" fillId="10" borderId="1" xfId="0" applyFill="1" applyBorder="1" applyAlignment="1">
      <alignment vertical="center"/>
    </xf>
    <xf numFmtId="164" fontId="0" fillId="10" borderId="1" xfId="0" applyNumberFormat="1" applyFill="1" applyBorder="1" applyAlignment="1">
      <alignment horizontal="left" vertical="top" wrapText="1"/>
    </xf>
    <xf numFmtId="0" fontId="3" fillId="10" borderId="1" xfId="0" applyFont="1" applyFill="1" applyBorder="1" applyAlignment="1">
      <alignment horizontal="left" vertical="top" wrapText="1"/>
    </xf>
    <xf numFmtId="166" fontId="0" fillId="10" borderId="1" xfId="0" applyNumberFormat="1" applyFill="1" applyBorder="1" applyAlignment="1">
      <alignment horizontal="center" vertical="center"/>
    </xf>
    <xf numFmtId="0" fontId="0" fillId="0" borderId="0" xfId="0" applyAlignment="1">
      <alignment horizontal="center"/>
    </xf>
    <xf numFmtId="165" fontId="0" fillId="0" borderId="0" xfId="0" applyNumberFormat="1" applyAlignment="1">
      <alignment horizontal="right"/>
    </xf>
    <xf numFmtId="170" fontId="0" fillId="0" borderId="0" xfId="0" applyNumberFormat="1" applyAlignment="1">
      <alignment horizontal="center"/>
    </xf>
    <xf numFmtId="173" fontId="0" fillId="0" borderId="0" xfId="0" applyNumberFormat="1" applyAlignment="1">
      <alignment horizontal="right"/>
    </xf>
    <xf numFmtId="165" fontId="1" fillId="0" borderId="0" xfId="0" applyNumberFormat="1" applyFont="1" applyAlignment="1">
      <alignment horizontal="right" vertical="center"/>
    </xf>
    <xf numFmtId="173" fontId="0" fillId="0" borderId="0" xfId="0" applyNumberFormat="1" applyAlignment="1">
      <alignment horizontal="right" vertical="center"/>
    </xf>
    <xf numFmtId="167" fontId="0" fillId="0" borderId="0" xfId="0" applyNumberFormat="1" applyAlignment="1">
      <alignment vertical="center"/>
    </xf>
    <xf numFmtId="0" fontId="0" fillId="0" borderId="0" xfId="0" applyAlignment="1">
      <alignment horizontal="left" vertical="center" indent="2"/>
    </xf>
    <xf numFmtId="3" fontId="0" fillId="0" borderId="0" xfId="0" quotePrefix="1" applyNumberFormat="1" applyAlignment="1">
      <alignment horizontal="center"/>
    </xf>
    <xf numFmtId="0" fontId="0" fillId="0" borderId="0" xfId="0" quotePrefix="1" applyAlignment="1">
      <alignment horizontal="center"/>
    </xf>
    <xf numFmtId="0" fontId="0" fillId="0" borderId="0" xfId="0" applyAlignment="1">
      <alignment horizontal="right" vertical="center"/>
    </xf>
    <xf numFmtId="0" fontId="1" fillId="0" borderId="0" xfId="0" applyFont="1" applyAlignment="1">
      <alignment vertical="center"/>
    </xf>
    <xf numFmtId="3" fontId="0" fillId="0" borderId="0" xfId="0" applyNumberFormat="1" applyAlignment="1">
      <alignment horizontal="center"/>
    </xf>
    <xf numFmtId="0" fontId="1" fillId="0" borderId="0" xfId="0" applyFont="1" applyAlignment="1">
      <alignment horizontal="center"/>
    </xf>
    <xf numFmtId="3" fontId="1" fillId="0" borderId="0" xfId="0" quotePrefix="1" applyNumberFormat="1" applyFont="1" applyAlignment="1">
      <alignment horizontal="center"/>
    </xf>
    <xf numFmtId="165" fontId="1" fillId="0" borderId="0" xfId="0" applyNumberFormat="1" applyFont="1" applyAlignment="1">
      <alignment horizontal="right"/>
    </xf>
    <xf numFmtId="0" fontId="1" fillId="0" borderId="0" xfId="0" applyFont="1"/>
    <xf numFmtId="170" fontId="1" fillId="0" borderId="0" xfId="0" applyNumberFormat="1" applyFont="1" applyAlignment="1">
      <alignment horizontal="center"/>
    </xf>
    <xf numFmtId="173" fontId="1" fillId="0" borderId="0" xfId="0" applyNumberFormat="1" applyFont="1" applyAlignment="1">
      <alignment horizontal="right"/>
    </xf>
    <xf numFmtId="0" fontId="24" fillId="0" borderId="0" xfId="0" applyFont="1" applyAlignment="1">
      <alignment vertical="center"/>
    </xf>
    <xf numFmtId="9" fontId="1" fillId="0" borderId="54" xfId="1" applyFont="1" applyBorder="1" applyAlignment="1">
      <alignment horizontal="center" vertical="center" wrapText="1"/>
    </xf>
    <xf numFmtId="9" fontId="0" fillId="0" borderId="0" xfId="1" applyFont="1" applyAlignment="1">
      <alignment horizontal="center"/>
    </xf>
    <xf numFmtId="9" fontId="0" fillId="0" borderId="53" xfId="1" applyFont="1" applyBorder="1" applyAlignment="1">
      <alignment horizontal="center"/>
    </xf>
    <xf numFmtId="9" fontId="0" fillId="0" borderId="1" xfId="1" applyFont="1" applyBorder="1" applyAlignment="1">
      <alignment horizontal="center"/>
    </xf>
    <xf numFmtId="9" fontId="0" fillId="0" borderId="32" xfId="1" applyFont="1" applyBorder="1" applyAlignment="1">
      <alignment horizontal="center"/>
    </xf>
    <xf numFmtId="9" fontId="1" fillId="5" borderId="5" xfId="1" applyFont="1" applyFill="1" applyBorder="1" applyAlignment="1">
      <alignment horizontal="center"/>
    </xf>
    <xf numFmtId="9" fontId="1" fillId="0" borderId="30" xfId="1" applyFont="1" applyBorder="1" applyAlignment="1">
      <alignment horizontal="center"/>
    </xf>
    <xf numFmtId="3" fontId="1" fillId="0" borderId="31" xfId="0" applyNumberFormat="1" applyFont="1" applyBorder="1" applyAlignment="1">
      <alignment horizontal="right"/>
    </xf>
    <xf numFmtId="3" fontId="3" fillId="0" borderId="0" xfId="0" applyNumberFormat="1" applyFont="1" applyAlignment="1">
      <alignment horizontal="center"/>
    </xf>
    <xf numFmtId="9" fontId="25" fillId="0" borderId="0" xfId="1" applyFont="1" applyAlignment="1"/>
    <xf numFmtId="9" fontId="26" fillId="0" borderId="0" xfId="1" applyFont="1" applyAlignment="1">
      <alignment horizontal="left"/>
    </xf>
    <xf numFmtId="9" fontId="25" fillId="0" borderId="0" xfId="1" applyFont="1" applyAlignment="1">
      <alignment horizontal="left"/>
    </xf>
    <xf numFmtId="174" fontId="0" fillId="0" borderId="1" xfId="0" applyNumberFormat="1" applyBorder="1" applyAlignment="1">
      <alignment vertical="center"/>
    </xf>
    <xf numFmtId="166" fontId="0" fillId="0" borderId="4" xfId="0" applyNumberFormat="1" applyBorder="1" applyAlignment="1">
      <alignment horizontal="center" vertical="center"/>
    </xf>
    <xf numFmtId="0" fontId="4" fillId="10" borderId="1" xfId="0" applyFont="1" applyFill="1" applyBorder="1" applyAlignment="1">
      <alignment vertical="top" wrapText="1"/>
    </xf>
    <xf numFmtId="3" fontId="0" fillId="0" borderId="4" xfId="0" applyNumberFormat="1" applyBorder="1" applyAlignment="1">
      <alignment horizontal="center" vertical="center"/>
    </xf>
    <xf numFmtId="166" fontId="0" fillId="10" borderId="4" xfId="0" applyNumberFormat="1" applyFill="1" applyBorder="1" applyAlignment="1">
      <alignment horizontal="center" vertical="center"/>
    </xf>
    <xf numFmtId="10" fontId="3" fillId="0" borderId="0" xfId="1" applyNumberFormat="1" applyFont="1" applyAlignment="1">
      <alignment horizontal="center"/>
    </xf>
    <xf numFmtId="0" fontId="29" fillId="0" borderId="1" xfId="0" applyFont="1" applyBorder="1" applyAlignment="1">
      <alignment vertical="top" wrapText="1"/>
    </xf>
    <xf numFmtId="0" fontId="30" fillId="0" borderId="0" xfId="0" applyFont="1" applyAlignment="1">
      <alignmen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left" vertical="center"/>
    </xf>
    <xf numFmtId="0" fontId="21" fillId="0" borderId="0" xfId="0" applyFont="1" applyAlignment="1">
      <alignment horizontal="left" vertical="center" wrapText="1"/>
    </xf>
    <xf numFmtId="0" fontId="5" fillId="0" borderId="4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166" fontId="0" fillId="12" borderId="1" xfId="0" applyNumberFormat="1" applyFill="1" applyBorder="1" applyAlignment="1">
      <alignment horizontal="center" vertical="center"/>
    </xf>
    <xf numFmtId="3" fontId="0" fillId="12" borderId="1" xfId="0" applyNumberFormat="1" applyFill="1" applyBorder="1" applyAlignment="1">
      <alignment horizontal="center" vertical="center"/>
    </xf>
    <xf numFmtId="165" fontId="0" fillId="12" borderId="1" xfId="0" applyNumberFormat="1" applyFill="1" applyBorder="1" applyAlignment="1">
      <alignment horizontal="center" vertical="center"/>
    </xf>
    <xf numFmtId="0" fontId="29" fillId="6" borderId="1" xfId="0" applyFont="1" applyFill="1" applyBorder="1" applyAlignment="1">
      <alignment vertical="top" wrapText="1"/>
    </xf>
    <xf numFmtId="0" fontId="30" fillId="6" borderId="1" xfId="0" applyFont="1" applyFill="1" applyBorder="1" applyAlignment="1">
      <alignment vertical="top" wrapText="1"/>
    </xf>
    <xf numFmtId="0" fontId="4" fillId="6" borderId="1" xfId="0" applyFont="1" applyFill="1" applyBorder="1" applyAlignment="1">
      <alignment horizontal="left" vertical="top" wrapText="1"/>
    </xf>
    <xf numFmtId="3" fontId="0" fillId="6" borderId="1" xfId="0" applyNumberFormat="1" applyFill="1" applyBorder="1" applyAlignment="1">
      <alignment horizontal="center" vertical="center"/>
    </xf>
    <xf numFmtId="0" fontId="4" fillId="6" borderId="1" xfId="0" applyFont="1" applyFill="1" applyBorder="1" applyAlignment="1">
      <alignment horizontal="left" vertical="top"/>
    </xf>
    <xf numFmtId="0" fontId="4" fillId="6" borderId="1" xfId="0" applyFont="1" applyFill="1" applyBorder="1" applyAlignment="1">
      <alignment vertical="top" wrapText="1"/>
    </xf>
    <xf numFmtId="164" fontId="0" fillId="6" borderId="1" xfId="0" applyNumberFormat="1" applyFill="1" applyBorder="1" applyAlignment="1">
      <alignment horizontal="left" vertical="top" wrapText="1"/>
    </xf>
    <xf numFmtId="0" fontId="0" fillId="6" borderId="1" xfId="0" applyFill="1" applyBorder="1" applyAlignment="1">
      <alignment vertical="top" wrapText="1"/>
    </xf>
    <xf numFmtId="0" fontId="0" fillId="6" borderId="1" xfId="0" applyFill="1" applyBorder="1" applyAlignment="1">
      <alignment horizontal="center" vertical="center"/>
    </xf>
    <xf numFmtId="165" fontId="0" fillId="6" borderId="1" xfId="0" applyNumberFormat="1" applyFill="1" applyBorder="1" applyAlignment="1">
      <alignment horizontal="center" vertical="center"/>
    </xf>
    <xf numFmtId="4" fontId="0" fillId="6" borderId="1" xfId="0" applyNumberFormat="1" applyFill="1" applyBorder="1" applyAlignment="1">
      <alignment horizontal="center" vertical="center"/>
    </xf>
    <xf numFmtId="0" fontId="5" fillId="6" borderId="1" xfId="0" applyFont="1" applyFill="1" applyBorder="1" applyAlignment="1">
      <alignment horizontal="right" vertical="top"/>
    </xf>
    <xf numFmtId="3" fontId="4" fillId="6" borderId="1" xfId="0" applyNumberFormat="1" applyFont="1" applyFill="1" applyBorder="1" applyAlignment="1">
      <alignment horizontal="center" vertical="center"/>
    </xf>
    <xf numFmtId="165" fontId="4" fillId="6" borderId="1" xfId="0" applyNumberFormat="1" applyFont="1" applyFill="1" applyBorder="1" applyAlignment="1">
      <alignment horizontal="center" vertical="center"/>
    </xf>
    <xf numFmtId="0" fontId="5" fillId="6" borderId="1" xfId="0" applyFont="1" applyFill="1" applyBorder="1" applyAlignment="1">
      <alignment horizontal="right" vertical="center"/>
    </xf>
    <xf numFmtId="3" fontId="5" fillId="6" borderId="1" xfId="0" applyNumberFormat="1" applyFont="1" applyFill="1" applyBorder="1" applyAlignment="1">
      <alignment horizontal="center" vertical="center"/>
    </xf>
    <xf numFmtId="165" fontId="5" fillId="6" borderId="1" xfId="0" applyNumberFormat="1" applyFont="1" applyFill="1" applyBorder="1" applyAlignment="1">
      <alignment horizontal="center" vertical="center"/>
    </xf>
    <xf numFmtId="165" fontId="6" fillId="6" borderId="1" xfId="0" applyNumberFormat="1" applyFont="1" applyFill="1" applyBorder="1" applyAlignment="1">
      <alignment horizontal="center" vertical="center"/>
    </xf>
    <xf numFmtId="0" fontId="4" fillId="13" borderId="1" xfId="0" applyFont="1" applyFill="1" applyBorder="1" applyAlignment="1">
      <alignment horizontal="left" vertical="top" wrapText="1"/>
    </xf>
    <xf numFmtId="0" fontId="4" fillId="13" borderId="1" xfId="0" applyFont="1" applyFill="1" applyBorder="1" applyAlignment="1">
      <alignment vertical="top" wrapText="1"/>
    </xf>
    <xf numFmtId="0" fontId="0" fillId="13" borderId="1" xfId="0" applyFill="1" applyBorder="1" applyAlignment="1">
      <alignment horizontal="left" vertical="top" wrapText="1"/>
    </xf>
    <xf numFmtId="3" fontId="0" fillId="13" borderId="1" xfId="0" applyNumberFormat="1" applyFill="1" applyBorder="1" applyAlignment="1">
      <alignment horizontal="center" vertical="center"/>
    </xf>
    <xf numFmtId="0" fontId="0" fillId="13" borderId="1" xfId="0" applyFill="1" applyBorder="1" applyAlignment="1">
      <alignment horizontal="center" vertical="center"/>
    </xf>
    <xf numFmtId="4" fontId="0" fillId="13" borderId="1" xfId="0" applyNumberFormat="1" applyFill="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4" borderId="1" xfId="0" applyFont="1" applyFill="1" applyBorder="1" applyAlignment="1">
      <alignment horizontal="right"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20" fillId="0" borderId="4" xfId="0" applyFont="1" applyBorder="1" applyAlignment="1">
      <alignment horizontal="right" vertical="center"/>
    </xf>
    <xf numFmtId="0" fontId="20" fillId="0" borderId="9" xfId="0" applyFont="1" applyBorder="1" applyAlignment="1">
      <alignment horizontal="right" vertical="center"/>
    </xf>
    <xf numFmtId="0" fontId="8" fillId="0" borderId="4" xfId="0" applyFont="1" applyBorder="1" applyAlignment="1">
      <alignment horizontal="left" vertical="center"/>
    </xf>
    <xf numFmtId="0" fontId="8" fillId="0" borderId="38" xfId="0" applyFont="1" applyBorder="1" applyAlignment="1">
      <alignment horizontal="left" vertical="center"/>
    </xf>
    <xf numFmtId="0" fontId="8" fillId="0" borderId="9" xfId="0" applyFont="1" applyBorder="1" applyAlignment="1">
      <alignment horizontal="left" vertical="center"/>
    </xf>
    <xf numFmtId="0" fontId="8" fillId="0" borderId="4" xfId="0" applyFont="1" applyBorder="1" applyAlignment="1">
      <alignment horizontal="left" vertical="center" wrapText="1"/>
    </xf>
    <xf numFmtId="0" fontId="8" fillId="0" borderId="38" xfId="0" applyFont="1" applyBorder="1" applyAlignment="1">
      <alignment horizontal="left" vertical="center" wrapText="1"/>
    </xf>
    <xf numFmtId="0" fontId="8" fillId="0" borderId="9" xfId="0" applyFont="1" applyBorder="1" applyAlignment="1">
      <alignment horizontal="left" vertical="center" wrapText="1"/>
    </xf>
    <xf numFmtId="165" fontId="1" fillId="11" borderId="22" xfId="0" applyNumberFormat="1" applyFont="1" applyFill="1" applyBorder="1" applyAlignment="1">
      <alignment horizontal="center" vertical="center"/>
    </xf>
    <xf numFmtId="165" fontId="1" fillId="2" borderId="22" xfId="0" applyNumberFormat="1" applyFont="1" applyFill="1" applyBorder="1" applyAlignment="1">
      <alignment horizontal="center" vertical="center"/>
    </xf>
    <xf numFmtId="0" fontId="19" fillId="0" borderId="0" xfId="0" applyFont="1" applyAlignment="1">
      <alignment horizontal="center" vertical="center" wrapText="1"/>
    </xf>
    <xf numFmtId="0" fontId="21" fillId="0" borderId="0" xfId="0" applyFont="1" applyAlignment="1">
      <alignment horizontal="left" vertical="center" wrapText="1"/>
    </xf>
    <xf numFmtId="0" fontId="1" fillId="2"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1" fillId="4" borderId="1" xfId="0" applyFont="1" applyFill="1" applyBorder="1" applyAlignment="1">
      <alignment horizontal="right" vertical="top"/>
    </xf>
    <xf numFmtId="0" fontId="9" fillId="0" borderId="1" xfId="0" applyFont="1" applyBorder="1" applyAlignment="1">
      <alignment horizontal="left" vertical="center" wrapText="1"/>
    </xf>
    <xf numFmtId="0" fontId="9" fillId="0" borderId="4" xfId="0" applyFont="1" applyBorder="1" applyAlignment="1">
      <alignment horizontal="left" vertical="center" wrapText="1"/>
    </xf>
    <xf numFmtId="0" fontId="9" fillId="0" borderId="38" xfId="0" applyFont="1" applyBorder="1" applyAlignment="1">
      <alignment horizontal="left" vertical="center" wrapText="1"/>
    </xf>
    <xf numFmtId="0" fontId="9" fillId="0" borderId="9" xfId="0" applyFont="1" applyBorder="1" applyAlignment="1">
      <alignment horizontal="left" vertical="center" wrapText="1"/>
    </xf>
    <xf numFmtId="0" fontId="9" fillId="0" borderId="4" xfId="0" applyFont="1" applyBorder="1" applyAlignment="1">
      <alignment horizontal="left" vertical="center"/>
    </xf>
    <xf numFmtId="0" fontId="9" fillId="0" borderId="38" xfId="0" applyFont="1" applyBorder="1" applyAlignment="1">
      <alignment horizontal="left" vertical="center"/>
    </xf>
    <xf numFmtId="0" fontId="9" fillId="0" borderId="9" xfId="0" applyFont="1" applyBorder="1" applyAlignment="1">
      <alignment horizontal="left" vertical="center"/>
    </xf>
    <xf numFmtId="0" fontId="20" fillId="0" borderId="1" xfId="0" applyFont="1" applyBorder="1" applyAlignment="1">
      <alignment horizontal="right" vertical="top" wrapText="1"/>
    </xf>
    <xf numFmtId="0" fontId="1" fillId="0" borderId="1" xfId="0" applyFont="1" applyBorder="1" applyAlignment="1">
      <alignment horizontal="left" vertical="center"/>
    </xf>
    <xf numFmtId="0" fontId="1" fillId="2" borderId="1" xfId="0" applyFont="1" applyFill="1" applyBorder="1" applyAlignment="1">
      <alignment horizontal="center" vertical="center"/>
    </xf>
    <xf numFmtId="0" fontId="1" fillId="11" borderId="2" xfId="0" applyFont="1" applyFill="1" applyBorder="1" applyAlignment="1">
      <alignment horizontal="center" vertical="center"/>
    </xf>
    <xf numFmtId="0" fontId="1" fillId="4" borderId="1" xfId="0" applyFont="1" applyFill="1" applyBorder="1" applyAlignment="1">
      <alignment horizontal="right"/>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4" xfId="0" applyFont="1" applyBorder="1" applyAlignment="1">
      <alignment horizontal="center" vertical="center"/>
    </xf>
    <xf numFmtId="0" fontId="4" fillId="0" borderId="39"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7" xfId="0" applyFont="1" applyBorder="1" applyAlignment="1">
      <alignment horizontal="center" vertical="center" wrapText="1"/>
    </xf>
    <xf numFmtId="0" fontId="7" fillId="0" borderId="0" xfId="0" applyFont="1" applyAlignment="1">
      <alignment horizontal="left" wrapText="1"/>
    </xf>
    <xf numFmtId="0" fontId="0" fillId="0" borderId="48" xfId="0" applyBorder="1" applyAlignment="1">
      <alignment horizontal="center" vertical="center"/>
    </xf>
    <xf numFmtId="0" fontId="0" fillId="0" borderId="49" xfId="0" applyBorder="1" applyAlignment="1">
      <alignment horizontal="center" vertical="center"/>
    </xf>
    <xf numFmtId="0" fontId="1" fillId="5" borderId="49" xfId="0" applyFont="1" applyFill="1" applyBorder="1" applyAlignment="1">
      <alignment horizontal="right"/>
    </xf>
    <xf numFmtId="0" fontId="1" fillId="5" borderId="45" xfId="0" applyFont="1" applyFill="1" applyBorder="1" applyAlignment="1">
      <alignment horizontal="right"/>
    </xf>
    <xf numFmtId="0" fontId="1" fillId="0" borderId="25" xfId="0" applyFont="1" applyBorder="1" applyAlignment="1">
      <alignment horizontal="left"/>
    </xf>
    <xf numFmtId="0" fontId="1" fillId="0" borderId="6" xfId="0" applyFont="1" applyBorder="1" applyAlignment="1">
      <alignment horizontal="left"/>
    </xf>
    <xf numFmtId="0" fontId="1" fillId="0" borderId="26" xfId="0" applyFont="1" applyBorder="1" applyAlignment="1">
      <alignment horizontal="left"/>
    </xf>
    <xf numFmtId="0" fontId="1" fillId="0" borderId="27" xfId="0" applyFont="1" applyBorder="1" applyAlignment="1">
      <alignment horizontal="left"/>
    </xf>
    <xf numFmtId="0" fontId="1" fillId="0" borderId="7" xfId="0" applyFont="1" applyBorder="1" applyAlignment="1">
      <alignment horizontal="left"/>
    </xf>
    <xf numFmtId="0" fontId="1" fillId="0" borderId="28" xfId="0" applyFont="1" applyBorder="1" applyAlignment="1">
      <alignment horizontal="left"/>
    </xf>
    <xf numFmtId="0" fontId="1" fillId="5" borderId="25" xfId="0" applyFont="1" applyFill="1" applyBorder="1" applyAlignment="1">
      <alignment horizontal="right"/>
    </xf>
    <xf numFmtId="0" fontId="1" fillId="5" borderId="46" xfId="0" applyFont="1" applyFill="1" applyBorder="1" applyAlignment="1">
      <alignment horizontal="right"/>
    </xf>
    <xf numFmtId="0" fontId="0" fillId="0" borderId="27" xfId="0"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9"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4" xfId="0" applyFont="1" applyBorder="1" applyAlignment="1">
      <alignment horizontal="center" vertical="center"/>
    </xf>
    <xf numFmtId="0" fontId="1" fillId="0" borderId="57" xfId="0" applyFont="1" applyBorder="1" applyAlignment="1">
      <alignment horizontal="center" vertical="center"/>
    </xf>
    <xf numFmtId="0" fontId="12" fillId="0" borderId="0" xfId="0" applyFont="1" applyAlignment="1">
      <alignment horizontal="center"/>
    </xf>
    <xf numFmtId="0" fontId="12" fillId="0" borderId="10" xfId="0" applyFont="1" applyBorder="1" applyAlignment="1">
      <alignment horizontal="center"/>
    </xf>
    <xf numFmtId="0" fontId="12" fillId="6" borderId="43" xfId="0" applyFont="1" applyFill="1" applyBorder="1" applyAlignment="1">
      <alignment horizontal="center" wrapText="1"/>
    </xf>
    <xf numFmtId="0" fontId="12" fillId="6" borderId="0" xfId="0" applyFont="1" applyFill="1" applyAlignment="1">
      <alignment horizontal="center" wrapText="1"/>
    </xf>
    <xf numFmtId="0" fontId="12" fillId="8" borderId="0" xfId="0" applyFont="1" applyFill="1" applyAlignment="1">
      <alignment horizontal="center" vertical="center" wrapText="1"/>
    </xf>
    <xf numFmtId="0" fontId="12" fillId="6" borderId="44" xfId="0" applyFont="1" applyFill="1" applyBorder="1" applyAlignment="1">
      <alignment horizontal="center"/>
    </xf>
    <xf numFmtId="0" fontId="12" fillId="6" borderId="0" xfId="0" applyFont="1" applyFill="1" applyAlignment="1">
      <alignment horizontal="center"/>
    </xf>
  </cellXfs>
  <cellStyles count="4">
    <cellStyle name="Comma" xfId="2" builtinId="3"/>
    <cellStyle name="Comma 2" xfId="3" xr:uid="{4CD98126-5DF9-4BB7-AE6F-843000590DC4}"/>
    <cellStyle name="Normal" xfId="0" builtinId="0"/>
    <cellStyle name="Percent" xfId="1" builtinId="5"/>
  </cellStyles>
  <dxfs count="0"/>
  <tableStyles count="0" defaultTableStyle="TableStyleMedium2" defaultPivotStyle="PivotStyleLight16"/>
  <colors>
    <mruColors>
      <color rgb="FFFFB7B7"/>
      <color rgb="FFFF9999"/>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516467</xdr:colOff>
      <xdr:row>6</xdr:row>
      <xdr:rowOff>0</xdr:rowOff>
    </xdr:from>
    <xdr:to>
      <xdr:col>13</xdr:col>
      <xdr:colOff>25400</xdr:colOff>
      <xdr:row>6</xdr:row>
      <xdr:rowOff>592666</xdr:rowOff>
    </xdr:to>
    <xdr:sp macro="" textlink="">
      <xdr:nvSpPr>
        <xdr:cNvPr id="2" name="TextBox 1">
          <a:extLst>
            <a:ext uri="{FF2B5EF4-FFF2-40B4-BE49-F238E27FC236}">
              <a16:creationId xmlns:a16="http://schemas.microsoft.com/office/drawing/2014/main" id="{4F3884E6-858A-454C-8DD5-EF269F684937}"/>
            </a:ext>
          </a:extLst>
        </xdr:cNvPr>
        <xdr:cNvSpPr txBox="1"/>
      </xdr:nvSpPr>
      <xdr:spPr>
        <a:xfrm>
          <a:off x="8915400" y="465667"/>
          <a:ext cx="3776133" cy="59266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FNS estimates that 100% of State Agency responses are electronic, and that 50% of all other responses are electronic. </a:t>
          </a:r>
        </a:p>
        <a:p>
          <a:r>
            <a:rPr lang="en-US" sz="1100" b="1">
              <a:solidFill>
                <a:schemeClr val="dk1"/>
              </a:solidFill>
              <a:effectLst/>
              <a:latin typeface="+mn-lt"/>
              <a:ea typeface="+mn-ea"/>
              <a:cs typeface="+mn-cs"/>
            </a:rPr>
            <a: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ICF" id="{8FD889CE-696B-439F-A3BA-C8B4FDEDA30C}" userId="ICF"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2" dT="2021-05-21T11:13:29.35" personId="{8FD889CE-696B-439F-A3BA-C8B4FDEDA30C}" id="{6C6DC027-8EFD-4989-B5A5-A4FE3698F6EA}">
    <text>FNS assumes that each State agency will revise its written agreement once over the three-year period covered by the ICR.
This number is obtained through the use of a formula.</text>
  </threadedComment>
  <threadedComment ref="H12" dT="2021-05-21T10:56:52.09" personId="{8FD889CE-696B-439F-A3BA-C8B4FDEDA30C}" id="{385F1701-0429-4A4D-999E-D8198E257646}">
    <text>In this ICR, this burden is 0 hours because the burden associated with this requirement will be accounted for under the SAE Funds ICR (OMB Control Number 0584-0067), Form FNS-74.</text>
  </threadedComment>
  <threadedComment ref="K12" dT="2021-05-21T10:52:32.55" personId="{8FD889CE-696B-439F-A3BA-C8B4FDEDA30C}" id="{B6748D5E-991E-49CE-8823-5E0D746E012C}">
    <text>In this ICR, this burden is 0 hours because the burden associated with this requirement will be accounted for under the SAE Funds ICR (OMB Control Number 0584-0067), Form FNS-74.</text>
  </threadedComment>
  <threadedComment ref="F13" dT="2021-05-21T10:43:04.07" personId="{8FD889CE-696B-439F-A3BA-C8B4FDEDA30C}" id="{35E70D99-7CF1-4DEF-872A-16F931576448}">
    <text>This requirement is not covered in the previously approved ICR.</text>
  </threadedComment>
  <threadedComment ref="H13" dT="2021-05-21T10:57:11.72" personId="{8FD889CE-696B-439F-A3BA-C8B4FDEDA30C}" id="{7E0256CD-45D7-4420-8E4A-BDDCAE89D63B}">
    <text>This is the number of new institutions per State Agency.
This number is obtained through the use of a formula.</text>
  </threadedComment>
  <threadedComment ref="F14" dT="2021-05-21T10:43:17.79" personId="{8FD889CE-696B-439F-A3BA-C8B4FDEDA30C}" id="{A64393DC-0257-4B05-AA03-D931609D2C17}">
    <text>This requirement is not covered in the previously approved ICR.</text>
  </threadedComment>
  <threadedComment ref="H14" dT="2021-05-21T10:57:23.22" personId="{8FD889CE-696B-439F-A3BA-C8B4FDEDA30C}" id="{D796B19A-59CE-4A33-8E58-29E3719AC456}">
    <text>This is the number of sponsoring organizations (centers and homes) per State Agency.
This number is obtained through the use of a formula.</text>
  </threadedComment>
  <threadedComment ref="J15" personId="{8FD889CE-696B-439F-A3BA-C8B4FDEDA30C}" id="{0D27372B-C37C-413E-BCFB-6062C137640B}">
    <text>Burden assumption takes into account use of advanced technology.</text>
  </threadedComment>
  <threadedComment ref="F16" dT="2021-05-21T10:43:35.23" personId="{8FD889CE-696B-439F-A3BA-C8B4FDEDA30C}" id="{BEAA3FBC-6874-49DC-BB82-3F183D899C00}">
    <text>This requirement is not covered in the previously approved ICR.</text>
  </threadedComment>
  <threadedComment ref="H16" dT="2021-05-21T10:57:40.09" personId="{8FD889CE-696B-439F-A3BA-C8B4FDEDA30C}" id="{FC26E32C-C0A6-4056-BA69-1C9B7836071C}">
    <text>This is the number of new institutions per State Agency.
This number is obtained through the use of a formula.</text>
  </threadedComment>
  <threadedComment ref="E17" dT="2021-05-21T11:14:22.54" personId="{8FD889CE-696B-439F-A3BA-C8B4FDEDA30C}" id="{5BA2C160-A335-4FD2-B2AA-B1DA19DE7372}">
    <text>Added a more detailed list of the requirements.</text>
  </threadedComment>
  <threadedComment ref="J17" personId="{8FD889CE-696B-439F-A3BA-C8B4FDEDA30C}" id="{0D27372B-C37C-413F-BCFB-6062C137640B}">
    <text>Burden assumption takes into account use of advanced technology.</text>
  </threadedComment>
  <threadedComment ref="F18" personId="{8FD889CE-696B-439F-A3BA-C8B4FDEDA30C}" id="{74F909FA-04E9-4514-9CFA-2F1C0198E0DE}">
    <text>This requirement is not covered in the previously approved ICR.</text>
  </threadedComment>
  <threadedComment ref="H18" personId="{8FD889CE-696B-439F-A3BA-C8B4FDEDA30C}" id="{47B91E52-E573-434F-A424-635BD13076AD}">
    <text>FNS assumes that 7 out of the 10 institutions with seriuosly deficient notices received this type of notification.</text>
  </threadedComment>
  <threadedComment ref="J18" personId="{8FD889CE-696B-439F-A3BA-C8B4FDEDA30C}" id="{9C8C135F-803E-467E-9130-CE1489C6557A}">
    <text>Burden assumption takes into account use of advanced technology.</text>
  </threadedComment>
  <threadedComment ref="F19" personId="{8FD889CE-696B-439F-A3BA-C8B4FDEDA30C}" id="{2E2BA072-FC03-4655-AE9B-8F429429AF8D}">
    <text>This requirement is not covered in the previously approved ICR.</text>
  </threadedComment>
  <threadedComment ref="H19" dT="2021-05-21T10:58:09.36" personId="{8FD889CE-696B-439F-A3BA-C8B4FDEDA30C}" id="{7B8EDE31-8F75-41A4-9434-98BB1C3BA71A}">
    <text>FNS assumes that 3 out of 10 sponsoring organizations will fail to correct serious deficiencies and will continue through the serious deficiency process, and subsequent disqualification</text>
  </threadedComment>
  <threadedComment ref="J19" personId="{8FD889CE-696B-439F-A3BA-C8B4FDEDA30C}" id="{2C39D737-3B60-4FDA-9516-F48DAF5EEA8A}">
    <text>Assumed same burden as the notice of agreement termination (if applicable) and disqualification.</text>
  </threadedComment>
  <threadedComment ref="E20" dT="2021-05-21T11:14:38.59" personId="{8FD889CE-696B-439F-A3BA-C8B4FDEDA30C}" id="{642F52BF-5FD3-4E60-AA89-34635788C90D}">
    <text>Added a more detailed list of the requirements.</text>
  </threadedComment>
  <threadedComment ref="H20" dT="2021-05-21T10:58:28.46" personId="{8FD889CE-696B-439F-A3BA-C8B4FDEDA30C}" id="{0EE4E1AA-1DEF-4D49-B859-3E6AED86DDE9}">
    <text>FNS assumes that 3 out of 10 sponsoring organizations will fail to correct serious deficiencies and will continue through the serious deficiency process, and subsequent disqualification.
Based on program data/experience, the number of responses per respondent was reduced from 10 to 3.</text>
  </threadedComment>
  <threadedComment ref="J20" personId="{8FD889CE-696B-439F-A3BA-C8B4FDEDA30C}" id="{C104C0E3-7776-42C0-846D-08B856C73E5F}">
    <text>Burden assumption takes into account use of advanced technology.</text>
  </threadedComment>
  <threadedComment ref="H21" dT="2021-05-21T10:58:38.58" personId="{8FD889CE-696B-439F-A3BA-C8B4FDEDA30C}" id="{AFE4C33D-9065-41E0-AD55-7C70F74E41F0}">
    <text>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ext>
  </threadedComment>
  <threadedComment ref="J21" personId="{8FD889CE-696B-439F-A3BA-C8B4FDEDA30C}" id="{C104C0E3-7776-42C1-846D-08B856C73E5F}">
    <text>Burden assumption takes into account use of advanced technology.</text>
  </threadedComment>
  <threadedComment ref="E22" dT="2021-05-21T11:14:47.22" personId="{8FD889CE-696B-439F-A3BA-C8B4FDEDA30C}" id="{99EEC26A-3A28-4FDC-BF85-7E45EEB990F2}">
    <text>Added a more detailed list of the requirements.</text>
  </threadedComment>
  <threadedComment ref="H22" dT="2021-05-21T10:58:52.41" personId="{8FD889CE-696B-439F-A3BA-C8B4FDEDA30C}" id="{2F3512F9-AFDE-4DFC-AA15-47F9DDE9F188}">
    <text>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ext>
  </threadedComment>
  <threadedComment ref="J22" personId="{8FD889CE-696B-439F-A3BA-C8B4FDEDA30C}" id="{6A08FCCC-EFE7-48B0-8912-A395792885DC}">
    <text>Burden assumption takes into account use of advanced technology.</text>
  </threadedComment>
  <threadedComment ref="F23" personId="{8FD889CE-696B-439F-A3BA-C8B4FDEDA30C}" id="{9CF792DE-1FF1-49D5-BD43-9F788F8DFF84}">
    <text>This requirement is not covered in the previously approved ICR.</text>
  </threadedComment>
  <threadedComment ref="J23" personId="{8FD889CE-696B-439F-A3BA-C8B4FDEDA30C}" id="{DBCB2059-340F-4017-ABCF-7E2855D4A772}">
    <text>Burden assumption takes into account use of advanced technology.</text>
  </threadedComment>
  <threadedComment ref="F24" dT="2021-05-21T10:43:51.64" personId="{8FD889CE-696B-439F-A3BA-C8B4FDEDA30C}" id="{82DABF51-AF3F-410F-A13F-577122F57FDA}">
    <text>This requirement is not covered in the previously approved ICR.</text>
  </threadedComment>
  <threadedComment ref="H24" dT="2021-05-21T10:59:06.58" personId="{8FD889CE-696B-439F-A3BA-C8B4FDEDA30C}" id="{9B0CA8B6-B232-4DD2-970E-241ECB6EE3E8}">
    <text>FNS assumes that 3 out of 10 Sponsoring organizations will fail to correct serious deficiencies and will continue through the serious deficiency process, disqualification, and have agreement terminated.</text>
  </threadedComment>
  <threadedComment ref="G26" dT="2021-05-21T11:13:10.78" personId="{8FD889CE-696B-439F-A3BA-C8B4FDEDA30C}" id="{103456D0-406C-4B13-B548-6A6413E041C1}">
    <text>Most State agencies already have this procedure due to implementation of published guidance.</text>
  </threadedComment>
  <threadedComment ref="G27" personId="{8FD889CE-696B-439F-A3BA-C8B4FDEDA30C}" id="{63BCC381-249B-4CAA-BA0F-6E6B49E1D057}">
    <text>Most State agencies already have this procedure due to implementation of published guidance.</text>
  </threadedComment>
  <threadedComment ref="F28" dT="2021-05-21T10:44:03.26" personId="{8FD889CE-696B-439F-A3BA-C8B4FDEDA30C}" id="{F5235CB6-14EB-4828-9E71-3D048022C536}">
    <text>This requirement is not covered in the previously approved ICR.</text>
  </threadedComment>
  <threadedComment ref="F29" dT="2021-05-21T10:44:12.60" personId="{8FD889CE-696B-439F-A3BA-C8B4FDEDA30C}" id="{86FCC841-0815-47BB-9A55-7BE34FE6CA69}">
    <text>This requirement is not covered in the previously approved ICR.</text>
  </threadedComment>
  <threadedComment ref="J30" personId="{8FD889CE-696B-439F-A3BA-C8B4FDEDA30C}" id="{45250181-A841-4BDE-9E10-9279C6709C35}">
    <text>Burden assumption takes into account use of advanced technology.</text>
  </threadedComment>
  <threadedComment ref="H31" personId="{8FD889CE-696B-439F-A3BA-C8B4FDEDA30C}" id="{7673BFDA-96B7-44CD-A10A-4936AACEB029}">
    <text>This is the number of sponsors per State Agency.
This number is obtained through the use of a formula.
Due to reduction in number of sponsoring organizations of day care homes, the number of responses per respondent decreased from 15 to 11.</text>
  </threadedComment>
  <threadedComment ref="J31" personId="{8FD889CE-696B-439F-A3BA-C8B4FDEDA30C}" id="{29E4E4E5-BE42-473F-BD40-896DB9D77F67}">
    <text>Burden assumption takes into account use of advanced technology.</text>
  </threadedComment>
  <threadedComment ref="H32" personId="{8FD889CE-696B-439F-A3BA-C8B4FDEDA30C}" id="{C2C45033-C236-4977-A5D5-90CD55C1143D}">
    <text>This is the number of sponsors per State Agency.
This number is obtained through the use of a formula.
Due to reduction in number of sponsoring organizations of day care homes, the number of responses per respondent drecreased from 15 to 11.</text>
  </threadedComment>
  <threadedComment ref="J32" personId="{8FD889CE-696B-439F-A3BA-C8B4FDEDA30C}" id="{9EA04705-8E75-49AE-9FE1-3FE957387CB7}">
    <text>Burden assumption takes into account use of advanced technology.</text>
  </threadedComment>
  <threadedComment ref="J34" dT="2021-05-21T11:16:16.00" personId="{8FD889CE-696B-439F-A3BA-C8B4FDEDA30C}" id="{4D4C1613-3F0D-4B96-82C8-E43CFD86D65E}">
    <text>Revised hourly burden from 0.25 hours to 2 hours based on public comments received in response to 60-day Federal Register Notice.</text>
  </threadedComment>
  <threadedComment ref="H35" personId="{8FD889CE-696B-439F-A3BA-C8B4FDEDA30C}" id="{2DCEA17D-AAAE-44B2-AB4D-E806776065EE}">
    <text>This is the number of sponsors per State Agency.
This number is obtained through the use of a formula.
Due to reduction in number of sponsoring organizations of day care homes, the number of responses per respondent decreased from 15 to 11.</text>
  </threadedComment>
  <threadedComment ref="J35" personId="{8FD889CE-696B-439F-A3BA-C8B4FDEDA30C}" id="{28E3CFC5-032C-4BE7-8621-C7463B4D0A5A}">
    <text>Burden assumption takes into account use of advanced technology.</text>
  </threadedComment>
  <threadedComment ref="G36" personId="{8FD889CE-696B-439F-A3BA-C8B4FDEDA30C}" id="{20F926F3-0C29-4500-BB8E-B79BE6676FCA}">
    <text>CND estimates that only 15 State Agencies distribute commodities to CACFP institutions; the majority provide cash-in-lieu of commodities.</text>
  </threadedComment>
  <threadedComment ref="J36" personId="{8FD889CE-696B-439F-A3BA-C8B4FDEDA30C}" id="{06196694-12CB-4CA4-A361-2D9A981EC57F}">
    <text>Burden assumption takes into account use of advanced technology.</text>
  </threadedComment>
  <threadedComment ref="J37" dT="2021-05-21T10:53:48.84" personId="{8FD889CE-696B-439F-A3BA-C8B4FDEDA30C}" id="{A9CC1B6E-02E0-4465-8FCA-C2153C64DEA5}">
    <text>Revised hourly burden from 0.25 hours to 1 hour based on public comments received in response to 60-day Federal Register Notice.</text>
  </threadedComment>
  <threadedComment ref="H38" personId="{8FD889CE-696B-439F-A3BA-C8B4FDEDA30C}" id="{130F5180-B9A8-4979-AF95-59CD75F2E4EC}">
    <text>This is the number of institutions per State Agency.
This number is obtained through the use of a formula.
Due to increase in number of sponsoring organizations of centers, the number of responses per respondent increased from 376 to 390.</text>
  </threadedComment>
  <threadedComment ref="J38" personId="{8FD889CE-696B-439F-A3BA-C8B4FDEDA30C}" id="{0CC631CA-06DC-42B1-BF65-71D8DD2D0E6E}">
    <text>Burden assumption takes into account use of advanced technology and batch distribution.</text>
  </threadedComment>
  <threadedComment ref="F40" dT="2021-05-21T10:44:25.19" personId="{8FD889CE-696B-439F-A3BA-C8B4FDEDA30C}" id="{FC79792B-A463-4D82-80B7-5453DA1740AC}">
    <text>This requirement is not covered in the previously approved ICR.</text>
  </threadedComment>
  <threadedComment ref="H40" dT="2021-05-21T10:59:53.81" personId="{8FD889CE-696B-439F-A3BA-C8B4FDEDA30C}" id="{76956331-C8B2-469B-83EC-026B4E0E130C}">
    <text>FNS assumes that 3 out of 10 Sponsoring organizations will be found seriously deficient, issued appeal rights, and hold an administrative review.</text>
  </threadedComment>
  <threadedComment ref="F41" dT="2021-05-21T10:44:34.99" personId="{8FD889CE-696B-439F-A3BA-C8B4FDEDA30C}" id="{AC9E5AB2-9C42-4A17-B13B-81C960E551EA}">
    <text>This requirement is not covered in the previously approved ICR.</text>
  </threadedComment>
  <threadedComment ref="H41" dT="2021-05-21T11:00:21.46" personId="{8FD889CE-696B-439F-A3BA-C8B4FDEDA30C}" id="{6F934147-07F2-47DE-80AE-198D3F8C1EEB}">
    <text>FNS assumes that 3 out of 10 Sponsoring organizations will be found seriously deficient, issued appeal rights, and hold an administrative review.</text>
  </threadedComment>
  <threadedComment ref="F42" dT="2021-05-21T10:44:44.55" personId="{8FD889CE-696B-439F-A3BA-C8B4FDEDA30C}" id="{AA070292-758E-4675-892C-6891A83C585B}">
    <text>This requirement is not covered in the previously approved ICR.</text>
  </threadedComment>
  <threadedComment ref="H42" dT="2021-05-21T11:00:33.54" personId="{8FD889CE-696B-439F-A3BA-C8B4FDEDA30C}" id="{29DBEABE-3819-4332-A498-02E4DC3961AC}">
    <text>FNS assumes that 3 out of 10 Sponsoring organizations will be found seriously deficient, issued appeal rights, and hold an administrative review.</text>
  </threadedComment>
  <threadedComment ref="F43" dT="2021-05-21T10:44:56.82" personId="{8FD889CE-696B-439F-A3BA-C8B4FDEDA30C}" id="{BA98F913-294C-4964-9C7B-0B4DA8F40A09}">
    <text>This requirement is not covered in the previously approved ICR.</text>
  </threadedComment>
  <threadedComment ref="H43" dT="2021-05-21T11:00:45.51" personId="{8FD889CE-696B-439F-A3BA-C8B4FDEDA30C}" id="{395E49B7-DCB9-4DC1-A1CA-E207B0044029}">
    <text>FNS assumes that 3 out of 10 Sponsoring organizations will be found seriously deficient, issued appeal rights, and hold an administrative review.</text>
  </threadedComment>
  <threadedComment ref="F44" dT="2021-05-21T10:45:02.54" personId="{8FD889CE-696B-439F-A3BA-C8B4FDEDA30C}" id="{75C86A85-12F0-4388-B3D1-94DFCFCCE816}">
    <text>This requirement is not covered in the previously approved ICR.</text>
  </threadedComment>
  <threadedComment ref="H44" dT="2021-05-21T11:01:00.27" personId="{8FD889CE-696B-439F-A3BA-C8B4FDEDA30C}" id="{2899FE9B-D8A3-4FB2-88DC-CCEC21B053AF}">
    <text>FNS assumes that 3 out of 10 Sponsoring organizations will be found seriously deficient, issued appeal rights, and hold an administrative review.</text>
  </threadedComment>
  <threadedComment ref="J45" personId="{8FD889CE-696B-439F-A3BA-C8B4FDEDA30C}" id="{DDF42CBE-C71B-4365-BBB2-40D16EB0F20B}">
    <text>Burden assumption takes into account use of advanced technology.</text>
  </threadedComment>
  <threadedComment ref="J46" personId="{8FD889CE-696B-439F-A3BA-C8B4FDEDA30C}" id="{48392310-1CAC-46C6-B97A-77A9BC6367F5}">
    <text>Burden assumption takes into account use of advanced technology/automation.</text>
  </threadedComment>
  <threadedComment ref="F47" dT="2021-05-21T10:45:15.30" personId="{8FD889CE-696B-439F-A3BA-C8B4FDEDA30C}" id="{42C03854-CCF8-4CEC-B916-08DE16F45154}">
    <text>This requirement is not covered in the previously approved ICR.</text>
  </threadedComment>
  <threadedComment ref="H47" dT="2021-05-21T11:04:29.98" personId="{8FD889CE-696B-439F-A3BA-C8B4FDEDA30C}" id="{9DDFA1FE-EAD6-44D8-9BB2-347EB26AC92C}">
    <text>[Sponsoring organizations (centers and homes)] / [Number of State Agencies]; rounded</text>
  </threadedComment>
  <threadedComment ref="J48" dT="2021-05-21T10:54:16.59" personId="{8FD889CE-696B-439F-A3BA-C8B4FDEDA30C}" id="{630757C4-61B2-4F90-87EC-06F8985CB973}">
    <text>Revised hourly burden from 0.25 hours to 6 hours based on public comments received in response to 60-day Federal Register Notice.</text>
  </threadedComment>
  <threadedComment ref="F49" dT="2021-05-21T10:45:28.87" personId="{8FD889CE-696B-439F-A3BA-C8B4FDEDA30C}" id="{9B481904-39D1-4904-9193-64570E59796E}">
    <text>This requirement is not covered in the previously approved ICR.</text>
  </threadedComment>
  <threadedComment ref="H49" dT="2021-05-21T11:04:40.89" personId="{8FD889CE-696B-439F-A3BA-C8B4FDEDA30C}" id="{7478C7E7-FA1A-4DC5-ABB7-E6E09BA5C218}">
    <text>Each State agency most likely disseminates this information as one response through a State system or through a training for all their institutions annually.</text>
  </threadedComment>
  <threadedComment ref="G50" personId="{8FD889CE-696B-439F-A3BA-C8B4FDEDA30C}" id="{734B945F-4D4D-4792-A150-E2C2BD76D5D1}">
    <text>Management Evaluations/Audits are on a 2-year cycle.</text>
  </threadedComment>
  <threadedComment ref="J50" personId="{8FD889CE-696B-439F-A3BA-C8B4FDEDA30C}" id="{AEB64DEC-0E18-4B8E-B280-10A82B4714AC}">
    <text>Burden assumption takes into account use of advanced technology/automation.</text>
  </threadedComment>
  <threadedComment ref="K51" dT="2022-02-13T13:01:26.15" personId="{8FD889CE-696B-439F-A3BA-C8B4FDEDA30C}" id="{2D5C79FF-6DDC-4DE0-87D5-6F39E7E95FB9}">
    <text>The burden is 0 hours because the burden is already captured in the Food Programs Reporting System (FPRS) ICR, information collection with OMB Control Number 0584 0594, Form FNS-44.</text>
  </threadedComment>
  <threadedComment ref="F52" personId="{8FD889CE-696B-439F-A3BA-C8B4FDEDA30C}" id="{693ECF5D-4AEF-438A-992A-FD4DB8BC31E4}">
    <text>This requirement is not covered in the previously approved ICR.</text>
  </threadedComment>
  <threadedComment ref="H52" personId="{8FD889CE-696B-439F-A3BA-C8B4FDEDA30C}" id="{68364983-D4AF-4E4C-9489-7DD9223840DD}">
    <text>Annual activity</text>
  </threadedComment>
  <threadedComment ref="F53" dT="2021-05-21T10:45:38.18" personId="{8FD889CE-696B-439F-A3BA-C8B4FDEDA30C}" id="{765759F0-F070-46A5-95E6-603BD0E800E7}">
    <text>This requirement is not covered in the previously approved ICR.</text>
  </threadedComment>
  <threadedComment ref="H53" dT="2021-05-21T11:05:00.94" personId="{8FD889CE-696B-439F-A3BA-C8B4FDEDA30C}" id="{03C4E75E-F14E-4D8C-B496-FA0CE87ADCCB}">
    <text>[Sponsoring organizations (centers and homes)] / [Number of State Agencies]; rounded
This number is obtained through the use of a formula.</text>
  </threadedComment>
  <threadedComment ref="H55" personId="{8FD889CE-696B-439F-A3BA-C8B4FDEDA30C}" id="{CE4E0E78-C5E2-4BB3-B58A-F936DE1224B6}">
    <text>Each State Agency must process claims once a month.</text>
  </threadedComment>
  <threadedComment ref="J55" personId="{8FD889CE-696B-439F-A3BA-C8B4FDEDA30C}" id="{AF1316D6-FF20-42EB-A516-18918235B5D4}">
    <text>Burden assumption takes into account use of advanced technology.</text>
  </threadedComment>
  <threadedComment ref="J57" personId="{8FD889CE-696B-439F-A3BA-C8B4FDEDA30C}" id="{58FCD074-F69D-4FFB-85D6-5600C9DA3842}">
    <text>Burden assumption takes into account use of advanced technology.</text>
  </threadedComment>
  <threadedComment ref="H58" personId="{8FD889CE-696B-439F-A3BA-C8B4FDEDA30C}" id="{BC63472A-D649-449E-8B45-79F843DB77E5}">
    <text>This is 10% of the number of institutions per State Agency.
This number is obtained through the use of a formula.
Due to increase in number of sponsoring organizations, the number of responses per respondent increased from 38 to 39.</text>
  </threadedComment>
  <threadedComment ref="K59" dT="2022-02-13T13:35:17.44" personId="{8FD889CE-696B-439F-A3BA-C8B4FDEDA30C}" id="{D8C8A399-10BF-4CCB-9344-0EE071742F6D}">
    <text>FNS estimates that none of the 56 SAs plan to use or disclose information about children eligible for free/reduced-price meals in ways not specified in the regulations. Therefore, the total burden hours associated with this requirement is 0.</text>
  </threadedComment>
  <threadedComment ref="K60" dT="2022-02-13T13:36:02.42" personId="{8FD889CE-696B-439F-A3BA-C8B4FDEDA30C}" id="{AC542C87-AA99-4D44-BA2C-68B84A953681}">
    <text>FNS estimates that all 56 SAs already have entered into written agreements with the parties requesting children’s free/reduced-price eligibility information. Therefore, the total burden hours associated with this requirement is 0.</text>
  </threadedComment>
  <threadedComment ref="K61" dT="2022-02-13T13:36:40.41" personId="{8FD889CE-696B-439F-A3BA-C8B4FDEDA30C}" id="{FF0220F4-032C-47D7-8421-F3280F5ACC6D}">
    <text>FNS believes that all administering agencies have already established the policies and procedures governing the use, title, and disposition of equipment. Therefore, the total burden hours associated with this requirement is 0.</text>
  </threadedComment>
  <threadedComment ref="F64" dT="2021-05-21T10:45:48.36" personId="{8FD889CE-696B-439F-A3BA-C8B4FDEDA30C}" id="{6BFDA12D-35AC-4463-A4A7-E39427BFF28B}">
    <text>This requirement is not covered in the previously approved ICR.</text>
  </threadedComment>
  <threadedComment ref="H66" dT="2021-05-21T11:05:31.54" personId="{8FD889CE-696B-439F-A3BA-C8B4FDEDA30C}" id="{B10BB1BA-856C-4640-AEA0-E7BEBA603F38}">
    <text>Even though this is an annual requirement, institutions submit information on a monthly basis.</text>
  </threadedComment>
  <threadedComment ref="G67" personId="{8FD889CE-696B-439F-A3BA-C8B4FDEDA30C}" id="{1EFF3C2D-797F-4E0D-AC65-658FE5608B77}">
    <text>FNS assumes the only type of local government sponsoring organizations of day care homes would be those for military bases.</text>
  </threadedComment>
  <threadedComment ref="F68" personId="{8FD889CE-696B-439F-A3BA-C8B4FDEDA30C}" id="{0EC405C3-30FB-4380-AA5C-8ABA8DD3A12A}">
    <text>This requirement is not covered in the previously approved ICR.</text>
  </threadedComment>
  <threadedComment ref="H68" personId="{8FD889CE-696B-439F-A3BA-C8B4FDEDA30C}" id="{69C285E2-0665-4DE5-A243-AE207BF27578}">
    <text>Assumed to be an annual requirement.</text>
  </threadedComment>
  <threadedComment ref="F70" dT="2021-05-21T10:45:58.97" personId="{8FD889CE-696B-439F-A3BA-C8B4FDEDA30C}" id="{FD784AF4-C21D-408F-ABA8-F04E249FB706}">
    <text>This requirement is not covered in the previously approved ICR.</text>
  </threadedComment>
  <threadedComment ref="J71" personId="{8FD889CE-696B-439F-A3BA-C8B4FDEDA30C}" id="{076F887C-8447-43FB-81C9-E530C2D0F5ED}">
    <text>Estimate used in currently approved ICR. 
Burden assumption takes into account electronic transmission.</text>
  </threadedComment>
  <threadedComment ref="F72" dT="2021-05-21T10:46:12.39" personId="{8FD889CE-696B-439F-A3BA-C8B4FDEDA30C}" id="{F31219FD-C59C-45A9-915F-3011D62EC98B}">
    <text>This requirement is not covered in the previously approved ICR.</text>
  </threadedComment>
  <threadedComment ref="G73" personId="{8FD889CE-696B-439F-A3BA-C8B4FDEDA30C}" id="{33929D39-41CC-4341-81F5-A602C63509B1}">
    <text>FNS assumes the only type of local government sponsoring organizations of day care homes would be those for military bases.</text>
  </threadedComment>
  <threadedComment ref="J75" personId="{8FD889CE-696B-439F-A3BA-C8B4FDEDA30C}" id="{99DAC8F2-0CB0-4D8E-8BAE-43D6F678541D}">
    <text>Estimate used in currently approved ICR. 
Burden assumption takes into account use of advanced technology/automation.</text>
  </threadedComment>
  <threadedComment ref="F76" dT="2021-05-21T10:46:20.47" personId="{8FD889CE-696B-439F-A3BA-C8B4FDEDA30C}" id="{8ECB3DBA-625E-4A4E-86C2-FE2E5FF9BAFD}">
    <text>This requirement is not covered in the previously approved ICR.</text>
  </threadedComment>
  <threadedComment ref="J76" personId="{8FD889CE-696B-439F-A3BA-C8B4FDEDA30C}" id="{A2C99DC0-93AB-487B-A1E8-909DC64EDE13}">
    <text>Based on estimates for other requirements in the currently approved ICR. 
Burden assumption takes into account use of advanced technology.</text>
  </threadedComment>
  <threadedComment ref="F77" dT="2021-05-21T10:46:29.57" personId="{8FD889CE-696B-439F-A3BA-C8B4FDEDA30C}" id="{0E9B034C-90CA-41DB-8A5F-4B98C4061962}">
    <text>This requirement is not covered in the previously approved ICR.</text>
  </threadedComment>
  <threadedComment ref="J77" dT="2021-05-21T10:55:06.98" personId="{8FD889CE-696B-439F-A3BA-C8B4FDEDA30C}" id="{95FF7CE4-5E21-4841-82F0-DF8722F2FA11}">
    <text>Assumes that institutions spend 3 hours a month reviewing materials. Thus, in a year, institutions spend 36 hours reviewing FNS materials.</text>
  </threadedComment>
  <threadedComment ref="F78" dT="2021-05-21T10:46:39.44" personId="{8FD889CE-696B-439F-A3BA-C8B4FDEDA30C}" id="{851C9EBC-FC21-4C50-8C40-A892CA2DC4EE}">
    <text>This requirement is not covered in the previously approved ICR.</text>
  </threadedComment>
  <threadedComment ref="F79" dT="2021-05-21T10:46:47.33" personId="{8FD889CE-696B-439F-A3BA-C8B4FDEDA30C}" id="{0FBC24B8-5DD7-41FD-A6F1-1A52BB912C7A}">
    <text>This requirement is not covered in the previously approved ICR.</text>
  </threadedComment>
  <threadedComment ref="F80" dT="2021-05-21T10:51:09.41" personId="{8FD889CE-696B-439F-A3BA-C8B4FDEDA30C}" id="{3B877EA6-1D8E-4B08-85F4-53C9B9047928}">
    <text>This requirement is not covered in the previously approved ICR.</text>
  </threadedComment>
  <threadedComment ref="F81" dT="2021-05-21T10:51:01.73" personId="{8FD889CE-696B-439F-A3BA-C8B4FDEDA30C}" id="{5A7983D2-98C5-4187-ADE8-9217BFF5B2E7}">
    <text>This requirement is not covered in the previously approved ICR.</text>
  </threadedComment>
  <threadedComment ref="F82" dT="2021-05-21T10:50:50.28" personId="{8FD889CE-696B-439F-A3BA-C8B4FDEDA30C}" id="{81E7FAA1-B80B-4D2D-AE33-43C39AE6C928}">
    <text>This requirement is not covered in the previously approved ICR.</text>
  </threadedComment>
  <threadedComment ref="G82" personId="{8FD889CE-696B-439F-A3BA-C8B4FDEDA30C}" id="{893070E0-22DD-47AF-BDF7-BD7FF89E73E0}">
    <text>FNS assumes the only type of local government sponsoring organizations of day care homes would be those for military bases.</text>
  </threadedComment>
  <threadedComment ref="F83" dT="2021-05-21T10:50:43.33" personId="{8FD889CE-696B-439F-A3BA-C8B4FDEDA30C}" id="{39177BE3-EC22-4B8B-8FAA-32E8E954442D}">
    <text>This requirement is not covered in the previously approved ICR.</text>
  </threadedComment>
  <threadedComment ref="G83" personId="{8FD889CE-696B-439F-A3BA-C8B4FDEDA30C}" id="{D78E9D3E-3316-44E2-8B0A-C019FBDFF43D}">
    <text>FNS assumes the only type of local government sponsoring organizations of day care homes would be those for military bases.
Imminent threat to health or safety does not occur often. FNS assumes that ¼ (25%) of Sponsoring organizations of day care homes may need to take action due to health or safety violations at day care homes.</text>
  </threadedComment>
  <threadedComment ref="F84" dT="2021-05-21T10:50:36.67" personId="{8FD889CE-696B-439F-A3BA-C8B4FDEDA30C}" id="{4A1547FA-E7FF-481F-96FA-EDC84DC28128}">
    <text>This requirement is not covered in the previously approved ICR.</text>
  </threadedComment>
  <threadedComment ref="F85" dT="2021-05-21T10:50:24.57" personId="{8FD889CE-696B-439F-A3BA-C8B4FDEDA30C}" id="{1A23FC19-35E6-4913-AA2D-D0125FA80F18}">
    <text>This requirement is not covered in the previously approved ICR.</text>
  </threadedComment>
  <threadedComment ref="F93" dT="2021-05-21T10:49:59.93" personId="{8FD889CE-696B-439F-A3BA-C8B4FDEDA30C}" id="{F994D638-EF16-4E2E-B434-1708429C039D}">
    <text>This requirement is not covered in the previously approved ICR.</text>
  </threadedComment>
  <threadedComment ref="H95" dT="2021-05-21T11:05:59.32" personId="{8FD889CE-696B-439F-A3BA-C8B4FDEDA30C}" id="{067BC60B-D3A4-4B48-A231-86B1471A888E}">
    <text>Even though this is an annual requirement, institutions submit information on a monthly basis.</text>
  </threadedComment>
  <threadedComment ref="F97" personId="{8FD889CE-696B-439F-A3BA-C8B4FDEDA30C}" id="{0EC405C3-30FB-4381-AA5C-8ABA8DD3A12A}">
    <text>This requirement is not covered in the previously approved ICR.</text>
  </threadedComment>
  <threadedComment ref="H97" dT="2021-05-21T11:06:15.57" personId="{8FD889CE-696B-439F-A3BA-C8B4FDEDA30C}" id="{A8DF85C6-D35E-4314-ACB4-D7FE3B8B3DB3}">
    <text>Assumed to be an annual requirement</text>
  </threadedComment>
  <threadedComment ref="F99" dT="2021-05-21T10:49:41.81" personId="{8FD889CE-696B-439F-A3BA-C8B4FDEDA30C}" id="{9F5C1D16-C0A8-473A-9A0E-3A08BB636A49}">
    <text>This requirement is not covered in the previously approved ICR.</text>
  </threadedComment>
  <threadedComment ref="J100" personId="{8FD889CE-696B-439F-A3BA-C8B4FDEDA30C}" id="{076F887C-8447-43FC-81C9-E530C2D0F5ED}">
    <text>Estimate used in currently approved ICR. 
Burden assumption takes into account electronic transmission.</text>
  </threadedComment>
  <threadedComment ref="F101" dT="2021-05-21T10:49:25.79" personId="{8FD889CE-696B-439F-A3BA-C8B4FDEDA30C}" id="{1AF595B0-97B9-4D59-9967-F36356115364}">
    <text>This requirement is not covered in the previously approved ICR.</text>
  </threadedComment>
  <threadedComment ref="J104" personId="{8FD889CE-696B-439F-A3BA-C8B4FDEDA30C}" id="{99DAC8F2-0CB0-4D8F-8BAE-43D6F678541D}">
    <text>Estimate used in currently approved ICR. 
Burden assumption takes into account use of advanced technology/automation.</text>
  </threadedComment>
  <threadedComment ref="F105" dT="2021-05-21T10:49:13.36" personId="{8FD889CE-696B-439F-A3BA-C8B4FDEDA30C}" id="{72FBC58C-E3B2-47A1-857B-F70BAF2A347F}">
    <text>This requirement is not covered in the previously approved ICR.</text>
  </threadedComment>
  <threadedComment ref="J105" personId="{8FD889CE-696B-439F-A3BA-C8B4FDEDA30C}" id="{A2C99DC0-93AB-487C-A1E8-909DC64EDE13}">
    <text>Based on estimates for other requirements in the currently approved ICR. 
Burden assumption takes into account use of advanced technology.</text>
  </threadedComment>
  <threadedComment ref="F106" dT="2021-05-21T10:49:01.23" personId="{8FD889CE-696B-439F-A3BA-C8B4FDEDA30C}" id="{5D37B9C8-B1A1-4194-B47A-B313B060503E}">
    <text>This requirement is not covered in the previously approved ICR.</text>
  </threadedComment>
  <threadedComment ref="J106" dT="2021-05-21T10:55:58.24" personId="{8FD889CE-696B-439F-A3BA-C8B4FDEDA30C}" id="{0ACE4564-2B57-4D0C-B55E-548BEAB13FB1}">
    <text>Assumes that institutions spend 3 hours a month reviewing materials. Thus, in a year, institutions spend 36 hours reviewing FNS materials.</text>
  </threadedComment>
  <threadedComment ref="F107" dT="2021-05-21T10:48:52.07" personId="{8FD889CE-696B-439F-A3BA-C8B4FDEDA30C}" id="{37ED6543-2DF2-401F-B66D-5DBD3DE2CC58}">
    <text>This requirement is not covered in the previously approved ICR.</text>
  </threadedComment>
  <threadedComment ref="F108" dT="2021-05-21T11:18:43.47" personId="{8FD889CE-696B-439F-A3BA-C8B4FDEDA30C}" id="{2478EB61-76E7-4225-A9EC-1D5607472CA2}">
    <text>This requirement is not covered in the previously approved ICR.</text>
  </threadedComment>
  <threadedComment ref="F109" dT="2021-05-21T10:48:35.96" personId="{8FD889CE-696B-439F-A3BA-C8B4FDEDA30C}" id="{51331494-8366-4AF5-8261-C7100A1A4186}">
    <text>This requirement is not covered in the previously approved ICR.</text>
  </threadedComment>
  <threadedComment ref="F110" dT="2021-05-21T10:48:26.28" personId="{8FD889CE-696B-439F-A3BA-C8B4FDEDA30C}" id="{C50FD705-B17F-4F98-B500-BAFD92239D8F}">
    <text>This requirement is not covered in the previously approved ICR.</text>
  </threadedComment>
  <threadedComment ref="G110" dT="2021-05-21T11:11:17.22" personId="{8FD889CE-696B-439F-A3BA-C8B4FDEDA30C}" id="{D5EDE9F4-8B97-435D-8724-E4DBF13E0BA3}">
    <text>Imminent threat to health or safety does not occur often. FNS assumes that ¼ (25%) of sponsoring organizations may need to notify the State agency or local authorities and take action.</text>
  </threadedComment>
  <threadedComment ref="F111" dT="2021-05-21T10:48:14.96" personId="{8FD889CE-696B-439F-A3BA-C8B4FDEDA30C}" id="{FB0534D6-15AA-4379-9D47-E1E95F5DEBF1}">
    <text>This requirement is not covered in the previously approved ICR.</text>
  </threadedComment>
  <threadedComment ref="F112" dT="2021-05-21T10:48:03.86" personId="{8FD889CE-696B-439F-A3BA-C8B4FDEDA30C}" id="{E6277517-88A9-405F-903D-72145A558ED9}">
    <text>This requirement is not covered in the previously approved ICR.</text>
  </threadedComment>
  <threadedComment ref="G112" dT="2021-05-21T11:10:58.90" personId="{8FD889CE-696B-439F-A3BA-C8B4FDEDA30C}" id="{1E1E9AB3-0665-49F9-86CF-DF62D511DE65}">
    <text>Imminent threat to health or safety does not occur often. FNS assumes that ¼ (25%) of Sponsoring organizations of day care homes may need to take action due to health or safety violations at day care homes.</text>
  </threadedComment>
  <threadedComment ref="F113" dT="2021-05-21T10:47:52.30" personId="{8FD889CE-696B-439F-A3BA-C8B4FDEDA30C}" id="{B49EFD2E-65A7-498B-8066-B1F35266AF7C}">
    <text>This requirement is not covered in the previously approved ICR.</text>
  </threadedComment>
  <threadedComment ref="F114" dT="2021-05-21T10:47:44.92" personId="{8FD889CE-696B-439F-A3BA-C8B4FDEDA30C}" id="{9625638D-71F7-40E8-A014-9A7F6D5D9E9C}">
    <text>This requirement is not covered in the previously approved ICR.</text>
  </threadedComment>
  <threadedComment ref="E120" dT="2021-05-21T11:17:12.99" personId="{8FD889CE-696B-439F-A3BA-C8B4FDEDA30C}" id="{AB9564E5-8FBB-4ECC-AC67-D119DF165B32}">
    <text>226.17(b)(9) was not included in the list of requirements because it is a recordkeeping requirement.</text>
  </threadedComment>
  <threadedComment ref="G120" personId="{8FD889CE-696B-439F-A3BA-C8B4FDEDA30C}" id="{3D6D40B1-C16B-4F33-93DD-6645264BA7FC}">
    <text>Calculation:  [National Database, “Outlets All Child Care Centers” data field] + [National Database, “Outlets Adult Care Centers” data field].</text>
  </threadedComment>
  <threadedComment ref="J120" personId="{8FD889CE-696B-439F-A3BA-C8B4FDEDA30C}" id="{67610750-8E95-49E4-A060-8D6BA05C163A}">
    <text>Estimate used in previously approved ICR. 
Burden assumption takes into account use of advanced technology/automation.</text>
  </threadedComment>
  <threadedComment ref="G121" personId="{8FD889CE-696B-439F-A3BA-C8B4FDEDA30C}" id="{8078AF68-843D-4B8D-8CA2-CF3820119E26}">
    <text>National Database, “Calc: CACFP Total Number of Homes” data field.</text>
  </threadedComment>
  <threadedComment ref="F122" dT="2021-05-21T10:47:28.03" personId="{8FD889CE-696B-439F-A3BA-C8B4FDEDA30C}" id="{1ECA037F-5722-4527-8345-9E1C19254F42}">
    <text>This requirement is not covered in the previously approved ICR.</text>
  </threadedComment>
  <threadedComment ref="F123" dT="2021-05-21T10:47:20.82" personId="{8FD889CE-696B-439F-A3BA-C8B4FDEDA30C}" id="{D1CF01EE-B62A-4B7C-9A3A-1F546E230744}">
    <text>This requirement is not covered in the previously approved ICR.</text>
  </threadedComment>
  <threadedComment ref="F124" dT="2021-05-21T10:47:13.86" personId="{8FD889CE-696B-439F-A3BA-C8B4FDEDA30C}" id="{211F5AB5-BDA7-45DB-A519-32EBF096EFC1}">
    <text>This requirement is not covered in the previously approved ICR.</text>
  </threadedComment>
  <threadedComment ref="G128" personId="{8FD889CE-696B-439F-A3BA-C8B4FDEDA30C}" id="{CB0A274B-36AC-466C-8686-81CB439130A4}">
    <text>Calculation: [National Database, “Calc: CACFP Total Avg. Daily Attendance” data field] * 0.70</text>
  </threadedComment>
  <threadedComment ref="F129" dT="2021-05-21T10:47:01.93" personId="{8FD889CE-696B-439F-A3BA-C8B4FDEDA30C}" id="{FA135861-3838-4C4C-A70C-A4C37381E794}">
    <text>This requirement is not covered in the previously approved ICR.</text>
  </threadedComment>
  <threadedComment ref="G130" personId="{8FD889CE-696B-439F-A3BA-C8B4FDEDA30C}" id="{7D1A25E5-8069-449F-BADE-5B7AAC47B3A8}">
    <text>Calculation: [National Database, “Calc: CACFP Total Avg. Daily Attendance” data field] * [% near poor participants (ages 0 to 17) with food allergies]</text>
  </threadedComment>
</ThreadedComments>
</file>

<file path=xl/threadedComments/threadedComment2.xml><?xml version="1.0" encoding="utf-8"?>
<ThreadedComments xmlns="http://schemas.microsoft.com/office/spreadsheetml/2018/threadedcomments" xmlns:x="http://schemas.openxmlformats.org/spreadsheetml/2006/main">
  <threadedComment ref="F9" dT="2021-05-21T10:37:25.68" personId="{8FD889CE-696B-439F-A3BA-C8B4FDEDA30C}" id="{994786C4-BE22-411F-910B-F2DAF69DD35C}">
    <text>This requirement is not covered in the previously approved ICR.</text>
  </threadedComment>
  <threadedComment ref="J10" personId="{8FD889CE-696B-439F-A3BA-C8B4FDEDA30C}" id="{AAD57113-FA12-41D7-95C4-F3445EEA7F2B}">
    <text>Burden assumption takes into account use of advanced technology/automation.</text>
  </threadedComment>
  <threadedComment ref="F11" dT="2021-05-21T10:37:41.14" personId="{8FD889CE-696B-439F-A3BA-C8B4FDEDA30C}" id="{3048B1D7-8259-4758-85A2-F13EDF18E9A8}">
    <text>This requirement is not covered in the previously approved ICR.</text>
  </threadedComment>
  <threadedComment ref="E14" dT="2021-05-21T10:40:15.37" personId="{8FD889CE-696B-439F-A3BA-C8B4FDEDA30C}" id="{31E2EEE8-F936-472F-B3E9-59FF6A8A1D35}">
    <text>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ext>
  </threadedComment>
  <threadedComment ref="G15" personId="{8FD889CE-696B-439F-A3BA-C8B4FDEDA30C}" id="{E6D16EE3-75A3-479B-A533-C0A5822CD100}">
    <text>FNS assumes the only type of local government sponsoring organizations of day care homes would be those for military bases.</text>
  </threadedComment>
  <threadedComment ref="H15" personId="{8FD889CE-696B-439F-A3BA-C8B4FDEDA30C}" id="{AB53B450-085C-408A-B0DC-BCF770712B91}">
    <text>This is the number of Tier I providers per sponsoring organization.</text>
  </threadedComment>
  <threadedComment ref="G16" personId="{8FD889CE-696B-439F-A3BA-C8B4FDEDA30C}" id="{72AF157E-2B4B-4320-88DE-749A6C36E92F}">
    <text>FNS assumes the only type of local government sponsoring organizations of day care homes would be those for military bases.</text>
  </threadedComment>
  <threadedComment ref="H16" personId="{8FD889CE-696B-439F-A3BA-C8B4FDEDA30C}" id="{8E8D60CC-07C4-4045-BF92-0B400D841C75}">
    <text>This is 1/3 of the number of Tier I providers per sponsoring organization.
This number is obtained through the use of a formula.</text>
  </threadedComment>
  <threadedComment ref="E21" dT="2021-05-21T10:38:26.43" personId="{8FD889CE-696B-439F-A3BA-C8B4FDEDA30C}" id="{79D3D5BC-4BD4-4D18-BD7D-1FB31A616001}">
    <text>Added a more detailed list of the requirements.</text>
  </threadedComment>
  <threadedComment ref="H22" personId="{8FD889CE-696B-439F-A3BA-C8B4FDEDA30C}" id="{AB53B450-085C-408B-B0DC-BCF770712B91}">
    <text>This is the number of Tier I providers per sponsoring organization.</text>
  </threadedComment>
  <threadedComment ref="H23" personId="{8FD889CE-696B-439F-A3BA-C8B4FDEDA30C}" id="{8E8D60CC-07C4-4046-BF92-0B400D841C75}">
    <text>This is 1/3 of the number of Tier I providers per sponsoring organization.
This number is obtained through the use of a formula.</text>
  </threadedComment>
  <threadedComment ref="E27" dT="2021-05-21T10:38:50.14" personId="{8FD889CE-696B-439F-A3BA-C8B4FDEDA30C}" id="{136B6A19-B6CE-432E-91DE-2B26F2C1F999}">
    <text>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ext>
  </threadedComment>
</ThreadedComments>
</file>

<file path=xl/threadedComments/threadedComment3.xml><?xml version="1.0" encoding="utf-8"?>
<ThreadedComments xmlns="http://schemas.microsoft.com/office/spreadsheetml/2018/threadedcomments" xmlns:x="http://schemas.openxmlformats.org/spreadsheetml/2006/main">
  <threadedComment ref="F9" personId="{8FD889CE-696B-439F-A3BA-C8B4FDEDA30C}" id="{2D20FDD5-A7F2-4DEC-84C1-5B692E54FF3B}">
    <text>This requirement is not covered in the previously approved ICR.</text>
  </threadedComment>
  <threadedComment ref="G9" dT="2021-05-21T10:34:07.29" personId="{8FD889CE-696B-439F-A3BA-C8B4FDEDA30C}" id="{32919CF0-1B6F-45E0-B31C-6405044854BC}">
    <text>It is assumed that 50% of State agencies do this media release.</text>
  </threadedComment>
  <threadedComment ref="H9" personId="{8FD889CE-696B-439F-A3BA-C8B4FDEDA30C}" id="{F55BF6F2-60C8-4FBE-8EAB-98BCBE5E8E45}">
    <text>This is an annual requirement.</text>
  </threadedComment>
  <threadedComment ref="J9" personId="{8FD889CE-696B-439F-A3BA-C8B4FDEDA30C}" id="{F8FF9605-C4DF-43CB-BF16-ABCB352C27C1}">
    <text>Burden assumption takes into account use of advanced technology/automation.</text>
  </threadedComment>
  <threadedComment ref="F11" personId="{8FD889CE-696B-439F-A3BA-C8B4FDEDA30C}" id="{2D20FDD5-A7F2-4DED-84C1-5B692E54FF3B}">
    <text>This requirement is not covered in the previously approved ICR.</text>
  </threadedComment>
  <threadedComment ref="G11" dT="2021-05-21T10:34:35.64" personId="{8FD889CE-696B-439F-A3BA-C8B4FDEDA30C}" id="{41343DFF-750E-409E-88BE-B359579B4855}">
    <text>It is assumed that 50% of local government agencies do this media release.</text>
  </threadedComment>
  <threadedComment ref="H11" personId="{8FD889CE-696B-439F-A3BA-C8B4FDEDA30C}" id="{F55BF6F2-60C8-4FBF-8EAB-98BCBE5E8E45}">
    <text>This is an annual requirement.</text>
  </threadedComment>
  <threadedComment ref="J11" personId="{8FD889CE-696B-439F-A3BA-C8B4FDEDA30C}" id="{F8FF9605-C4DF-43CC-BF16-ABCB352C27C1}">
    <text>Burden assumption takes into account use of advanced technology/automation.</text>
  </threadedComment>
  <threadedComment ref="F15" personId="{8FD889CE-696B-439F-A3BA-C8B4FDEDA30C}" id="{708D940B-6957-4678-A5C5-59E916F50E4C}">
    <text>This requirement is not covered in the previously approved ICR.</text>
  </threadedComment>
  <threadedComment ref="G15" dT="2021-05-21T10:34:53.70" personId="{8FD889CE-696B-439F-A3BA-C8B4FDEDA30C}" id="{D0F8695C-CC6A-4135-A0AA-74F3DC7D2F97}">
    <text>It is assumed that 50% of institutions do this media release.</text>
  </threadedComment>
  <threadedComment ref="H15" personId="{8FD889CE-696B-439F-A3BA-C8B4FDEDA30C}" id="{F55BF6F2-60C8-4FC0-8EAB-98BCBE5E8E45}">
    <text>This is an annual requirement.</text>
  </threadedComment>
  <threadedComment ref="J15" personId="{8FD889CE-696B-439F-A3BA-C8B4FDEDA30C}" id="{F8FF9605-C4DF-43CD-BF16-ABCB352C27C1}">
    <text>Burden assumption takes into account use of advanced technology/automation.</text>
  </threadedComment>
</ThreadedComments>
</file>

<file path=xl/threadedComments/threadedComment4.xml><?xml version="1.0" encoding="utf-8"?>
<ThreadedComments xmlns="http://schemas.microsoft.com/office/spreadsheetml/2018/threadedcomments" xmlns:x="http://schemas.openxmlformats.org/spreadsheetml/2006/main">
  <threadedComment ref="C12" dT="2021-05-21T10:32:07.72" personId="{8FD889CE-696B-439F-A3BA-C8B4FDEDA30C}" id="{ABCACEF9-C39D-457C-8BFA-8CB3FD3665A4}">
    <text>This estimate is the total number of respondents. If there are respondents that conduct both reporting and recordkeeping activities, the respondent is counted once.</text>
  </threadedComment>
  <threadedComment ref="D12" dT="2021-05-21T10:32:37.40" personId="{8FD889CE-696B-439F-A3BA-C8B4FDEDA30C}" id="{8FE09178-4B70-4E53-90CD-81EC81D7F574}">
    <text>This estimate is obtained using the following calculation: [Total Annual Responses] / [Estimated Number of Respondents]. The values used in the calculation are the values in the "TOTAL BURDEN FOR #054-0055" row.</text>
  </threadedComment>
  <threadedComment ref="F12" dT="2021-05-21T10:32:54.56" personId="{8FD889CE-696B-439F-A3BA-C8B4FDEDA30C}" id="{2BF8C597-BC23-44C0-AC67-B714E03A49D6}">
    <text>This estimate is obtained using the following calculation: [Estimated Total Hours] / [Total Annual Responses]. The values used in the calculation are the values in the "TOTAL BURDEN FOR #054-0055" row.</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T156"/>
  <sheetViews>
    <sheetView showGridLines="0" tabSelected="1" zoomScale="70" zoomScaleNormal="70" zoomScalePageLayoutView="80" workbookViewId="0">
      <pane xSplit="4" ySplit="9" topLeftCell="E10" activePane="bottomRight" state="frozen"/>
      <selection pane="topRight" activeCell="H1" sqref="H1"/>
      <selection pane="bottomLeft" activeCell="A6" sqref="A6"/>
      <selection pane="bottomRight" activeCell="A99" sqref="A99"/>
    </sheetView>
  </sheetViews>
  <sheetFormatPr defaultColWidth="9.1796875" defaultRowHeight="14.5" x14ac:dyDescent="0.35"/>
  <cols>
    <col min="1" max="1" width="9.1796875" style="2"/>
    <col min="2" max="2" width="5.453125" style="2" customWidth="1"/>
    <col min="3" max="3" width="30.453125" style="122" customWidth="1"/>
    <col min="4" max="4" width="40.6328125" style="1" customWidth="1"/>
    <col min="5" max="5" width="33" style="122" customWidth="1"/>
    <col min="6" max="6" width="64.453125" style="1" customWidth="1"/>
    <col min="7" max="7" width="18.1796875" style="4" customWidth="1"/>
    <col min="8" max="8" width="17.1796875" style="4" customWidth="1"/>
    <col min="9" max="9" width="20.54296875" style="9" customWidth="1"/>
    <col min="10" max="10" width="20.7265625" style="20" customWidth="1"/>
    <col min="11" max="11" width="20.1796875" style="20" customWidth="1"/>
    <col min="12" max="12" width="19.453125" style="20" customWidth="1"/>
    <col min="13" max="14" width="22.54296875" style="20" customWidth="1"/>
    <col min="15" max="15" width="21.54296875" style="20" customWidth="1"/>
    <col min="16" max="16" width="19.453125" style="20" customWidth="1"/>
    <col min="17" max="17" width="22.54296875" style="20" customWidth="1"/>
    <col min="18" max="18" width="22.54296875" style="20" bestFit="1" customWidth="1"/>
    <col min="19" max="19" width="21.54296875" style="20" customWidth="1"/>
    <col min="20" max="20" width="70.81640625" style="2" customWidth="1"/>
    <col min="21" max="16384" width="9.1796875" style="2"/>
  </cols>
  <sheetData>
    <row r="1" spans="1:20" ht="14.5" customHeight="1" x14ac:dyDescent="0.35">
      <c r="A1" s="273" t="s">
        <v>493</v>
      </c>
      <c r="B1" s="273"/>
      <c r="C1" s="273"/>
      <c r="D1" s="273"/>
      <c r="E1" s="273"/>
      <c r="F1" s="273"/>
      <c r="G1" s="273"/>
      <c r="H1" s="273"/>
    </row>
    <row r="2" spans="1:20" ht="14.5" customHeight="1" x14ac:dyDescent="0.35">
      <c r="A2" s="273"/>
      <c r="B2" s="273"/>
      <c r="C2" s="273"/>
      <c r="D2" s="273"/>
      <c r="E2" s="273"/>
      <c r="F2" s="273"/>
      <c r="G2" s="273"/>
      <c r="H2" s="273"/>
    </row>
    <row r="3" spans="1:20" ht="23.5" customHeight="1" x14ac:dyDescent="0.35">
      <c r="A3" s="273"/>
      <c r="B3" s="273"/>
      <c r="C3" s="273"/>
      <c r="D3" s="273"/>
      <c r="E3" s="273"/>
      <c r="F3" s="273"/>
      <c r="G3" s="273"/>
      <c r="H3" s="273"/>
    </row>
    <row r="4" spans="1:20" ht="23.5" customHeight="1" x14ac:dyDescent="0.35">
      <c r="A4" s="273"/>
      <c r="B4" s="273"/>
      <c r="C4" s="273"/>
      <c r="D4" s="273"/>
      <c r="E4" s="273"/>
      <c r="F4" s="273"/>
      <c r="G4" s="273"/>
      <c r="H4" s="273"/>
    </row>
    <row r="5" spans="1:20" ht="51" customHeight="1" x14ac:dyDescent="0.35">
      <c r="C5" s="274" t="s">
        <v>1</v>
      </c>
      <c r="D5" s="274"/>
      <c r="E5" s="274"/>
      <c r="F5" s="274"/>
      <c r="G5" s="274"/>
      <c r="H5" s="274"/>
      <c r="I5" s="274"/>
      <c r="J5" s="274"/>
      <c r="K5" s="274"/>
      <c r="L5" s="274"/>
      <c r="M5" s="274"/>
      <c r="N5" s="274"/>
    </row>
    <row r="6" spans="1:20" ht="15" customHeight="1" x14ac:dyDescent="0.35">
      <c r="C6" s="2"/>
      <c r="D6" s="2"/>
      <c r="E6" s="2"/>
      <c r="F6" s="2"/>
      <c r="M6"/>
      <c r="N6"/>
      <c r="Q6"/>
      <c r="R6"/>
    </row>
    <row r="7" spans="1:20" ht="23.5" customHeight="1" x14ac:dyDescent="0.35">
      <c r="C7" s="275" t="s">
        <v>2</v>
      </c>
      <c r="D7" s="275"/>
      <c r="E7" s="276" t="s">
        <v>3</v>
      </c>
      <c r="F7" s="277"/>
      <c r="G7" s="100"/>
      <c r="L7" s="271" t="s">
        <v>4</v>
      </c>
      <c r="M7" s="271"/>
      <c r="N7" s="271"/>
      <c r="O7" s="271"/>
      <c r="P7" s="272" t="s">
        <v>5</v>
      </c>
      <c r="Q7" s="272"/>
      <c r="R7" s="272"/>
      <c r="S7" s="272"/>
    </row>
    <row r="8" spans="1:20" ht="81.75" customHeight="1" x14ac:dyDescent="0.35">
      <c r="C8" s="223" t="s">
        <v>6</v>
      </c>
      <c r="D8" s="60" t="s">
        <v>7</v>
      </c>
      <c r="E8" s="223" t="s">
        <v>6</v>
      </c>
      <c r="F8" s="60" t="s">
        <v>7</v>
      </c>
      <c r="G8" s="6" t="s">
        <v>8</v>
      </c>
      <c r="H8" s="7" t="s">
        <v>9</v>
      </c>
      <c r="I8" s="10" t="s">
        <v>10</v>
      </c>
      <c r="J8" s="21" t="s">
        <v>11</v>
      </c>
      <c r="K8" s="21" t="s">
        <v>12</v>
      </c>
      <c r="L8" s="21" t="s">
        <v>13</v>
      </c>
      <c r="M8" s="21" t="s">
        <v>14</v>
      </c>
      <c r="N8" s="21" t="s">
        <v>15</v>
      </c>
      <c r="O8" s="21" t="s">
        <v>16</v>
      </c>
      <c r="P8" s="21" t="s">
        <v>13</v>
      </c>
      <c r="Q8" s="21" t="s">
        <v>14</v>
      </c>
      <c r="R8" s="21" t="s">
        <v>15</v>
      </c>
      <c r="S8" s="21" t="s">
        <v>16</v>
      </c>
      <c r="T8" s="258" t="s">
        <v>17</v>
      </c>
    </row>
    <row r="9" spans="1:20" s="4" customFormat="1" x14ac:dyDescent="0.35">
      <c r="C9" s="27"/>
      <c r="D9" s="131"/>
      <c r="E9" s="27" t="s">
        <v>18</v>
      </c>
      <c r="F9" s="131" t="s">
        <v>19</v>
      </c>
      <c r="G9" s="224" t="s">
        <v>20</v>
      </c>
      <c r="H9" s="8" t="s">
        <v>21</v>
      </c>
      <c r="I9" s="11" t="s">
        <v>22</v>
      </c>
      <c r="J9" s="22" t="s">
        <v>23</v>
      </c>
      <c r="K9" s="22" t="s">
        <v>24</v>
      </c>
      <c r="L9" s="22" t="s">
        <v>25</v>
      </c>
      <c r="M9" s="22" t="s">
        <v>26</v>
      </c>
      <c r="N9" s="22" t="s">
        <v>27</v>
      </c>
      <c r="O9" s="22" t="s">
        <v>28</v>
      </c>
      <c r="P9" s="22" t="s">
        <v>25</v>
      </c>
      <c r="Q9" s="22" t="s">
        <v>26</v>
      </c>
      <c r="R9" s="22" t="s">
        <v>27</v>
      </c>
      <c r="S9" s="22" t="s">
        <v>28</v>
      </c>
      <c r="T9" s="258"/>
    </row>
    <row r="10" spans="1:20" ht="35.25" customHeight="1" x14ac:dyDescent="0.35">
      <c r="C10" s="261" t="s">
        <v>29</v>
      </c>
      <c r="D10" s="261"/>
      <c r="E10" s="265" t="s">
        <v>29</v>
      </c>
      <c r="F10" s="266"/>
      <c r="G10" s="266"/>
      <c r="H10" s="266"/>
      <c r="I10" s="266"/>
      <c r="J10" s="266"/>
      <c r="K10" s="266"/>
      <c r="L10" s="266"/>
      <c r="M10" s="266"/>
      <c r="N10" s="266"/>
      <c r="O10" s="266"/>
      <c r="P10" s="266"/>
      <c r="Q10" s="266"/>
      <c r="R10" s="266"/>
      <c r="S10" s="267"/>
      <c r="T10" s="130"/>
    </row>
    <row r="11" spans="1:20" ht="35.25" customHeight="1" x14ac:dyDescent="0.35">
      <c r="C11" s="261" t="s">
        <v>30</v>
      </c>
      <c r="D11" s="261"/>
      <c r="E11" s="265" t="s">
        <v>30</v>
      </c>
      <c r="F11" s="266"/>
      <c r="G11" s="266"/>
      <c r="H11" s="266"/>
      <c r="I11" s="266"/>
      <c r="J11" s="266"/>
      <c r="K11" s="266"/>
      <c r="L11" s="266"/>
      <c r="M11" s="266"/>
      <c r="N11" s="266"/>
      <c r="O11" s="266"/>
      <c r="P11" s="266"/>
      <c r="Q11" s="266"/>
      <c r="R11" s="266"/>
      <c r="S11" s="267"/>
      <c r="T11" s="130"/>
    </row>
    <row r="12" spans="1:20" ht="43.5" x14ac:dyDescent="0.35">
      <c r="C12" s="61" t="s">
        <v>31</v>
      </c>
      <c r="D12" s="62" t="s">
        <v>32</v>
      </c>
      <c r="E12" s="63" t="s">
        <v>31</v>
      </c>
      <c r="F12" s="46" t="s">
        <v>33</v>
      </c>
      <c r="G12" s="5">
        <f>ROUND(Assumptions!D10/3,0)</f>
        <v>19</v>
      </c>
      <c r="H12" s="5">
        <v>0</v>
      </c>
      <c r="I12" s="50">
        <f>G12*H12</f>
        <v>0</v>
      </c>
      <c r="J12" s="50">
        <v>1</v>
      </c>
      <c r="K12" s="50">
        <f t="shared" ref="K12:K60" si="0">I12*J12</f>
        <v>0</v>
      </c>
      <c r="L12" s="50">
        <f>K12</f>
        <v>0</v>
      </c>
      <c r="M12" s="50"/>
      <c r="N12" s="50">
        <f>K12-L12</f>
        <v>0</v>
      </c>
      <c r="O12" s="50">
        <f>M12+N12</f>
        <v>0</v>
      </c>
      <c r="P12" s="50">
        <v>0</v>
      </c>
      <c r="Q12" s="50">
        <f>K12-P12</f>
        <v>0</v>
      </c>
      <c r="R12" s="51"/>
      <c r="S12" s="50">
        <f>Q12+R12</f>
        <v>0</v>
      </c>
      <c r="T12" s="44" t="s">
        <v>34</v>
      </c>
    </row>
    <row r="13" spans="1:20" ht="36" customHeight="1" x14ac:dyDescent="0.35">
      <c r="C13" s="163"/>
      <c r="D13" s="164"/>
      <c r="E13" s="165" t="s">
        <v>35</v>
      </c>
      <c r="F13" s="166" t="s">
        <v>36</v>
      </c>
      <c r="G13" s="167">
        <f>Assumptions!D10</f>
        <v>56</v>
      </c>
      <c r="H13" s="167">
        <f>ROUND(Assumptions!D29/Assumptions!D10,0)</f>
        <v>5</v>
      </c>
      <c r="I13" s="168">
        <f>G13*H13</f>
        <v>280</v>
      </c>
      <c r="J13" s="168">
        <v>1</v>
      </c>
      <c r="K13" s="168">
        <f t="shared" ref="K13" si="1">I13*J13</f>
        <v>280</v>
      </c>
      <c r="L13" s="168">
        <f>K13</f>
        <v>280</v>
      </c>
      <c r="M13" s="168"/>
      <c r="N13" s="168">
        <f t="shared" ref="N13:N61" si="2">K13-L13</f>
        <v>0</v>
      </c>
      <c r="O13" s="168">
        <f>M13+N13</f>
        <v>0</v>
      </c>
      <c r="P13" s="168">
        <v>0</v>
      </c>
      <c r="Q13" s="168"/>
      <c r="R13" s="168">
        <f>K13-P13</f>
        <v>280</v>
      </c>
      <c r="S13" s="168">
        <f>Q13+R13</f>
        <v>280</v>
      </c>
      <c r="T13" s="169" t="s">
        <v>37</v>
      </c>
    </row>
    <row r="14" spans="1:20" ht="36" customHeight="1" x14ac:dyDescent="0.35">
      <c r="C14" s="163"/>
      <c r="D14" s="164"/>
      <c r="E14" s="165" t="s">
        <v>38</v>
      </c>
      <c r="F14" s="166" t="s">
        <v>39</v>
      </c>
      <c r="G14" s="167">
        <f>Assumptions!D10</f>
        <v>56</v>
      </c>
      <c r="H14" s="167">
        <f>ROUND(Assumptions!D25/Assumptions!D10,0)</f>
        <v>390</v>
      </c>
      <c r="I14" s="168">
        <f>G14*H14</f>
        <v>21840</v>
      </c>
      <c r="J14" s="170">
        <v>0.5</v>
      </c>
      <c r="K14" s="168">
        <f t="shared" ref="K14" si="3">I14*J14</f>
        <v>10920</v>
      </c>
      <c r="L14" s="50">
        <f t="shared" ref="L14:L61" si="4">K14</f>
        <v>10920</v>
      </c>
      <c r="M14" s="168"/>
      <c r="N14" s="168">
        <f t="shared" si="2"/>
        <v>0</v>
      </c>
      <c r="O14" s="168">
        <f>M14+N14</f>
        <v>0</v>
      </c>
      <c r="P14" s="168">
        <v>0</v>
      </c>
      <c r="Q14" s="168"/>
      <c r="R14" s="168">
        <f>K14-P14</f>
        <v>10920</v>
      </c>
      <c r="S14" s="168">
        <f>Q14+R14</f>
        <v>10920</v>
      </c>
      <c r="T14" s="169" t="s">
        <v>40</v>
      </c>
    </row>
    <row r="15" spans="1:20" ht="80.25" customHeight="1" x14ac:dyDescent="0.35">
      <c r="C15" s="61" t="s">
        <v>41</v>
      </c>
      <c r="D15" s="62" t="s">
        <v>42</v>
      </c>
      <c r="E15" s="97" t="s">
        <v>43</v>
      </c>
      <c r="F15" s="46" t="s">
        <v>44</v>
      </c>
      <c r="G15" s="5">
        <f>Assumptions!D10</f>
        <v>56</v>
      </c>
      <c r="H15" s="5">
        <v>15</v>
      </c>
      <c r="I15" s="50">
        <f>G15*H15</f>
        <v>840</v>
      </c>
      <c r="J15" s="51">
        <v>0.25</v>
      </c>
      <c r="K15" s="50">
        <f t="shared" si="0"/>
        <v>210</v>
      </c>
      <c r="L15" s="168">
        <f t="shared" si="4"/>
        <v>210</v>
      </c>
      <c r="M15" s="50"/>
      <c r="N15" s="50">
        <f t="shared" si="2"/>
        <v>0</v>
      </c>
      <c r="O15" s="50">
        <f t="shared" ref="O15:O72" si="5">M15+N15</f>
        <v>0</v>
      </c>
      <c r="P15" s="50">
        <v>210</v>
      </c>
      <c r="Q15" s="50">
        <f>K15-P15</f>
        <v>0</v>
      </c>
      <c r="R15" s="51"/>
      <c r="S15" s="50">
        <f t="shared" ref="S15:S26" si="6">Q15+R15</f>
        <v>0</v>
      </c>
      <c r="T15" s="44"/>
    </row>
    <row r="16" spans="1:20" ht="51" customHeight="1" x14ac:dyDescent="0.35">
      <c r="C16" s="163"/>
      <c r="D16" s="164"/>
      <c r="E16" s="171" t="s">
        <v>45</v>
      </c>
      <c r="F16" s="166" t="s">
        <v>46</v>
      </c>
      <c r="G16" s="167">
        <f>Assumptions!D10</f>
        <v>56</v>
      </c>
      <c r="H16" s="167">
        <f>ROUND(Assumptions!D29/Assumptions!D10,0)</f>
        <v>5</v>
      </c>
      <c r="I16" s="168">
        <f t="shared" ref="I16" si="7">G16*H16</f>
        <v>280</v>
      </c>
      <c r="J16" s="170">
        <v>0.5</v>
      </c>
      <c r="K16" s="168">
        <f t="shared" si="0"/>
        <v>140</v>
      </c>
      <c r="L16" s="50">
        <f t="shared" si="4"/>
        <v>140</v>
      </c>
      <c r="M16" s="168"/>
      <c r="N16" s="168">
        <f t="shared" si="2"/>
        <v>0</v>
      </c>
      <c r="O16" s="168">
        <f t="shared" si="5"/>
        <v>0</v>
      </c>
      <c r="P16" s="168">
        <v>0</v>
      </c>
      <c r="Q16" s="168"/>
      <c r="R16" s="168">
        <f>K16-P16</f>
        <v>140</v>
      </c>
      <c r="S16" s="168">
        <f t="shared" si="6"/>
        <v>140</v>
      </c>
      <c r="T16" s="169"/>
    </row>
    <row r="17" spans="3:20" ht="93.75" customHeight="1" x14ac:dyDescent="0.35">
      <c r="C17" s="61" t="s">
        <v>47</v>
      </c>
      <c r="D17" s="62" t="s">
        <v>48</v>
      </c>
      <c r="E17" s="64" t="s">
        <v>49</v>
      </c>
      <c r="F17" s="64" t="s">
        <v>50</v>
      </c>
      <c r="G17" s="5">
        <f>Assumptions!D10</f>
        <v>56</v>
      </c>
      <c r="H17" s="5">
        <v>10</v>
      </c>
      <c r="I17" s="50">
        <f>G17*H17</f>
        <v>560</v>
      </c>
      <c r="J17" s="51">
        <v>0.25</v>
      </c>
      <c r="K17" s="50">
        <f t="shared" si="0"/>
        <v>140</v>
      </c>
      <c r="L17" s="168">
        <f t="shared" si="4"/>
        <v>140</v>
      </c>
      <c r="M17" s="50"/>
      <c r="N17" s="50">
        <f t="shared" si="2"/>
        <v>0</v>
      </c>
      <c r="O17" s="50">
        <f t="shared" si="5"/>
        <v>0</v>
      </c>
      <c r="P17" s="50">
        <v>140</v>
      </c>
      <c r="Q17" s="50">
        <f t="shared" ref="Q17:Q22" si="8">K17-P17</f>
        <v>0</v>
      </c>
      <c r="R17" s="51"/>
      <c r="S17" s="50">
        <f t="shared" si="6"/>
        <v>0</v>
      </c>
      <c r="T17" s="44"/>
    </row>
    <row r="18" spans="3:20" ht="64.5" customHeight="1" x14ac:dyDescent="0.35">
      <c r="C18" s="163"/>
      <c r="D18" s="164"/>
      <c r="E18" s="181" t="s">
        <v>51</v>
      </c>
      <c r="F18" s="181" t="s">
        <v>52</v>
      </c>
      <c r="G18" s="167">
        <f>Assumptions!D10</f>
        <v>56</v>
      </c>
      <c r="H18" s="167">
        <v>7</v>
      </c>
      <c r="I18" s="168">
        <f t="shared" ref="I18:I72" si="9">G18*H18</f>
        <v>392</v>
      </c>
      <c r="J18" s="172">
        <v>0.25</v>
      </c>
      <c r="K18" s="168">
        <f t="shared" si="0"/>
        <v>98</v>
      </c>
      <c r="L18" s="50">
        <f t="shared" si="4"/>
        <v>98</v>
      </c>
      <c r="M18" s="168"/>
      <c r="N18" s="168">
        <f t="shared" si="2"/>
        <v>0</v>
      </c>
      <c r="O18" s="168">
        <f t="shared" si="5"/>
        <v>0</v>
      </c>
      <c r="P18" s="168">
        <v>0</v>
      </c>
      <c r="Q18" s="168"/>
      <c r="R18" s="168">
        <f t="shared" ref="R18:R19" si="10">K18-P18</f>
        <v>98</v>
      </c>
      <c r="S18" s="168">
        <f t="shared" si="6"/>
        <v>98</v>
      </c>
      <c r="T18" s="169"/>
    </row>
    <row r="19" spans="3:20" ht="63.75" customHeight="1" x14ac:dyDescent="0.35">
      <c r="C19" s="163"/>
      <c r="D19" s="164"/>
      <c r="E19" s="181" t="s">
        <v>53</v>
      </c>
      <c r="F19" s="181" t="s">
        <v>54</v>
      </c>
      <c r="G19" s="167">
        <f>Assumptions!D10</f>
        <v>56</v>
      </c>
      <c r="H19" s="167">
        <v>3</v>
      </c>
      <c r="I19" s="168">
        <f t="shared" si="9"/>
        <v>168</v>
      </c>
      <c r="J19" s="172">
        <v>0.25</v>
      </c>
      <c r="K19" s="168">
        <f t="shared" si="0"/>
        <v>42</v>
      </c>
      <c r="L19" s="168">
        <f t="shared" si="4"/>
        <v>42</v>
      </c>
      <c r="M19" s="168"/>
      <c r="N19" s="168">
        <f t="shared" si="2"/>
        <v>0</v>
      </c>
      <c r="O19" s="168">
        <f t="shared" si="5"/>
        <v>0</v>
      </c>
      <c r="P19" s="168">
        <v>0</v>
      </c>
      <c r="Q19" s="168"/>
      <c r="R19" s="168">
        <f t="shared" si="10"/>
        <v>42</v>
      </c>
      <c r="S19" s="168">
        <f t="shared" si="6"/>
        <v>42</v>
      </c>
      <c r="T19" s="169"/>
    </row>
    <row r="20" spans="3:20" ht="69" customHeight="1" x14ac:dyDescent="0.35">
      <c r="C20" s="61" t="s">
        <v>47</v>
      </c>
      <c r="D20" s="62" t="s">
        <v>55</v>
      </c>
      <c r="E20" s="64" t="s">
        <v>56</v>
      </c>
      <c r="F20" s="64" t="s">
        <v>57</v>
      </c>
      <c r="G20" s="5">
        <f>Assumptions!D10</f>
        <v>56</v>
      </c>
      <c r="H20" s="5">
        <v>3</v>
      </c>
      <c r="I20" s="50">
        <f t="shared" si="9"/>
        <v>168</v>
      </c>
      <c r="J20" s="51">
        <v>0.25</v>
      </c>
      <c r="K20" s="50">
        <f t="shared" si="0"/>
        <v>42</v>
      </c>
      <c r="L20" s="50">
        <f t="shared" si="4"/>
        <v>42</v>
      </c>
      <c r="M20" s="50"/>
      <c r="N20" s="50">
        <f t="shared" si="2"/>
        <v>0</v>
      </c>
      <c r="O20" s="50">
        <f t="shared" si="5"/>
        <v>0</v>
      </c>
      <c r="P20" s="50">
        <v>140</v>
      </c>
      <c r="Q20" s="50">
        <f t="shared" si="8"/>
        <v>-98</v>
      </c>
      <c r="R20" s="51"/>
      <c r="S20" s="50">
        <f t="shared" si="6"/>
        <v>-98</v>
      </c>
      <c r="T20" s="26"/>
    </row>
    <row r="21" spans="3:20" ht="108" customHeight="1" x14ac:dyDescent="0.35">
      <c r="C21" s="61" t="s">
        <v>47</v>
      </c>
      <c r="D21" s="62" t="s">
        <v>55</v>
      </c>
      <c r="E21" s="64" t="s">
        <v>58</v>
      </c>
      <c r="F21" s="64" t="s">
        <v>59</v>
      </c>
      <c r="G21" s="5">
        <f>Assumptions!D10</f>
        <v>56</v>
      </c>
      <c r="H21" s="5">
        <v>3</v>
      </c>
      <c r="I21" s="50">
        <f t="shared" ref="I21" si="11">G21*H21</f>
        <v>168</v>
      </c>
      <c r="J21" s="51">
        <v>0.25</v>
      </c>
      <c r="K21" s="50">
        <f t="shared" si="0"/>
        <v>42</v>
      </c>
      <c r="L21" s="168">
        <f t="shared" si="4"/>
        <v>42</v>
      </c>
      <c r="M21" s="50"/>
      <c r="N21" s="50">
        <f t="shared" si="2"/>
        <v>0</v>
      </c>
      <c r="O21" s="50">
        <f t="shared" ref="O21" si="12">M21+N21</f>
        <v>0</v>
      </c>
      <c r="P21" s="50">
        <v>70</v>
      </c>
      <c r="Q21" s="50">
        <f t="shared" si="8"/>
        <v>-28</v>
      </c>
      <c r="R21" s="51"/>
      <c r="S21" s="50">
        <f t="shared" si="6"/>
        <v>-28</v>
      </c>
      <c r="T21" s="26"/>
    </row>
    <row r="22" spans="3:20" ht="94.5" customHeight="1" x14ac:dyDescent="0.35">
      <c r="C22" s="61" t="s">
        <v>47</v>
      </c>
      <c r="D22" s="62" t="s">
        <v>60</v>
      </c>
      <c r="E22" s="64" t="s">
        <v>61</v>
      </c>
      <c r="F22" s="64" t="s">
        <v>62</v>
      </c>
      <c r="G22" s="5">
        <f>Assumptions!D10</f>
        <v>56</v>
      </c>
      <c r="H22" s="5">
        <v>3</v>
      </c>
      <c r="I22" s="50">
        <f t="shared" si="9"/>
        <v>168</v>
      </c>
      <c r="J22" s="51">
        <v>0.25</v>
      </c>
      <c r="K22" s="50">
        <f t="shared" si="0"/>
        <v>42</v>
      </c>
      <c r="L22" s="50">
        <f t="shared" si="4"/>
        <v>42</v>
      </c>
      <c r="M22" s="50"/>
      <c r="N22" s="50">
        <f t="shared" si="2"/>
        <v>0</v>
      </c>
      <c r="O22" s="50">
        <f t="shared" si="5"/>
        <v>0</v>
      </c>
      <c r="P22" s="50">
        <v>70</v>
      </c>
      <c r="Q22" s="50">
        <f t="shared" si="8"/>
        <v>-28</v>
      </c>
      <c r="R22" s="51"/>
      <c r="S22" s="50">
        <f t="shared" si="6"/>
        <v>-28</v>
      </c>
      <c r="T22" s="26"/>
    </row>
    <row r="23" spans="3:20" ht="78.75" customHeight="1" x14ac:dyDescent="0.35">
      <c r="C23" s="163"/>
      <c r="D23" s="164"/>
      <c r="E23" s="181" t="s">
        <v>63</v>
      </c>
      <c r="F23" s="181" t="s">
        <v>64</v>
      </c>
      <c r="G23" s="167">
        <f>Assumptions!D10</f>
        <v>56</v>
      </c>
      <c r="H23" s="167">
        <v>1</v>
      </c>
      <c r="I23" s="168">
        <f t="shared" si="9"/>
        <v>56</v>
      </c>
      <c r="J23" s="172">
        <v>0.25</v>
      </c>
      <c r="K23" s="168">
        <f t="shared" si="0"/>
        <v>14</v>
      </c>
      <c r="L23" s="168">
        <f t="shared" si="4"/>
        <v>14</v>
      </c>
      <c r="M23" s="168"/>
      <c r="N23" s="168">
        <f t="shared" si="2"/>
        <v>0</v>
      </c>
      <c r="O23" s="168">
        <f t="shared" si="5"/>
        <v>0</v>
      </c>
      <c r="P23" s="168">
        <v>0</v>
      </c>
      <c r="Q23" s="168"/>
      <c r="R23" s="168">
        <f t="shared" ref="R23:R24" si="13">K23-P23</f>
        <v>14</v>
      </c>
      <c r="S23" s="168">
        <f t="shared" si="6"/>
        <v>14</v>
      </c>
      <c r="T23" s="173"/>
    </row>
    <row r="24" spans="3:20" ht="126" customHeight="1" x14ac:dyDescent="0.35">
      <c r="C24" s="163"/>
      <c r="D24" s="164"/>
      <c r="E24" s="181" t="s">
        <v>65</v>
      </c>
      <c r="F24" s="181" t="s">
        <v>66</v>
      </c>
      <c r="G24" s="167">
        <f>Assumptions!D10</f>
        <v>56</v>
      </c>
      <c r="H24" s="167">
        <v>3</v>
      </c>
      <c r="I24" s="168">
        <f t="shared" si="9"/>
        <v>168</v>
      </c>
      <c r="J24" s="167">
        <v>0.25</v>
      </c>
      <c r="K24" s="168">
        <f t="shared" ref="K24" si="14">I24*J24</f>
        <v>42</v>
      </c>
      <c r="L24" s="50">
        <f t="shared" si="4"/>
        <v>42</v>
      </c>
      <c r="M24" s="168"/>
      <c r="N24" s="168">
        <f t="shared" si="2"/>
        <v>0</v>
      </c>
      <c r="O24" s="168">
        <f t="shared" ref="O24" si="15">M24+N24</f>
        <v>0</v>
      </c>
      <c r="P24" s="168">
        <v>0</v>
      </c>
      <c r="Q24" s="168"/>
      <c r="R24" s="168">
        <f t="shared" si="13"/>
        <v>42</v>
      </c>
      <c r="S24" s="168">
        <f t="shared" si="6"/>
        <v>42</v>
      </c>
      <c r="T24" s="173"/>
    </row>
    <row r="25" spans="3:20" ht="69.650000000000006" customHeight="1" x14ac:dyDescent="0.35">
      <c r="C25" s="62" t="s">
        <v>67</v>
      </c>
      <c r="D25" s="62" t="s">
        <v>68</v>
      </c>
      <c r="E25" s="49" t="s">
        <v>69</v>
      </c>
      <c r="F25" s="46" t="s">
        <v>70</v>
      </c>
      <c r="G25" s="5">
        <f>Assumptions!D10</f>
        <v>56</v>
      </c>
      <c r="H25" s="5">
        <v>12</v>
      </c>
      <c r="I25" s="50">
        <f t="shared" si="9"/>
        <v>672</v>
      </c>
      <c r="J25" s="51">
        <v>0.25</v>
      </c>
      <c r="K25" s="50">
        <f t="shared" si="0"/>
        <v>168</v>
      </c>
      <c r="L25" s="168">
        <f t="shared" si="4"/>
        <v>168</v>
      </c>
      <c r="M25" s="50"/>
      <c r="N25" s="50">
        <f t="shared" si="2"/>
        <v>0</v>
      </c>
      <c r="O25" s="50">
        <f t="shared" si="5"/>
        <v>0</v>
      </c>
      <c r="P25" s="50">
        <v>168</v>
      </c>
      <c r="Q25" s="50">
        <f t="shared" ref="Q25:Q27" si="16">K25-P25</f>
        <v>0</v>
      </c>
      <c r="R25" s="51"/>
      <c r="S25" s="50">
        <f t="shared" si="6"/>
        <v>0</v>
      </c>
      <c r="T25" s="44"/>
    </row>
    <row r="26" spans="3:20" ht="98.5" customHeight="1" x14ac:dyDescent="0.35">
      <c r="C26" s="62" t="s">
        <v>71</v>
      </c>
      <c r="D26" s="62" t="s">
        <v>72</v>
      </c>
      <c r="E26" s="98" t="s">
        <v>73</v>
      </c>
      <c r="F26" s="46" t="s">
        <v>74</v>
      </c>
      <c r="G26" s="5">
        <f>Assumptions!D11</f>
        <v>10</v>
      </c>
      <c r="H26" s="5">
        <v>1</v>
      </c>
      <c r="I26" s="50">
        <f t="shared" si="9"/>
        <v>10</v>
      </c>
      <c r="J26" s="50">
        <v>1</v>
      </c>
      <c r="K26" s="50">
        <f t="shared" si="0"/>
        <v>10</v>
      </c>
      <c r="L26" s="50">
        <f t="shared" si="4"/>
        <v>10</v>
      </c>
      <c r="M26" s="50"/>
      <c r="N26" s="50">
        <f t="shared" si="2"/>
        <v>0</v>
      </c>
      <c r="O26" s="50">
        <f t="shared" si="5"/>
        <v>0</v>
      </c>
      <c r="P26" s="50">
        <v>10</v>
      </c>
      <c r="Q26" s="50">
        <f t="shared" si="16"/>
        <v>0</v>
      </c>
      <c r="R26" s="51"/>
      <c r="S26" s="50">
        <f t="shared" si="6"/>
        <v>0</v>
      </c>
      <c r="T26" s="44"/>
    </row>
    <row r="27" spans="3:20" ht="43.5" x14ac:dyDescent="0.35">
      <c r="C27" s="61" t="s">
        <v>75</v>
      </c>
      <c r="D27" s="62" t="s">
        <v>76</v>
      </c>
      <c r="E27" s="49" t="s">
        <v>77</v>
      </c>
      <c r="F27" s="46" t="s">
        <v>78</v>
      </c>
      <c r="G27" s="5">
        <f>Assumptions!D12</f>
        <v>10</v>
      </c>
      <c r="H27" s="5">
        <v>1</v>
      </c>
      <c r="I27" s="50">
        <f>G27*H27</f>
        <v>10</v>
      </c>
      <c r="J27" s="50">
        <v>3</v>
      </c>
      <c r="K27" s="50">
        <f>I27*J27</f>
        <v>30</v>
      </c>
      <c r="L27" s="168">
        <f t="shared" si="4"/>
        <v>30</v>
      </c>
      <c r="M27" s="50"/>
      <c r="N27" s="50">
        <f t="shared" si="2"/>
        <v>0</v>
      </c>
      <c r="O27" s="50">
        <f>M27+N27</f>
        <v>0</v>
      </c>
      <c r="P27" s="50">
        <v>30</v>
      </c>
      <c r="Q27" s="50">
        <f t="shared" si="16"/>
        <v>0</v>
      </c>
      <c r="R27" s="51"/>
      <c r="S27" s="50">
        <f>Q27+R27</f>
        <v>0</v>
      </c>
      <c r="T27" s="44"/>
    </row>
    <row r="28" spans="3:20" ht="63" customHeight="1" x14ac:dyDescent="0.35">
      <c r="C28" s="164"/>
      <c r="D28" s="164"/>
      <c r="E28" s="174" t="s">
        <v>79</v>
      </c>
      <c r="F28" s="166" t="s">
        <v>80</v>
      </c>
      <c r="G28" s="167">
        <f>Assumptions!$D$10</f>
        <v>56</v>
      </c>
      <c r="H28" s="167">
        <v>1</v>
      </c>
      <c r="I28" s="168">
        <f t="shared" ref="I28" si="17">G28*H28</f>
        <v>56</v>
      </c>
      <c r="J28" s="167">
        <v>0.5</v>
      </c>
      <c r="K28" s="168">
        <f t="shared" ref="K28" si="18">I28*J28</f>
        <v>28</v>
      </c>
      <c r="L28" s="50">
        <f t="shared" si="4"/>
        <v>28</v>
      </c>
      <c r="M28" s="168"/>
      <c r="N28" s="168">
        <f t="shared" si="2"/>
        <v>0</v>
      </c>
      <c r="O28" s="168">
        <f t="shared" ref="O28" si="19">M28+N28</f>
        <v>0</v>
      </c>
      <c r="P28" s="168">
        <v>0</v>
      </c>
      <c r="Q28" s="168"/>
      <c r="R28" s="168">
        <f t="shared" ref="R28:R29" si="20">K28-P28</f>
        <v>28</v>
      </c>
      <c r="S28" s="168">
        <f t="shared" ref="S28:S60" si="21">Q28+R28</f>
        <v>28</v>
      </c>
      <c r="T28" s="169"/>
    </row>
    <row r="29" spans="3:20" ht="53.25" customHeight="1" x14ac:dyDescent="0.35">
      <c r="C29" s="163"/>
      <c r="D29" s="164"/>
      <c r="E29" s="174" t="s">
        <v>81</v>
      </c>
      <c r="F29" s="166" t="s">
        <v>82</v>
      </c>
      <c r="G29" s="167">
        <f>Assumptions!$D$10</f>
        <v>56</v>
      </c>
      <c r="H29" s="167">
        <v>1</v>
      </c>
      <c r="I29" s="168">
        <f t="shared" si="9"/>
        <v>56</v>
      </c>
      <c r="J29" s="167">
        <v>0.25</v>
      </c>
      <c r="K29" s="168">
        <f t="shared" si="0"/>
        <v>14</v>
      </c>
      <c r="L29" s="168">
        <f t="shared" si="4"/>
        <v>14</v>
      </c>
      <c r="M29" s="168"/>
      <c r="N29" s="168">
        <f t="shared" si="2"/>
        <v>0</v>
      </c>
      <c r="O29" s="168">
        <f t="shared" ref="O29" si="22">M29+N29</f>
        <v>0</v>
      </c>
      <c r="P29" s="168">
        <v>0</v>
      </c>
      <c r="Q29" s="168"/>
      <c r="R29" s="168">
        <f t="shared" si="20"/>
        <v>14</v>
      </c>
      <c r="S29" s="168">
        <f t="shared" si="21"/>
        <v>14</v>
      </c>
      <c r="T29" s="169"/>
    </row>
    <row r="30" spans="3:20" ht="76.5" customHeight="1" x14ac:dyDescent="0.35">
      <c r="C30" s="61" t="s">
        <v>83</v>
      </c>
      <c r="D30" s="62" t="s">
        <v>84</v>
      </c>
      <c r="E30" s="49" t="s">
        <v>83</v>
      </c>
      <c r="F30" s="46" t="s">
        <v>85</v>
      </c>
      <c r="G30" s="5">
        <f>Assumptions!D10</f>
        <v>56</v>
      </c>
      <c r="H30" s="5">
        <v>1</v>
      </c>
      <c r="I30" s="50">
        <f t="shared" si="9"/>
        <v>56</v>
      </c>
      <c r="J30" s="51">
        <v>0.5</v>
      </c>
      <c r="K30" s="50">
        <f t="shared" si="0"/>
        <v>28</v>
      </c>
      <c r="L30" s="50">
        <f t="shared" si="4"/>
        <v>28</v>
      </c>
      <c r="M30" s="50"/>
      <c r="N30" s="50">
        <f t="shared" si="2"/>
        <v>0</v>
      </c>
      <c r="O30" s="50">
        <f t="shared" si="5"/>
        <v>0</v>
      </c>
      <c r="P30" s="50">
        <v>28</v>
      </c>
      <c r="Q30" s="50">
        <f t="shared" ref="Q30:Q39" si="23">K30-P30</f>
        <v>0</v>
      </c>
      <c r="R30" s="51"/>
      <c r="S30" s="50">
        <f t="shared" si="21"/>
        <v>0</v>
      </c>
      <c r="T30" s="44"/>
    </row>
    <row r="31" spans="3:20" ht="43.5" x14ac:dyDescent="0.35">
      <c r="C31" s="61" t="s">
        <v>86</v>
      </c>
      <c r="D31" s="62" t="s">
        <v>87</v>
      </c>
      <c r="E31" s="49" t="s">
        <v>88</v>
      </c>
      <c r="F31" s="46" t="s">
        <v>89</v>
      </c>
      <c r="G31" s="5">
        <f>Assumptions!D10</f>
        <v>56</v>
      </c>
      <c r="H31" s="5">
        <f>ROUND((G67+G96)/G31,0)</f>
        <v>11</v>
      </c>
      <c r="I31" s="50">
        <f t="shared" si="9"/>
        <v>616</v>
      </c>
      <c r="J31" s="51">
        <v>0.25</v>
      </c>
      <c r="K31" s="50">
        <f t="shared" si="0"/>
        <v>154</v>
      </c>
      <c r="L31" s="168">
        <f t="shared" si="4"/>
        <v>154</v>
      </c>
      <c r="M31" s="50"/>
      <c r="N31" s="50">
        <f t="shared" si="2"/>
        <v>0</v>
      </c>
      <c r="O31" s="50">
        <f t="shared" si="5"/>
        <v>0</v>
      </c>
      <c r="P31" s="50">
        <v>210</v>
      </c>
      <c r="Q31" s="50">
        <f t="shared" si="23"/>
        <v>-56</v>
      </c>
      <c r="R31" s="51"/>
      <c r="S31" s="50">
        <f t="shared" si="21"/>
        <v>-56</v>
      </c>
      <c r="T31" s="44"/>
    </row>
    <row r="32" spans="3:20" ht="71" customHeight="1" x14ac:dyDescent="0.35">
      <c r="C32" s="62" t="s">
        <v>90</v>
      </c>
      <c r="D32" s="62" t="s">
        <v>91</v>
      </c>
      <c r="E32" s="49" t="s">
        <v>92</v>
      </c>
      <c r="F32" s="46" t="s">
        <v>93</v>
      </c>
      <c r="G32" s="5">
        <f>Assumptions!D10</f>
        <v>56</v>
      </c>
      <c r="H32" s="5">
        <f>ROUND((G67+G96)/G32,0)</f>
        <v>11</v>
      </c>
      <c r="I32" s="50">
        <f t="shared" si="9"/>
        <v>616</v>
      </c>
      <c r="J32" s="51">
        <v>0.25</v>
      </c>
      <c r="K32" s="50">
        <f t="shared" si="0"/>
        <v>154</v>
      </c>
      <c r="L32" s="50">
        <f t="shared" si="4"/>
        <v>154</v>
      </c>
      <c r="M32" s="50"/>
      <c r="N32" s="50">
        <f t="shared" si="2"/>
        <v>0</v>
      </c>
      <c r="O32" s="50">
        <f t="shared" si="5"/>
        <v>0</v>
      </c>
      <c r="P32" s="50">
        <v>210</v>
      </c>
      <c r="Q32" s="50">
        <f t="shared" si="23"/>
        <v>-56</v>
      </c>
      <c r="R32" s="51"/>
      <c r="S32" s="50">
        <f t="shared" si="21"/>
        <v>-56</v>
      </c>
      <c r="T32" s="44"/>
    </row>
    <row r="33" spans="3:20" ht="43" customHeight="1" x14ac:dyDescent="0.35">
      <c r="C33" s="62" t="s">
        <v>94</v>
      </c>
      <c r="D33" s="62" t="s">
        <v>95</v>
      </c>
      <c r="E33" s="49" t="s">
        <v>96</v>
      </c>
      <c r="F33" s="46" t="s">
        <v>97</v>
      </c>
      <c r="G33" s="5">
        <f>Assumptions!D10</f>
        <v>56</v>
      </c>
      <c r="H33" s="5">
        <v>1</v>
      </c>
      <c r="I33" s="50">
        <f t="shared" si="9"/>
        <v>56</v>
      </c>
      <c r="J33" s="51">
        <v>0.25</v>
      </c>
      <c r="K33" s="50">
        <f t="shared" si="0"/>
        <v>14</v>
      </c>
      <c r="L33" s="168">
        <f t="shared" si="4"/>
        <v>14</v>
      </c>
      <c r="M33" s="50"/>
      <c r="N33" s="50">
        <f t="shared" si="2"/>
        <v>0</v>
      </c>
      <c r="O33" s="50">
        <f t="shared" si="5"/>
        <v>0</v>
      </c>
      <c r="P33" s="50">
        <v>14</v>
      </c>
      <c r="Q33" s="50">
        <f t="shared" si="23"/>
        <v>0</v>
      </c>
      <c r="R33" s="51"/>
      <c r="S33" s="50">
        <f t="shared" si="21"/>
        <v>0</v>
      </c>
      <c r="T33" s="44"/>
    </row>
    <row r="34" spans="3:20" ht="58" x14ac:dyDescent="0.35">
      <c r="C34" s="64" t="s">
        <v>98</v>
      </c>
      <c r="D34" s="62" t="s">
        <v>99</v>
      </c>
      <c r="E34" s="49" t="s">
        <v>100</v>
      </c>
      <c r="F34" s="46" t="s">
        <v>101</v>
      </c>
      <c r="G34" s="5">
        <f>Assumptions!D10</f>
        <v>56</v>
      </c>
      <c r="H34" s="5">
        <v>1</v>
      </c>
      <c r="I34" s="50">
        <f t="shared" si="9"/>
        <v>56</v>
      </c>
      <c r="J34" s="50">
        <v>2</v>
      </c>
      <c r="K34" s="50">
        <f t="shared" si="0"/>
        <v>112</v>
      </c>
      <c r="L34" s="50">
        <f t="shared" si="4"/>
        <v>112</v>
      </c>
      <c r="M34" s="50"/>
      <c r="N34" s="50">
        <f t="shared" si="2"/>
        <v>0</v>
      </c>
      <c r="O34" s="50">
        <f t="shared" si="5"/>
        <v>0</v>
      </c>
      <c r="P34" s="50">
        <v>14</v>
      </c>
      <c r="Q34" s="50">
        <f t="shared" si="23"/>
        <v>98</v>
      </c>
      <c r="R34" s="51"/>
      <c r="S34" s="50">
        <f t="shared" si="21"/>
        <v>98</v>
      </c>
      <c r="T34" s="44"/>
    </row>
    <row r="35" spans="3:20" ht="29" x14ac:dyDescent="0.35">
      <c r="C35" s="61" t="s">
        <v>102</v>
      </c>
      <c r="D35" s="62" t="s">
        <v>103</v>
      </c>
      <c r="E35" s="49" t="s">
        <v>102</v>
      </c>
      <c r="F35" s="46" t="s">
        <v>104</v>
      </c>
      <c r="G35" s="5">
        <f>Assumptions!D10</f>
        <v>56</v>
      </c>
      <c r="H35" s="5">
        <f>ROUND((G67+G96)/G35,0)</f>
        <v>11</v>
      </c>
      <c r="I35" s="50">
        <f t="shared" si="9"/>
        <v>616</v>
      </c>
      <c r="J35" s="51">
        <v>0.25</v>
      </c>
      <c r="K35" s="50">
        <f t="shared" si="0"/>
        <v>154</v>
      </c>
      <c r="L35" s="168">
        <f t="shared" si="4"/>
        <v>154</v>
      </c>
      <c r="M35" s="50"/>
      <c r="N35" s="50">
        <f t="shared" si="2"/>
        <v>0</v>
      </c>
      <c r="O35" s="50">
        <f t="shared" si="5"/>
        <v>0</v>
      </c>
      <c r="P35" s="50">
        <v>210</v>
      </c>
      <c r="Q35" s="50">
        <f t="shared" si="23"/>
        <v>-56</v>
      </c>
      <c r="R35" s="51"/>
      <c r="S35" s="50">
        <f t="shared" si="21"/>
        <v>-56</v>
      </c>
      <c r="T35" s="44"/>
    </row>
    <row r="36" spans="3:20" ht="43.5" x14ac:dyDescent="0.35">
      <c r="C36" s="61" t="s">
        <v>105</v>
      </c>
      <c r="D36" s="62" t="s">
        <v>106</v>
      </c>
      <c r="E36" s="49" t="s">
        <v>107</v>
      </c>
      <c r="F36" s="46" t="s">
        <v>108</v>
      </c>
      <c r="G36" s="5">
        <f>Assumptions!D13</f>
        <v>15</v>
      </c>
      <c r="H36" s="5">
        <v>1</v>
      </c>
      <c r="I36" s="50">
        <f t="shared" si="9"/>
        <v>15</v>
      </c>
      <c r="J36" s="51">
        <v>0.25</v>
      </c>
      <c r="K36" s="51">
        <f t="shared" si="0"/>
        <v>3.75</v>
      </c>
      <c r="L36" s="50">
        <f t="shared" si="4"/>
        <v>3.75</v>
      </c>
      <c r="M36" s="50"/>
      <c r="N36" s="50">
        <f t="shared" si="2"/>
        <v>0</v>
      </c>
      <c r="O36" s="50">
        <f t="shared" si="5"/>
        <v>0</v>
      </c>
      <c r="P36" s="51">
        <v>3.75</v>
      </c>
      <c r="Q36" s="50">
        <f t="shared" si="23"/>
        <v>0</v>
      </c>
      <c r="R36" s="51"/>
      <c r="S36" s="50">
        <f t="shared" si="21"/>
        <v>0</v>
      </c>
      <c r="T36" s="44"/>
    </row>
    <row r="37" spans="3:20" ht="58" x14ac:dyDescent="0.35">
      <c r="C37" s="61" t="s">
        <v>109</v>
      </c>
      <c r="D37" s="62" t="s">
        <v>110</v>
      </c>
      <c r="E37" s="49" t="s">
        <v>111</v>
      </c>
      <c r="F37" s="46" t="s">
        <v>112</v>
      </c>
      <c r="G37" s="5">
        <f>Assumptions!D10</f>
        <v>56</v>
      </c>
      <c r="H37" s="5">
        <v>1</v>
      </c>
      <c r="I37" s="50">
        <f t="shared" si="9"/>
        <v>56</v>
      </c>
      <c r="J37" s="50">
        <v>1</v>
      </c>
      <c r="K37" s="50">
        <f t="shared" si="0"/>
        <v>56</v>
      </c>
      <c r="L37" s="168">
        <f t="shared" si="4"/>
        <v>56</v>
      </c>
      <c r="M37" s="50"/>
      <c r="N37" s="50">
        <f t="shared" si="2"/>
        <v>0</v>
      </c>
      <c r="O37" s="50">
        <f t="shared" si="5"/>
        <v>0</v>
      </c>
      <c r="P37" s="50">
        <v>14</v>
      </c>
      <c r="Q37" s="50">
        <f t="shared" si="23"/>
        <v>42</v>
      </c>
      <c r="R37" s="51"/>
      <c r="S37" s="50">
        <f t="shared" si="21"/>
        <v>42</v>
      </c>
      <c r="T37" s="44"/>
    </row>
    <row r="38" spans="3:20" ht="29" x14ac:dyDescent="0.35">
      <c r="C38" s="61" t="s">
        <v>113</v>
      </c>
      <c r="D38" s="62" t="s">
        <v>114</v>
      </c>
      <c r="E38" s="49" t="s">
        <v>113</v>
      </c>
      <c r="F38" s="46" t="s">
        <v>115</v>
      </c>
      <c r="G38" s="5">
        <f>Assumptions!D10</f>
        <v>56</v>
      </c>
      <c r="H38" s="5">
        <f>ROUND(Assumptions!D25/Assumptions!D10,0)</f>
        <v>390</v>
      </c>
      <c r="I38" s="50">
        <f t="shared" si="9"/>
        <v>21840</v>
      </c>
      <c r="J38" s="66">
        <v>1.67E-2</v>
      </c>
      <c r="K38" s="66">
        <f t="shared" si="0"/>
        <v>364.72800000000001</v>
      </c>
      <c r="L38" s="50">
        <f t="shared" si="4"/>
        <v>364.72800000000001</v>
      </c>
      <c r="M38" s="50"/>
      <c r="N38" s="66">
        <f t="shared" si="2"/>
        <v>0</v>
      </c>
      <c r="O38" s="66">
        <f t="shared" si="5"/>
        <v>0</v>
      </c>
      <c r="P38" s="66">
        <v>351.6352</v>
      </c>
      <c r="Q38" s="66">
        <f t="shared" si="23"/>
        <v>13.092800000000011</v>
      </c>
      <c r="R38" s="51"/>
      <c r="S38" s="66">
        <f t="shared" si="21"/>
        <v>13.092800000000011</v>
      </c>
      <c r="T38" s="44"/>
    </row>
    <row r="39" spans="3:20" ht="29" x14ac:dyDescent="0.35">
      <c r="C39" s="61" t="s">
        <v>116</v>
      </c>
      <c r="D39" s="62" t="s">
        <v>117</v>
      </c>
      <c r="E39" s="49" t="s">
        <v>116</v>
      </c>
      <c r="F39" s="46" t="s">
        <v>118</v>
      </c>
      <c r="G39" s="5">
        <f>Assumptions!D10</f>
        <v>56</v>
      </c>
      <c r="H39" s="5">
        <v>5</v>
      </c>
      <c r="I39" s="50">
        <f t="shared" si="9"/>
        <v>280</v>
      </c>
      <c r="J39" s="51">
        <v>0.25</v>
      </c>
      <c r="K39" s="50">
        <f t="shared" si="0"/>
        <v>70</v>
      </c>
      <c r="L39" s="168">
        <f t="shared" si="4"/>
        <v>70</v>
      </c>
      <c r="M39" s="50"/>
      <c r="N39" s="50">
        <f t="shared" si="2"/>
        <v>0</v>
      </c>
      <c r="O39" s="50">
        <f t="shared" si="5"/>
        <v>0</v>
      </c>
      <c r="P39" s="50">
        <v>70</v>
      </c>
      <c r="Q39" s="50">
        <f t="shared" si="23"/>
        <v>0</v>
      </c>
      <c r="R39" s="51"/>
      <c r="S39" s="50">
        <f t="shared" si="21"/>
        <v>0</v>
      </c>
      <c r="T39" s="44"/>
    </row>
    <row r="40" spans="3:20" ht="87" customHeight="1" x14ac:dyDescent="0.35">
      <c r="C40" s="163"/>
      <c r="D40" s="164"/>
      <c r="E40" s="166" t="s">
        <v>119</v>
      </c>
      <c r="F40" s="175" t="s">
        <v>120</v>
      </c>
      <c r="G40" s="167">
        <f>Assumptions!$D$10</f>
        <v>56</v>
      </c>
      <c r="H40" s="167">
        <v>3</v>
      </c>
      <c r="I40" s="168">
        <f t="shared" si="9"/>
        <v>168</v>
      </c>
      <c r="J40" s="167">
        <v>0.25</v>
      </c>
      <c r="K40" s="168">
        <f t="shared" si="0"/>
        <v>42</v>
      </c>
      <c r="L40" s="50">
        <f t="shared" si="4"/>
        <v>42</v>
      </c>
      <c r="M40" s="168"/>
      <c r="N40" s="168">
        <f t="shared" si="2"/>
        <v>0</v>
      </c>
      <c r="O40" s="168">
        <f t="shared" si="5"/>
        <v>0</v>
      </c>
      <c r="P40" s="168">
        <v>0</v>
      </c>
      <c r="Q40" s="168"/>
      <c r="R40" s="168">
        <f t="shared" ref="R40:R44" si="24">K40-P40</f>
        <v>42</v>
      </c>
      <c r="S40" s="168">
        <f t="shared" si="21"/>
        <v>42</v>
      </c>
      <c r="T40" s="169"/>
    </row>
    <row r="41" spans="3:20" ht="43.5" x14ac:dyDescent="0.35">
      <c r="C41" s="163"/>
      <c r="D41" s="164"/>
      <c r="E41" s="166" t="s">
        <v>121</v>
      </c>
      <c r="F41" s="175" t="s">
        <v>122</v>
      </c>
      <c r="G41" s="167">
        <f>Assumptions!$D$10</f>
        <v>56</v>
      </c>
      <c r="H41" s="167">
        <v>3</v>
      </c>
      <c r="I41" s="168">
        <f t="shared" si="9"/>
        <v>168</v>
      </c>
      <c r="J41" s="167">
        <v>8.3500000000000005E-2</v>
      </c>
      <c r="K41" s="182">
        <f t="shared" si="0"/>
        <v>14.028</v>
      </c>
      <c r="L41" s="168">
        <f t="shared" si="4"/>
        <v>14.028</v>
      </c>
      <c r="M41" s="168"/>
      <c r="N41" s="168">
        <f t="shared" si="2"/>
        <v>0</v>
      </c>
      <c r="O41" s="168">
        <f t="shared" si="5"/>
        <v>0</v>
      </c>
      <c r="P41" s="168">
        <v>0</v>
      </c>
      <c r="Q41" s="168"/>
      <c r="R41" s="168">
        <f t="shared" si="24"/>
        <v>14.028</v>
      </c>
      <c r="S41" s="168">
        <f t="shared" si="21"/>
        <v>14.028</v>
      </c>
      <c r="T41" s="169"/>
    </row>
    <row r="42" spans="3:20" ht="39.65" customHeight="1" x14ac:dyDescent="0.35">
      <c r="C42" s="163"/>
      <c r="D42" s="164"/>
      <c r="E42" s="166" t="s">
        <v>123</v>
      </c>
      <c r="F42" s="175" t="s">
        <v>124</v>
      </c>
      <c r="G42" s="167">
        <f>Assumptions!$D$10</f>
        <v>56</v>
      </c>
      <c r="H42" s="167">
        <v>3</v>
      </c>
      <c r="I42" s="168">
        <f t="shared" si="9"/>
        <v>168</v>
      </c>
      <c r="J42" s="167">
        <v>2</v>
      </c>
      <c r="K42" s="168">
        <f t="shared" si="0"/>
        <v>336</v>
      </c>
      <c r="L42" s="50">
        <f t="shared" si="4"/>
        <v>336</v>
      </c>
      <c r="M42" s="168"/>
      <c r="N42" s="168">
        <f t="shared" si="2"/>
        <v>0</v>
      </c>
      <c r="O42" s="168">
        <f t="shared" si="5"/>
        <v>0</v>
      </c>
      <c r="P42" s="168">
        <v>0</v>
      </c>
      <c r="Q42" s="168"/>
      <c r="R42" s="168">
        <f t="shared" si="24"/>
        <v>336</v>
      </c>
      <c r="S42" s="168">
        <f t="shared" si="21"/>
        <v>336</v>
      </c>
      <c r="T42" s="169"/>
    </row>
    <row r="43" spans="3:20" ht="29" x14ac:dyDescent="0.35">
      <c r="C43" s="163"/>
      <c r="D43" s="164"/>
      <c r="E43" s="166" t="s">
        <v>125</v>
      </c>
      <c r="F43" s="175" t="s">
        <v>126</v>
      </c>
      <c r="G43" s="167">
        <f>Assumptions!$D$10</f>
        <v>56</v>
      </c>
      <c r="H43" s="167">
        <v>3</v>
      </c>
      <c r="I43" s="168">
        <f t="shared" si="9"/>
        <v>168</v>
      </c>
      <c r="J43" s="167">
        <v>4</v>
      </c>
      <c r="K43" s="168">
        <f t="shared" si="0"/>
        <v>672</v>
      </c>
      <c r="L43" s="168">
        <f t="shared" si="4"/>
        <v>672</v>
      </c>
      <c r="M43" s="168"/>
      <c r="N43" s="168">
        <f t="shared" si="2"/>
        <v>0</v>
      </c>
      <c r="O43" s="168">
        <f t="shared" si="5"/>
        <v>0</v>
      </c>
      <c r="P43" s="168">
        <v>0</v>
      </c>
      <c r="Q43" s="168"/>
      <c r="R43" s="168">
        <f t="shared" si="24"/>
        <v>672</v>
      </c>
      <c r="S43" s="168">
        <f t="shared" si="21"/>
        <v>672</v>
      </c>
      <c r="T43" s="169"/>
    </row>
    <row r="44" spans="3:20" ht="83.5" customHeight="1" x14ac:dyDescent="0.35">
      <c r="C44" s="163"/>
      <c r="D44" s="164"/>
      <c r="E44" s="166" t="s">
        <v>127</v>
      </c>
      <c r="F44" s="175" t="s">
        <v>128</v>
      </c>
      <c r="G44" s="167">
        <f>Assumptions!$D$10</f>
        <v>56</v>
      </c>
      <c r="H44" s="167">
        <v>3</v>
      </c>
      <c r="I44" s="168">
        <f t="shared" si="9"/>
        <v>168</v>
      </c>
      <c r="J44" s="167">
        <v>0.5</v>
      </c>
      <c r="K44" s="168">
        <f t="shared" si="0"/>
        <v>84</v>
      </c>
      <c r="L44" s="50">
        <f t="shared" si="4"/>
        <v>84</v>
      </c>
      <c r="M44" s="168"/>
      <c r="N44" s="168">
        <f t="shared" si="2"/>
        <v>0</v>
      </c>
      <c r="O44" s="168">
        <f t="shared" si="5"/>
        <v>0</v>
      </c>
      <c r="P44" s="168">
        <v>0</v>
      </c>
      <c r="Q44" s="168"/>
      <c r="R44" s="168">
        <f t="shared" si="24"/>
        <v>84</v>
      </c>
      <c r="S44" s="168">
        <f t="shared" si="21"/>
        <v>84</v>
      </c>
      <c r="T44" s="169"/>
    </row>
    <row r="45" spans="3:20" ht="72.5" x14ac:dyDescent="0.35">
      <c r="C45" s="61" t="s">
        <v>129</v>
      </c>
      <c r="D45" s="62" t="s">
        <v>130</v>
      </c>
      <c r="E45" s="49" t="s">
        <v>131</v>
      </c>
      <c r="F45" s="46" t="s">
        <v>132</v>
      </c>
      <c r="G45" s="5">
        <f>Assumptions!D14</f>
        <v>18</v>
      </c>
      <c r="H45" s="5">
        <v>1</v>
      </c>
      <c r="I45" s="50">
        <f t="shared" si="9"/>
        <v>18</v>
      </c>
      <c r="J45" s="51">
        <v>0.25</v>
      </c>
      <c r="K45" s="51">
        <f t="shared" si="0"/>
        <v>4.5</v>
      </c>
      <c r="L45" s="168">
        <f t="shared" si="4"/>
        <v>4.5</v>
      </c>
      <c r="M45" s="50"/>
      <c r="N45" s="51">
        <f t="shared" si="2"/>
        <v>0</v>
      </c>
      <c r="O45" s="51">
        <f t="shared" si="5"/>
        <v>0</v>
      </c>
      <c r="P45" s="51">
        <v>4.5</v>
      </c>
      <c r="Q45" s="50">
        <f t="shared" ref="Q45:Q46" si="25">K45-P45</f>
        <v>0</v>
      </c>
      <c r="R45" s="51"/>
      <c r="S45" s="50">
        <f t="shared" si="21"/>
        <v>0</v>
      </c>
      <c r="T45" s="44"/>
    </row>
    <row r="46" spans="3:20" ht="72.5" x14ac:dyDescent="0.35">
      <c r="C46" s="61" t="s">
        <v>133</v>
      </c>
      <c r="D46" s="62" t="s">
        <v>134</v>
      </c>
      <c r="E46" s="49" t="s">
        <v>133</v>
      </c>
      <c r="F46" s="46" t="s">
        <v>135</v>
      </c>
      <c r="G46" s="5">
        <f>Assumptions!D15</f>
        <v>15</v>
      </c>
      <c r="H46" s="5">
        <v>1</v>
      </c>
      <c r="I46" s="50">
        <f t="shared" si="9"/>
        <v>15</v>
      </c>
      <c r="J46" s="51">
        <v>0.25</v>
      </c>
      <c r="K46" s="51">
        <f t="shared" si="0"/>
        <v>3.75</v>
      </c>
      <c r="L46" s="50">
        <f t="shared" si="4"/>
        <v>3.75</v>
      </c>
      <c r="M46" s="50"/>
      <c r="N46" s="50">
        <f t="shared" si="2"/>
        <v>0</v>
      </c>
      <c r="O46" s="50">
        <f t="shared" si="5"/>
        <v>0</v>
      </c>
      <c r="P46" s="51">
        <v>3.75</v>
      </c>
      <c r="Q46" s="50">
        <f t="shared" si="25"/>
        <v>0</v>
      </c>
      <c r="R46" s="51"/>
      <c r="S46" s="50">
        <f t="shared" si="21"/>
        <v>0</v>
      </c>
      <c r="T46" s="44"/>
    </row>
    <row r="47" spans="3:20" ht="159.5" x14ac:dyDescent="0.35">
      <c r="C47" s="163"/>
      <c r="D47" s="164"/>
      <c r="E47" s="176" t="s">
        <v>136</v>
      </c>
      <c r="F47" s="166" t="s">
        <v>137</v>
      </c>
      <c r="G47" s="167">
        <f>Assumptions!$D$10</f>
        <v>56</v>
      </c>
      <c r="H47" s="167">
        <f>ROUND(ROUND(Assumptions!$D$25/Assumptions!$D$10,0)*0.33,0)</f>
        <v>129</v>
      </c>
      <c r="I47" s="168">
        <f t="shared" si="9"/>
        <v>7224</v>
      </c>
      <c r="J47" s="167">
        <v>20</v>
      </c>
      <c r="K47" s="168">
        <f t="shared" si="0"/>
        <v>144480</v>
      </c>
      <c r="L47" s="168">
        <f t="shared" si="4"/>
        <v>144480</v>
      </c>
      <c r="M47" s="168"/>
      <c r="N47" s="168">
        <f t="shared" si="2"/>
        <v>0</v>
      </c>
      <c r="O47" s="168">
        <f t="shared" si="5"/>
        <v>0</v>
      </c>
      <c r="P47" s="168">
        <v>0</v>
      </c>
      <c r="Q47" s="168"/>
      <c r="R47" s="168">
        <f>K47-P47</f>
        <v>144480</v>
      </c>
      <c r="S47" s="168">
        <f t="shared" si="21"/>
        <v>144480</v>
      </c>
      <c r="T47" s="169"/>
    </row>
    <row r="48" spans="3:20" ht="43.5" x14ac:dyDescent="0.35">
      <c r="C48" s="61" t="s">
        <v>138</v>
      </c>
      <c r="D48" s="62" t="s">
        <v>139</v>
      </c>
      <c r="E48" s="49" t="s">
        <v>140</v>
      </c>
      <c r="F48" s="46" t="s">
        <v>141</v>
      </c>
      <c r="G48" s="5">
        <f>Assumptions!D16</f>
        <v>15</v>
      </c>
      <c r="H48" s="5">
        <v>1</v>
      </c>
      <c r="I48" s="50">
        <f t="shared" si="9"/>
        <v>15</v>
      </c>
      <c r="J48" s="50">
        <v>6</v>
      </c>
      <c r="K48" s="50">
        <f t="shared" si="0"/>
        <v>90</v>
      </c>
      <c r="L48" s="50">
        <f t="shared" si="4"/>
        <v>90</v>
      </c>
      <c r="M48" s="50"/>
      <c r="N48" s="50">
        <f t="shared" si="2"/>
        <v>0</v>
      </c>
      <c r="O48" s="50">
        <f t="shared" si="5"/>
        <v>0</v>
      </c>
      <c r="P48" s="51">
        <v>3.75</v>
      </c>
      <c r="Q48" s="51">
        <f>K48-P48</f>
        <v>86.25</v>
      </c>
      <c r="R48" s="51"/>
      <c r="S48" s="51">
        <f t="shared" si="21"/>
        <v>86.25</v>
      </c>
      <c r="T48" s="44"/>
    </row>
    <row r="49" spans="3:20" ht="43.5" x14ac:dyDescent="0.35">
      <c r="C49" s="163"/>
      <c r="D49" s="164"/>
      <c r="E49" s="176" t="s">
        <v>142</v>
      </c>
      <c r="F49" s="175" t="s">
        <v>143</v>
      </c>
      <c r="G49" s="167">
        <f>Assumptions!$D$10</f>
        <v>56</v>
      </c>
      <c r="H49" s="167">
        <v>1</v>
      </c>
      <c r="I49" s="168">
        <f t="shared" ref="I49" si="26">G49*H49</f>
        <v>56</v>
      </c>
      <c r="J49" s="167">
        <v>0.25</v>
      </c>
      <c r="K49" s="168">
        <f t="shared" ref="K49" si="27">I49*J49</f>
        <v>14</v>
      </c>
      <c r="L49" s="168">
        <f t="shared" si="4"/>
        <v>14</v>
      </c>
      <c r="M49" s="168"/>
      <c r="N49" s="168">
        <f t="shared" si="2"/>
        <v>0</v>
      </c>
      <c r="O49" s="168">
        <f t="shared" ref="O49" si="28">M49+N49</f>
        <v>0</v>
      </c>
      <c r="P49" s="168">
        <v>0</v>
      </c>
      <c r="Q49" s="168"/>
      <c r="R49" s="168">
        <f>K49-P49</f>
        <v>14</v>
      </c>
      <c r="S49" s="168">
        <f t="shared" si="21"/>
        <v>14</v>
      </c>
      <c r="T49" s="169"/>
    </row>
    <row r="50" spans="3:20" ht="43.5" x14ac:dyDescent="0.35">
      <c r="C50" s="61" t="s">
        <v>144</v>
      </c>
      <c r="D50" s="62" t="s">
        <v>145</v>
      </c>
      <c r="E50" s="49" t="s">
        <v>146</v>
      </c>
      <c r="F50" s="46" t="s">
        <v>147</v>
      </c>
      <c r="G50" s="5">
        <f>ROUND(Assumptions!D10/2,0)</f>
        <v>28</v>
      </c>
      <c r="H50" s="5">
        <v>1</v>
      </c>
      <c r="I50" s="50">
        <f t="shared" si="9"/>
        <v>28</v>
      </c>
      <c r="J50" s="50">
        <v>5</v>
      </c>
      <c r="K50" s="50">
        <f t="shared" si="0"/>
        <v>140</v>
      </c>
      <c r="L50" s="50">
        <f t="shared" si="4"/>
        <v>140</v>
      </c>
      <c r="M50" s="50"/>
      <c r="N50" s="50">
        <f t="shared" si="2"/>
        <v>0</v>
      </c>
      <c r="O50" s="50">
        <f t="shared" si="5"/>
        <v>0</v>
      </c>
      <c r="P50" s="50">
        <v>140</v>
      </c>
      <c r="Q50" s="50">
        <f t="shared" ref="Q50:Q51" si="29">K50-P50</f>
        <v>0</v>
      </c>
      <c r="R50" s="51"/>
      <c r="S50" s="50">
        <f t="shared" si="21"/>
        <v>0</v>
      </c>
      <c r="T50" s="44"/>
    </row>
    <row r="51" spans="3:20" ht="43.5" x14ac:dyDescent="0.35">
      <c r="C51" s="62" t="s">
        <v>148</v>
      </c>
      <c r="D51" s="70" t="s">
        <v>149</v>
      </c>
      <c r="E51" s="62" t="s">
        <v>148</v>
      </c>
      <c r="F51" s="70" t="s">
        <v>150</v>
      </c>
      <c r="G51" s="5">
        <f>Assumptions!D10</f>
        <v>56</v>
      </c>
      <c r="H51" s="5">
        <v>0</v>
      </c>
      <c r="I51" s="50">
        <f t="shared" ref="I51" si="30">G51*H51</f>
        <v>0</v>
      </c>
      <c r="J51" s="50">
        <v>0</v>
      </c>
      <c r="K51" s="50">
        <f t="shared" ref="K51" si="31">I51*J51</f>
        <v>0</v>
      </c>
      <c r="L51" s="168">
        <f t="shared" si="4"/>
        <v>0</v>
      </c>
      <c r="M51" s="50"/>
      <c r="N51" s="50">
        <f t="shared" si="2"/>
        <v>0</v>
      </c>
      <c r="O51" s="50">
        <f t="shared" ref="O51" si="32">M51+N51</f>
        <v>0</v>
      </c>
      <c r="P51" s="50">
        <v>0</v>
      </c>
      <c r="Q51" s="50">
        <f t="shared" si="29"/>
        <v>0</v>
      </c>
      <c r="R51" s="51"/>
      <c r="S51" s="50">
        <f t="shared" si="21"/>
        <v>0</v>
      </c>
      <c r="T51" s="44" t="s">
        <v>151</v>
      </c>
    </row>
    <row r="52" spans="3:20" ht="18.75" customHeight="1" x14ac:dyDescent="0.35">
      <c r="C52" s="176"/>
      <c r="D52" s="176"/>
      <c r="E52" s="176" t="s">
        <v>152</v>
      </c>
      <c r="F52" s="166" t="s">
        <v>153</v>
      </c>
      <c r="G52" s="167">
        <f>Assumptions!D10</f>
        <v>56</v>
      </c>
      <c r="H52" s="167">
        <v>1</v>
      </c>
      <c r="I52" s="168">
        <f t="shared" si="9"/>
        <v>56</v>
      </c>
      <c r="J52" s="168">
        <v>2</v>
      </c>
      <c r="K52" s="168">
        <f t="shared" si="0"/>
        <v>112</v>
      </c>
      <c r="L52" s="50">
        <f t="shared" si="4"/>
        <v>112</v>
      </c>
      <c r="M52" s="168"/>
      <c r="N52" s="168">
        <f t="shared" si="2"/>
        <v>0</v>
      </c>
      <c r="O52" s="168">
        <f t="shared" si="5"/>
        <v>0</v>
      </c>
      <c r="P52" s="168">
        <v>0</v>
      </c>
      <c r="Q52" s="168"/>
      <c r="R52" s="168">
        <f t="shared" ref="R52:R53" si="33">K52-P52</f>
        <v>112</v>
      </c>
      <c r="S52" s="168">
        <f t="shared" si="21"/>
        <v>112</v>
      </c>
      <c r="T52" s="177"/>
    </row>
    <row r="53" spans="3:20" x14ac:dyDescent="0.35">
      <c r="C53" s="163"/>
      <c r="D53" s="164"/>
      <c r="E53" s="175" t="s">
        <v>154</v>
      </c>
      <c r="F53" s="175" t="s">
        <v>155</v>
      </c>
      <c r="G53" s="167">
        <f>Assumptions!$D$10</f>
        <v>56</v>
      </c>
      <c r="H53" s="167">
        <f>ROUND(Assumptions!$D$25/Assumptions!$D$10,0)</f>
        <v>390</v>
      </c>
      <c r="I53" s="168">
        <f t="shared" si="9"/>
        <v>21840</v>
      </c>
      <c r="J53" s="167">
        <v>2</v>
      </c>
      <c r="K53" s="168">
        <f t="shared" si="0"/>
        <v>43680</v>
      </c>
      <c r="L53" s="168">
        <f t="shared" si="4"/>
        <v>43680</v>
      </c>
      <c r="M53" s="168"/>
      <c r="N53" s="168">
        <f t="shared" si="2"/>
        <v>0</v>
      </c>
      <c r="O53" s="168">
        <f t="shared" si="5"/>
        <v>0</v>
      </c>
      <c r="P53" s="168">
        <v>0</v>
      </c>
      <c r="Q53" s="168"/>
      <c r="R53" s="168">
        <f t="shared" si="33"/>
        <v>43680</v>
      </c>
      <c r="S53" s="168">
        <f t="shared" si="21"/>
        <v>43680</v>
      </c>
      <c r="T53" s="169"/>
    </row>
    <row r="54" spans="3:20" ht="43.5" x14ac:dyDescent="0.35">
      <c r="C54" s="62" t="s">
        <v>156</v>
      </c>
      <c r="D54" s="62" t="s">
        <v>157</v>
      </c>
      <c r="E54" s="46" t="s">
        <v>158</v>
      </c>
      <c r="F54" s="46" t="s">
        <v>159</v>
      </c>
      <c r="G54" s="5">
        <f>Assumptions!D18</f>
        <v>10</v>
      </c>
      <c r="H54" s="5">
        <v>1</v>
      </c>
      <c r="I54" s="50">
        <f t="shared" si="9"/>
        <v>10</v>
      </c>
      <c r="J54" s="50">
        <v>2</v>
      </c>
      <c r="K54" s="50">
        <f t="shared" si="0"/>
        <v>20</v>
      </c>
      <c r="L54" s="50">
        <f t="shared" si="4"/>
        <v>20</v>
      </c>
      <c r="M54" s="50"/>
      <c r="N54" s="50">
        <f t="shared" si="2"/>
        <v>0</v>
      </c>
      <c r="O54" s="50">
        <f t="shared" si="5"/>
        <v>0</v>
      </c>
      <c r="P54" s="50">
        <v>20</v>
      </c>
      <c r="Q54" s="50">
        <f t="shared" ref="Q54:Q60" si="34">K54-P54</f>
        <v>0</v>
      </c>
      <c r="R54" s="51"/>
      <c r="S54" s="50">
        <f t="shared" si="21"/>
        <v>0</v>
      </c>
      <c r="T54" s="44"/>
    </row>
    <row r="55" spans="3:20" ht="29" x14ac:dyDescent="0.35">
      <c r="C55" s="61" t="s">
        <v>160</v>
      </c>
      <c r="D55" s="62" t="s">
        <v>161</v>
      </c>
      <c r="E55" s="49" t="s">
        <v>162</v>
      </c>
      <c r="F55" s="46" t="s">
        <v>163</v>
      </c>
      <c r="G55" s="5">
        <f>Assumptions!D10</f>
        <v>56</v>
      </c>
      <c r="H55" s="5">
        <v>12</v>
      </c>
      <c r="I55" s="50">
        <f t="shared" si="9"/>
        <v>672</v>
      </c>
      <c r="J55" s="50">
        <v>1</v>
      </c>
      <c r="K55" s="50">
        <f t="shared" si="0"/>
        <v>672</v>
      </c>
      <c r="L55" s="168">
        <f t="shared" si="4"/>
        <v>672</v>
      </c>
      <c r="M55" s="50"/>
      <c r="N55" s="50">
        <f t="shared" si="2"/>
        <v>0</v>
      </c>
      <c r="O55" s="50">
        <f t="shared" si="5"/>
        <v>0</v>
      </c>
      <c r="P55" s="50">
        <v>672</v>
      </c>
      <c r="Q55" s="50">
        <f t="shared" si="34"/>
        <v>0</v>
      </c>
      <c r="R55" s="51"/>
      <c r="S55" s="50">
        <f t="shared" si="21"/>
        <v>0</v>
      </c>
      <c r="T55" s="44"/>
    </row>
    <row r="56" spans="3:20" ht="58" x14ac:dyDescent="0.35">
      <c r="C56" s="61" t="s">
        <v>164</v>
      </c>
      <c r="D56" s="62" t="s">
        <v>165</v>
      </c>
      <c r="E56" s="49" t="s">
        <v>166</v>
      </c>
      <c r="F56" s="46" t="s">
        <v>167</v>
      </c>
      <c r="G56" s="5">
        <f>Assumptions!D10</f>
        <v>56</v>
      </c>
      <c r="H56" s="5">
        <v>1</v>
      </c>
      <c r="I56" s="50">
        <f t="shared" si="9"/>
        <v>56</v>
      </c>
      <c r="J56" s="51">
        <v>0.25</v>
      </c>
      <c r="K56" s="50">
        <f t="shared" si="0"/>
        <v>14</v>
      </c>
      <c r="L56" s="50">
        <f t="shared" si="4"/>
        <v>14</v>
      </c>
      <c r="M56" s="50"/>
      <c r="N56" s="50">
        <f t="shared" si="2"/>
        <v>0</v>
      </c>
      <c r="O56" s="50">
        <f t="shared" si="5"/>
        <v>0</v>
      </c>
      <c r="P56" s="50">
        <v>14</v>
      </c>
      <c r="Q56" s="50">
        <f t="shared" si="34"/>
        <v>0</v>
      </c>
      <c r="R56" s="51"/>
      <c r="S56" s="50">
        <f t="shared" si="21"/>
        <v>0</v>
      </c>
      <c r="T56" s="44"/>
    </row>
    <row r="57" spans="3:20" ht="58" x14ac:dyDescent="0.35">
      <c r="C57" s="61" t="s">
        <v>168</v>
      </c>
      <c r="D57" s="62" t="s">
        <v>169</v>
      </c>
      <c r="E57" s="61" t="s">
        <v>168</v>
      </c>
      <c r="F57" s="62" t="s">
        <v>170</v>
      </c>
      <c r="G57" s="5">
        <f>Assumptions!D10</f>
        <v>56</v>
      </c>
      <c r="H57" s="5">
        <v>12</v>
      </c>
      <c r="I57" s="50">
        <f t="shared" si="9"/>
        <v>672</v>
      </c>
      <c r="J57" s="50">
        <v>2</v>
      </c>
      <c r="K57" s="50">
        <f t="shared" si="0"/>
        <v>1344</v>
      </c>
      <c r="L57" s="168">
        <f t="shared" si="4"/>
        <v>1344</v>
      </c>
      <c r="M57" s="50"/>
      <c r="N57" s="50">
        <f t="shared" si="2"/>
        <v>0</v>
      </c>
      <c r="O57" s="50">
        <f t="shared" si="5"/>
        <v>0</v>
      </c>
      <c r="P57" s="50">
        <v>1344</v>
      </c>
      <c r="Q57" s="50">
        <f t="shared" si="34"/>
        <v>0</v>
      </c>
      <c r="R57" s="51"/>
      <c r="S57" s="50">
        <f t="shared" si="21"/>
        <v>0</v>
      </c>
      <c r="T57" s="44"/>
    </row>
    <row r="58" spans="3:20" ht="29" x14ac:dyDescent="0.35">
      <c r="C58" s="61" t="s">
        <v>171</v>
      </c>
      <c r="D58" s="62" t="s">
        <v>172</v>
      </c>
      <c r="E58" s="49" t="s">
        <v>173</v>
      </c>
      <c r="F58" s="46" t="s">
        <v>174</v>
      </c>
      <c r="G58" s="5">
        <f>Assumptions!D10</f>
        <v>56</v>
      </c>
      <c r="H58" s="5">
        <f>ROUND(ROUND(Assumptions!D25/Assumptions!D10,0)*0.1,0)</f>
        <v>39</v>
      </c>
      <c r="I58" s="50">
        <f t="shared" si="9"/>
        <v>2184</v>
      </c>
      <c r="J58" s="66">
        <v>1.67E-2</v>
      </c>
      <c r="K58" s="66">
        <f t="shared" si="0"/>
        <v>36.472799999999999</v>
      </c>
      <c r="L58" s="50">
        <f t="shared" si="4"/>
        <v>36.472799999999999</v>
      </c>
      <c r="M58" s="50"/>
      <c r="N58" s="50">
        <f t="shared" si="2"/>
        <v>0</v>
      </c>
      <c r="O58" s="66">
        <f t="shared" si="5"/>
        <v>0</v>
      </c>
      <c r="P58" s="66">
        <v>35.537599999999998</v>
      </c>
      <c r="Q58" s="66">
        <f t="shared" si="34"/>
        <v>0.93520000000000181</v>
      </c>
      <c r="R58" s="51"/>
      <c r="S58" s="66">
        <f t="shared" si="21"/>
        <v>0.93520000000000181</v>
      </c>
      <c r="T58" s="44"/>
    </row>
    <row r="59" spans="3:20" ht="58" x14ac:dyDescent="0.35">
      <c r="C59" s="61" t="s">
        <v>175</v>
      </c>
      <c r="D59" s="62" t="s">
        <v>176</v>
      </c>
      <c r="E59" s="49" t="s">
        <v>175</v>
      </c>
      <c r="F59" s="46" t="s">
        <v>177</v>
      </c>
      <c r="G59" s="5">
        <v>0</v>
      </c>
      <c r="H59" s="5">
        <v>0</v>
      </c>
      <c r="I59" s="50">
        <f t="shared" si="9"/>
        <v>0</v>
      </c>
      <c r="J59" s="50">
        <v>0</v>
      </c>
      <c r="K59" s="50">
        <f t="shared" si="0"/>
        <v>0</v>
      </c>
      <c r="L59" s="168">
        <f t="shared" si="4"/>
        <v>0</v>
      </c>
      <c r="M59" s="50"/>
      <c r="N59" s="50">
        <f t="shared" si="2"/>
        <v>0</v>
      </c>
      <c r="O59" s="50">
        <f t="shared" si="5"/>
        <v>0</v>
      </c>
      <c r="P59" s="50">
        <v>0</v>
      </c>
      <c r="Q59" s="50">
        <f t="shared" si="34"/>
        <v>0</v>
      </c>
      <c r="R59" s="50"/>
      <c r="S59" s="50">
        <f t="shared" si="21"/>
        <v>0</v>
      </c>
      <c r="T59" s="44"/>
    </row>
    <row r="60" spans="3:20" ht="43.5" x14ac:dyDescent="0.35">
      <c r="C60" s="61" t="s">
        <v>178</v>
      </c>
      <c r="D60" s="62" t="s">
        <v>179</v>
      </c>
      <c r="E60" s="46" t="s">
        <v>180</v>
      </c>
      <c r="F60" s="46" t="s">
        <v>181</v>
      </c>
      <c r="G60" s="5">
        <v>0</v>
      </c>
      <c r="H60" s="5">
        <v>0</v>
      </c>
      <c r="I60" s="50">
        <f t="shared" si="9"/>
        <v>0</v>
      </c>
      <c r="J60" s="50">
        <v>0</v>
      </c>
      <c r="K60" s="50">
        <f t="shared" si="0"/>
        <v>0</v>
      </c>
      <c r="L60" s="50">
        <f t="shared" si="4"/>
        <v>0</v>
      </c>
      <c r="M60" s="50"/>
      <c r="N60" s="50">
        <f t="shared" si="2"/>
        <v>0</v>
      </c>
      <c r="O60" s="50">
        <f t="shared" si="5"/>
        <v>0</v>
      </c>
      <c r="P60" s="50">
        <v>0</v>
      </c>
      <c r="Q60" s="50">
        <f t="shared" si="34"/>
        <v>0</v>
      </c>
      <c r="R60" s="50"/>
      <c r="S60" s="50">
        <f t="shared" si="21"/>
        <v>0</v>
      </c>
      <c r="T60" s="44"/>
    </row>
    <row r="61" spans="3:20" ht="43.5" x14ac:dyDescent="0.35">
      <c r="C61" s="46">
        <v>226.24</v>
      </c>
      <c r="D61" s="46" t="s">
        <v>182</v>
      </c>
      <c r="E61" s="46">
        <v>226.24</v>
      </c>
      <c r="F61" s="46" t="s">
        <v>183</v>
      </c>
      <c r="G61" s="5">
        <v>0</v>
      </c>
      <c r="H61" s="5">
        <v>0</v>
      </c>
      <c r="I61" s="50">
        <v>0</v>
      </c>
      <c r="J61" s="50">
        <v>0</v>
      </c>
      <c r="K61" s="50">
        <v>0</v>
      </c>
      <c r="L61" s="168">
        <f t="shared" si="4"/>
        <v>0</v>
      </c>
      <c r="M61" s="50"/>
      <c r="N61" s="50">
        <f t="shared" si="2"/>
        <v>0</v>
      </c>
      <c r="O61" s="50">
        <v>0</v>
      </c>
      <c r="P61" s="50">
        <v>0</v>
      </c>
      <c r="Q61" s="50">
        <f>K61-P61</f>
        <v>0</v>
      </c>
      <c r="R61" s="50"/>
      <c r="S61" s="50">
        <v>0</v>
      </c>
      <c r="T61" s="44"/>
    </row>
    <row r="62" spans="3:20" x14ac:dyDescent="0.35">
      <c r="C62" s="61"/>
      <c r="D62" s="62"/>
      <c r="E62" s="263" t="s">
        <v>184</v>
      </c>
      <c r="F62" s="264"/>
      <c r="G62" s="107">
        <f>Assumptions!D10</f>
        <v>56</v>
      </c>
      <c r="H62" s="110">
        <f>I62/G62</f>
        <v>1496.1607142857142</v>
      </c>
      <c r="I62" s="110">
        <f>SUM(I12:I61)</f>
        <v>83785</v>
      </c>
      <c r="J62" s="110">
        <f>K62/I62</f>
        <v>2.4483049328638775</v>
      </c>
      <c r="K62" s="110">
        <f t="shared" ref="K62:S62" si="35">SUM(K12:K61)</f>
        <v>205131.22879999998</v>
      </c>
      <c r="L62" s="110">
        <f t="shared" si="35"/>
        <v>205131.22879999998</v>
      </c>
      <c r="M62" s="110">
        <f t="shared" si="35"/>
        <v>0</v>
      </c>
      <c r="N62" s="110">
        <f t="shared" si="35"/>
        <v>0</v>
      </c>
      <c r="O62" s="110">
        <f t="shared" si="35"/>
        <v>0</v>
      </c>
      <c r="P62" s="110">
        <f t="shared" si="35"/>
        <v>4200.9227999999994</v>
      </c>
      <c r="Q62" s="110">
        <f t="shared" si="35"/>
        <v>-81.72199999999998</v>
      </c>
      <c r="R62" s="110">
        <f t="shared" si="35"/>
        <v>201012.02799999999</v>
      </c>
      <c r="S62" s="110">
        <f t="shared" si="35"/>
        <v>200930.30600000001</v>
      </c>
      <c r="T62" s="50"/>
    </row>
    <row r="63" spans="3:20" ht="35.25" customHeight="1" x14ac:dyDescent="0.35">
      <c r="C63" s="261" t="s">
        <v>185</v>
      </c>
      <c r="D63" s="261"/>
      <c r="E63" s="265" t="s">
        <v>185</v>
      </c>
      <c r="F63" s="266"/>
      <c r="G63" s="266"/>
      <c r="H63" s="266"/>
      <c r="I63" s="266"/>
      <c r="J63" s="266"/>
      <c r="K63" s="266"/>
      <c r="L63" s="266"/>
      <c r="M63" s="266"/>
      <c r="N63" s="266"/>
      <c r="O63" s="266"/>
      <c r="P63" s="266"/>
      <c r="Q63" s="266"/>
      <c r="R63" s="266"/>
      <c r="S63" s="267"/>
      <c r="T63" s="101"/>
    </row>
    <row r="64" spans="3:20" ht="53.25" customHeight="1" x14ac:dyDescent="0.35">
      <c r="C64" s="163"/>
      <c r="D64" s="164"/>
      <c r="E64" s="171" t="s">
        <v>45</v>
      </c>
      <c r="F64" s="166" t="s">
        <v>186</v>
      </c>
      <c r="G64" s="167">
        <f>ROUND(Assumptions!D29*Assumptions!D21,0)</f>
        <v>42</v>
      </c>
      <c r="H64" s="167">
        <v>1</v>
      </c>
      <c r="I64" s="168">
        <f t="shared" ref="I64" si="36">G64*H64</f>
        <v>42</v>
      </c>
      <c r="J64" s="167">
        <v>0.5</v>
      </c>
      <c r="K64" s="168">
        <f t="shared" ref="K64" si="37">I64*J64</f>
        <v>21</v>
      </c>
      <c r="L64" s="168">
        <f>K64</f>
        <v>21</v>
      </c>
      <c r="M64" s="168"/>
      <c r="N64" s="168">
        <f t="shared" ref="N64:N88" si="38">K64-L64</f>
        <v>0</v>
      </c>
      <c r="O64" s="168">
        <f t="shared" ref="O64" si="39">M64+N64</f>
        <v>0</v>
      </c>
      <c r="P64" s="168">
        <v>0</v>
      </c>
      <c r="Q64" s="168"/>
      <c r="R64" s="168">
        <f>K64-P64</f>
        <v>21</v>
      </c>
      <c r="S64" s="168">
        <f t="shared" ref="S64:S67" si="40">Q64+R64</f>
        <v>21</v>
      </c>
      <c r="T64" s="169"/>
    </row>
    <row r="65" spans="3:20" ht="72.5" x14ac:dyDescent="0.35">
      <c r="C65" s="62" t="s">
        <v>187</v>
      </c>
      <c r="D65" s="70" t="s">
        <v>188</v>
      </c>
      <c r="E65" s="71" t="s">
        <v>189</v>
      </c>
      <c r="F65" s="46" t="s">
        <v>190</v>
      </c>
      <c r="G65" s="50">
        <f>ROUND(Assumptions!$D$25*Assumptions!D21,0)</f>
        <v>3257</v>
      </c>
      <c r="H65" s="5">
        <v>1</v>
      </c>
      <c r="I65" s="50">
        <f t="shared" si="9"/>
        <v>3257</v>
      </c>
      <c r="J65" s="66">
        <v>8.3500000000000005E-2</v>
      </c>
      <c r="K65" s="66">
        <f t="shared" ref="K65:K87" si="41">I65*J65</f>
        <v>271.95949999999999</v>
      </c>
      <c r="L65" s="168">
        <f t="shared" ref="L65:L88" si="42">K65</f>
        <v>271.95949999999999</v>
      </c>
      <c r="M65" s="50"/>
      <c r="N65" s="66">
        <f t="shared" si="38"/>
        <v>0</v>
      </c>
      <c r="O65" s="66">
        <f t="shared" si="5"/>
        <v>0</v>
      </c>
      <c r="P65" s="66">
        <f>1757.842*Assumptions!D21</f>
        <v>261.91845799999999</v>
      </c>
      <c r="Q65" s="66">
        <f t="shared" ref="Q65:Q67" si="43">K65-P65</f>
        <v>10.041042000000004</v>
      </c>
      <c r="R65" s="66"/>
      <c r="S65" s="66">
        <f t="shared" si="40"/>
        <v>10.041042000000004</v>
      </c>
      <c r="T65" s="215"/>
    </row>
    <row r="66" spans="3:20" ht="51.75" customHeight="1" x14ac:dyDescent="0.35">
      <c r="C66" s="62" t="s">
        <v>191</v>
      </c>
      <c r="D66" s="70" t="s">
        <v>192</v>
      </c>
      <c r="E66" s="62" t="s">
        <v>191</v>
      </c>
      <c r="F66" s="46" t="s">
        <v>193</v>
      </c>
      <c r="G66" s="50">
        <f>ROUND(Assumptions!$D$25*Assumptions!D21,0)</f>
        <v>3257</v>
      </c>
      <c r="H66" s="5">
        <v>12</v>
      </c>
      <c r="I66" s="50">
        <f t="shared" ref="I66" si="44">G66*H66</f>
        <v>39084</v>
      </c>
      <c r="J66" s="51">
        <v>0.5</v>
      </c>
      <c r="K66" s="50">
        <f t="shared" si="41"/>
        <v>19542</v>
      </c>
      <c r="L66" s="168">
        <f t="shared" si="42"/>
        <v>19542</v>
      </c>
      <c r="M66" s="50"/>
      <c r="N66" s="50">
        <f t="shared" si="38"/>
        <v>0</v>
      </c>
      <c r="O66" s="50">
        <f t="shared" ref="O66" si="45">M66+N66</f>
        <v>0</v>
      </c>
      <c r="P66" s="29">
        <f>126312*Assumptions!D21</f>
        <v>18820.487999999998</v>
      </c>
      <c r="Q66" s="66">
        <f t="shared" si="43"/>
        <v>721.51200000000244</v>
      </c>
      <c r="R66" s="50"/>
      <c r="S66" s="66">
        <f t="shared" si="40"/>
        <v>721.51200000000244</v>
      </c>
      <c r="T66" s="44"/>
    </row>
    <row r="67" spans="3:20" ht="58" x14ac:dyDescent="0.35">
      <c r="C67" s="62" t="s">
        <v>194</v>
      </c>
      <c r="D67" s="70" t="s">
        <v>195</v>
      </c>
      <c r="E67" s="46" t="s">
        <v>96</v>
      </c>
      <c r="F67" s="46" t="s">
        <v>196</v>
      </c>
      <c r="G67" s="5">
        <f>ROUND(Assumptions!$D$26*Assumptions!$D$23,0)</f>
        <v>83</v>
      </c>
      <c r="H67" s="5">
        <v>1</v>
      </c>
      <c r="I67" s="50">
        <f t="shared" si="9"/>
        <v>83</v>
      </c>
      <c r="J67" s="66">
        <v>1.67E-2</v>
      </c>
      <c r="K67" s="66">
        <f t="shared" si="41"/>
        <v>1.3860999999999999</v>
      </c>
      <c r="L67" s="168">
        <f t="shared" si="42"/>
        <v>1.3860999999999999</v>
      </c>
      <c r="M67" s="50"/>
      <c r="N67" s="66">
        <f t="shared" si="38"/>
        <v>0</v>
      </c>
      <c r="O67" s="66">
        <f t="shared" si="5"/>
        <v>0</v>
      </c>
      <c r="P67" s="66">
        <f>13.6773*Assumptions!D21</f>
        <v>2.0379176999999999</v>
      </c>
      <c r="Q67" s="66">
        <f t="shared" si="43"/>
        <v>-0.65181770000000006</v>
      </c>
      <c r="R67" s="51"/>
      <c r="S67" s="66">
        <f t="shared" si="40"/>
        <v>-0.65181770000000006</v>
      </c>
      <c r="T67" s="47"/>
    </row>
    <row r="68" spans="3:20" ht="41.25" customHeight="1" x14ac:dyDescent="0.35">
      <c r="C68" s="176"/>
      <c r="D68" s="178"/>
      <c r="E68" s="166" t="s">
        <v>197</v>
      </c>
      <c r="F68" s="166" t="s">
        <v>198</v>
      </c>
      <c r="G68" s="168">
        <f>ROUND(Assumptions!$D$25*Assumptions!D21,0)</f>
        <v>3257</v>
      </c>
      <c r="H68" s="167">
        <v>1</v>
      </c>
      <c r="I68" s="168">
        <f>G68*H68</f>
        <v>3257</v>
      </c>
      <c r="J68" s="172">
        <v>0.5</v>
      </c>
      <c r="K68" s="172">
        <f>I68*J68</f>
        <v>1628.5</v>
      </c>
      <c r="L68" s="168">
        <f t="shared" si="42"/>
        <v>1628.5</v>
      </c>
      <c r="M68" s="168"/>
      <c r="N68" s="172">
        <f t="shared" si="38"/>
        <v>0</v>
      </c>
      <c r="O68" s="172">
        <f>M68+N68</f>
        <v>0</v>
      </c>
      <c r="P68" s="168">
        <v>0</v>
      </c>
      <c r="Q68" s="168"/>
      <c r="R68" s="172">
        <f>K68-P68</f>
        <v>1628.5</v>
      </c>
      <c r="S68" s="172">
        <f>Q68+R68</f>
        <v>1628.5</v>
      </c>
      <c r="T68" s="169"/>
    </row>
    <row r="69" spans="3:20" ht="58" x14ac:dyDescent="0.35">
      <c r="C69" s="62" t="s">
        <v>199</v>
      </c>
      <c r="D69" s="70" t="s">
        <v>200</v>
      </c>
      <c r="E69" s="46" t="s">
        <v>201</v>
      </c>
      <c r="F69" s="46" t="s">
        <v>202</v>
      </c>
      <c r="G69" s="5">
        <f>ROUND(Assumptions!$D$27*Assumptions!D21,0)</f>
        <v>9</v>
      </c>
      <c r="H69" s="5">
        <v>1</v>
      </c>
      <c r="I69" s="50">
        <f t="shared" si="9"/>
        <v>9</v>
      </c>
      <c r="J69" s="51">
        <v>1.5</v>
      </c>
      <c r="K69" s="51">
        <f t="shared" si="41"/>
        <v>13.5</v>
      </c>
      <c r="L69" s="168">
        <f t="shared" si="42"/>
        <v>13.5</v>
      </c>
      <c r="M69" s="50"/>
      <c r="N69" s="51">
        <f t="shared" si="38"/>
        <v>0</v>
      </c>
      <c r="O69" s="51">
        <f t="shared" si="5"/>
        <v>0</v>
      </c>
      <c r="P69" s="51">
        <f>90*Assumptions!D21</f>
        <v>13.41</v>
      </c>
      <c r="Q69" s="51">
        <f>K69-P69</f>
        <v>8.9999999999999858E-2</v>
      </c>
      <c r="R69" s="51"/>
      <c r="S69" s="51">
        <f t="shared" ref="S69:S70" si="46">Q69+R69</f>
        <v>8.9999999999999858E-2</v>
      </c>
      <c r="T69" s="47"/>
    </row>
    <row r="70" spans="3:20" ht="53.25" customHeight="1" x14ac:dyDescent="0.35">
      <c r="C70" s="176"/>
      <c r="D70" s="178"/>
      <c r="E70" s="176" t="s">
        <v>203</v>
      </c>
      <c r="F70" s="166" t="s">
        <v>204</v>
      </c>
      <c r="G70" s="168">
        <f>ROUND(Assumptions!$D$25*Assumptions!D21,0)</f>
        <v>3257</v>
      </c>
      <c r="H70" s="167">
        <v>1</v>
      </c>
      <c r="I70" s="168">
        <f t="shared" si="9"/>
        <v>3257</v>
      </c>
      <c r="J70" s="172">
        <v>0.5</v>
      </c>
      <c r="K70" s="172">
        <f t="shared" si="41"/>
        <v>1628.5</v>
      </c>
      <c r="L70" s="168">
        <f t="shared" si="42"/>
        <v>1628.5</v>
      </c>
      <c r="M70" s="168"/>
      <c r="N70" s="172">
        <f t="shared" si="38"/>
        <v>0</v>
      </c>
      <c r="O70" s="172">
        <f t="shared" si="5"/>
        <v>0</v>
      </c>
      <c r="P70" s="168">
        <v>0</v>
      </c>
      <c r="Q70" s="168"/>
      <c r="R70" s="172">
        <f>K70-P70</f>
        <v>1628.5</v>
      </c>
      <c r="S70" s="172">
        <f t="shared" si="46"/>
        <v>1628.5</v>
      </c>
      <c r="T70" s="169"/>
    </row>
    <row r="71" spans="3:20" ht="43.5" x14ac:dyDescent="0.35">
      <c r="C71" s="62" t="s">
        <v>205</v>
      </c>
      <c r="D71" s="70" t="s">
        <v>206</v>
      </c>
      <c r="E71" s="46" t="s">
        <v>207</v>
      </c>
      <c r="F71" s="46" t="s">
        <v>208</v>
      </c>
      <c r="G71" s="50">
        <f>ROUND(Assumptions!$D$25*Assumptions!D21,0)</f>
        <v>3257</v>
      </c>
      <c r="H71" s="5">
        <v>12</v>
      </c>
      <c r="I71" s="50">
        <f t="shared" si="9"/>
        <v>39084</v>
      </c>
      <c r="J71" s="51">
        <v>1.67</v>
      </c>
      <c r="K71" s="51">
        <f t="shared" si="41"/>
        <v>65270.28</v>
      </c>
      <c r="L71" s="168">
        <f t="shared" si="42"/>
        <v>65270.28</v>
      </c>
      <c r="M71" s="50"/>
      <c r="N71" s="51">
        <f t="shared" si="38"/>
        <v>0</v>
      </c>
      <c r="O71" s="51">
        <f>M71+N71</f>
        <v>0</v>
      </c>
      <c r="P71" s="66">
        <f>479985.6*Assumptions!D21</f>
        <v>71517.854399999997</v>
      </c>
      <c r="Q71" s="66">
        <f>K71-P71</f>
        <v>-6247.5743999999977</v>
      </c>
      <c r="R71" s="51"/>
      <c r="S71" s="66">
        <f>Q71+R71</f>
        <v>-6247.5743999999977</v>
      </c>
      <c r="T71" s="44"/>
    </row>
    <row r="72" spans="3:20" ht="43.5" x14ac:dyDescent="0.35">
      <c r="C72" s="164"/>
      <c r="D72" s="217"/>
      <c r="E72" s="166" t="s">
        <v>209</v>
      </c>
      <c r="F72" s="166" t="s">
        <v>210</v>
      </c>
      <c r="G72" s="168">
        <f>ROUND(Assumptions!$D$28*Assumptions!D21,0)</f>
        <v>1456</v>
      </c>
      <c r="H72" s="167">
        <v>12</v>
      </c>
      <c r="I72" s="168">
        <f t="shared" si="9"/>
        <v>17472</v>
      </c>
      <c r="J72" s="172">
        <v>0.5</v>
      </c>
      <c r="K72" s="168">
        <f t="shared" si="41"/>
        <v>8736</v>
      </c>
      <c r="L72" s="168">
        <f t="shared" si="42"/>
        <v>8736</v>
      </c>
      <c r="M72" s="168"/>
      <c r="N72" s="168">
        <f t="shared" si="38"/>
        <v>0</v>
      </c>
      <c r="O72" s="168">
        <f t="shared" si="5"/>
        <v>0</v>
      </c>
      <c r="P72" s="168">
        <v>0</v>
      </c>
      <c r="Q72" s="172"/>
      <c r="R72" s="168">
        <f>K72-P72</f>
        <v>8736</v>
      </c>
      <c r="S72" s="168">
        <f>Q72+R72</f>
        <v>8736</v>
      </c>
      <c r="T72" s="169"/>
    </row>
    <row r="73" spans="3:20" ht="43.5" x14ac:dyDescent="0.35">
      <c r="C73" s="62" t="s">
        <v>211</v>
      </c>
      <c r="D73" s="62" t="s">
        <v>212</v>
      </c>
      <c r="E73" s="64" t="s">
        <v>213</v>
      </c>
      <c r="F73" s="46" t="s">
        <v>214</v>
      </c>
      <c r="G73" s="5">
        <f>ROUND(Assumptions!$D$26*Assumptions!$D$23,0)</f>
        <v>83</v>
      </c>
      <c r="H73" s="5">
        <v>5</v>
      </c>
      <c r="I73" s="50">
        <f t="shared" ref="I73:I130" si="47">G73*H73</f>
        <v>415</v>
      </c>
      <c r="J73" s="51">
        <v>0.30059999999999998</v>
      </c>
      <c r="K73" s="51">
        <f t="shared" si="41"/>
        <v>124.749</v>
      </c>
      <c r="L73" s="168">
        <f t="shared" si="42"/>
        <v>124.749</v>
      </c>
      <c r="M73" s="50"/>
      <c r="N73" s="51">
        <f t="shared" si="38"/>
        <v>0</v>
      </c>
      <c r="O73" s="51">
        <f t="shared" ref="O73:O130" si="48">M73+N73</f>
        <v>0</v>
      </c>
      <c r="P73" s="51">
        <f>1228.5*Assumptions!D21</f>
        <v>183.04649999999998</v>
      </c>
      <c r="Q73" s="51">
        <f t="shared" ref="Q73:Q75" si="49">K73-P73</f>
        <v>-58.297499999999985</v>
      </c>
      <c r="R73" s="51"/>
      <c r="S73" s="51">
        <f t="shared" ref="S73:S88" si="50">Q73+R73</f>
        <v>-58.297499999999985</v>
      </c>
      <c r="T73" s="44"/>
    </row>
    <row r="74" spans="3:20" ht="72.5" x14ac:dyDescent="0.35">
      <c r="C74" s="62" t="s">
        <v>215</v>
      </c>
      <c r="D74" s="62" t="s">
        <v>216</v>
      </c>
      <c r="E74" s="46" t="s">
        <v>215</v>
      </c>
      <c r="F74" s="46" t="s">
        <v>217</v>
      </c>
      <c r="G74" s="5">
        <f>ROUND(Assumptions!$D$29*Assumptions!D21,0)</f>
        <v>42</v>
      </c>
      <c r="H74" s="5">
        <v>1</v>
      </c>
      <c r="I74" s="50">
        <f t="shared" si="47"/>
        <v>42</v>
      </c>
      <c r="J74" s="50">
        <v>8</v>
      </c>
      <c r="K74" s="50">
        <f t="shared" si="41"/>
        <v>336</v>
      </c>
      <c r="L74" s="168">
        <f t="shared" si="42"/>
        <v>336</v>
      </c>
      <c r="M74" s="50"/>
      <c r="N74" s="50">
        <f t="shared" si="38"/>
        <v>0</v>
      </c>
      <c r="O74" s="50">
        <f t="shared" si="48"/>
        <v>0</v>
      </c>
      <c r="P74" s="50">
        <f>2000*Assumptions!D21</f>
        <v>298</v>
      </c>
      <c r="Q74" s="50">
        <f t="shared" si="49"/>
        <v>38</v>
      </c>
      <c r="R74" s="50"/>
      <c r="S74" s="50">
        <f t="shared" si="50"/>
        <v>38</v>
      </c>
      <c r="T74" s="47"/>
    </row>
    <row r="75" spans="3:20" ht="29" x14ac:dyDescent="0.35">
      <c r="C75" s="62" t="s">
        <v>215</v>
      </c>
      <c r="D75" s="62" t="s">
        <v>218</v>
      </c>
      <c r="E75" s="46" t="s">
        <v>215</v>
      </c>
      <c r="F75" s="46" t="s">
        <v>219</v>
      </c>
      <c r="G75" s="50">
        <f>ROUND(Assumptions!$D$25*Assumptions!D21,0)</f>
        <v>3257</v>
      </c>
      <c r="H75" s="5">
        <v>1</v>
      </c>
      <c r="I75" s="50">
        <f t="shared" si="47"/>
        <v>3257</v>
      </c>
      <c r="J75" s="51">
        <v>0.25</v>
      </c>
      <c r="K75" s="51">
        <f t="shared" si="41"/>
        <v>814.25</v>
      </c>
      <c r="L75" s="168">
        <f t="shared" si="42"/>
        <v>814.25</v>
      </c>
      <c r="M75" s="50"/>
      <c r="N75" s="51">
        <f t="shared" si="38"/>
        <v>0</v>
      </c>
      <c r="O75" s="51">
        <f t="shared" si="48"/>
        <v>0</v>
      </c>
      <c r="P75" s="66">
        <f>5263*Assumptions!D21</f>
        <v>784.18700000000001</v>
      </c>
      <c r="Q75" s="29">
        <f t="shared" si="49"/>
        <v>30.062999999999988</v>
      </c>
      <c r="R75" s="51"/>
      <c r="S75" s="29">
        <f t="shared" si="50"/>
        <v>30.062999999999988</v>
      </c>
      <c r="T75" s="47"/>
    </row>
    <row r="76" spans="3:20" ht="43.5" x14ac:dyDescent="0.35">
      <c r="C76" s="176"/>
      <c r="D76" s="178"/>
      <c r="E76" s="176" t="s">
        <v>220</v>
      </c>
      <c r="F76" s="166" t="s">
        <v>221</v>
      </c>
      <c r="G76" s="168">
        <f>ROUND(Assumptions!$D$25*Assumptions!D21,0)</f>
        <v>3257</v>
      </c>
      <c r="H76" s="167">
        <v>1</v>
      </c>
      <c r="I76" s="168">
        <f t="shared" si="47"/>
        <v>3257</v>
      </c>
      <c r="J76" s="172">
        <v>0.25</v>
      </c>
      <c r="K76" s="172">
        <f t="shared" si="41"/>
        <v>814.25</v>
      </c>
      <c r="L76" s="168">
        <f t="shared" si="42"/>
        <v>814.25</v>
      </c>
      <c r="M76" s="168"/>
      <c r="N76" s="172">
        <f t="shared" si="38"/>
        <v>0</v>
      </c>
      <c r="O76" s="172">
        <f t="shared" si="48"/>
        <v>0</v>
      </c>
      <c r="P76" s="168">
        <f>0*Assumptions!H21</f>
        <v>0</v>
      </c>
      <c r="Q76" s="168"/>
      <c r="R76" s="172">
        <f t="shared" ref="R76:R85" si="51">K76-P76</f>
        <v>814.25</v>
      </c>
      <c r="S76" s="172">
        <f t="shared" si="50"/>
        <v>814.25</v>
      </c>
      <c r="T76" s="179"/>
    </row>
    <row r="77" spans="3:20" ht="99.5" customHeight="1" x14ac:dyDescent="0.35">
      <c r="C77" s="176"/>
      <c r="D77" s="178"/>
      <c r="E77" s="176" t="s">
        <v>222</v>
      </c>
      <c r="F77" s="166" t="s">
        <v>223</v>
      </c>
      <c r="G77" s="168">
        <f>ROUND(Assumptions!$D$25*Assumptions!D21,0)</f>
        <v>3257</v>
      </c>
      <c r="H77" s="167">
        <v>1</v>
      </c>
      <c r="I77" s="168">
        <f>G77*H77</f>
        <v>3257</v>
      </c>
      <c r="J77" s="168">
        <v>36</v>
      </c>
      <c r="K77" s="168">
        <f t="shared" si="41"/>
        <v>117252</v>
      </c>
      <c r="L77" s="168">
        <f t="shared" si="42"/>
        <v>117252</v>
      </c>
      <c r="M77" s="168"/>
      <c r="N77" s="168">
        <f t="shared" si="38"/>
        <v>0</v>
      </c>
      <c r="O77" s="168">
        <f t="shared" si="48"/>
        <v>0</v>
      </c>
      <c r="P77" s="168">
        <f>0*Assumptions!H21</f>
        <v>0</v>
      </c>
      <c r="Q77" s="168"/>
      <c r="R77" s="168">
        <f t="shared" si="51"/>
        <v>117252</v>
      </c>
      <c r="S77" s="168">
        <f t="shared" si="50"/>
        <v>117252</v>
      </c>
      <c r="T77" s="175" t="s">
        <v>224</v>
      </c>
    </row>
    <row r="78" spans="3:20" ht="94.5" customHeight="1" x14ac:dyDescent="0.35">
      <c r="C78" s="179"/>
      <c r="D78" s="179"/>
      <c r="E78" s="176" t="s">
        <v>225</v>
      </c>
      <c r="F78" s="166" t="s">
        <v>226</v>
      </c>
      <c r="G78" s="168">
        <f>ROUND(Assumptions!$D$25*Assumptions!D21,0)</f>
        <v>3257</v>
      </c>
      <c r="H78" s="167">
        <v>1</v>
      </c>
      <c r="I78" s="168">
        <f t="shared" ref="I78" si="52">G78*H78</f>
        <v>3257</v>
      </c>
      <c r="J78" s="167">
        <v>0.25</v>
      </c>
      <c r="K78" s="172">
        <f t="shared" si="41"/>
        <v>814.25</v>
      </c>
      <c r="L78" s="168">
        <f t="shared" si="42"/>
        <v>814.25</v>
      </c>
      <c r="M78" s="168"/>
      <c r="N78" s="172">
        <f t="shared" si="38"/>
        <v>0</v>
      </c>
      <c r="O78" s="172">
        <f t="shared" si="48"/>
        <v>0</v>
      </c>
      <c r="P78" s="168">
        <v>0</v>
      </c>
      <c r="Q78" s="168"/>
      <c r="R78" s="172">
        <f t="shared" si="51"/>
        <v>814.25</v>
      </c>
      <c r="S78" s="172">
        <f t="shared" si="50"/>
        <v>814.25</v>
      </c>
      <c r="T78" s="169"/>
    </row>
    <row r="79" spans="3:20" ht="83.5" customHeight="1" x14ac:dyDescent="0.35">
      <c r="C79" s="176"/>
      <c r="D79" s="178"/>
      <c r="E79" s="166" t="s">
        <v>227</v>
      </c>
      <c r="F79" s="166" t="s">
        <v>228</v>
      </c>
      <c r="G79" s="168">
        <f>ROUND(Assumptions!$D$25*Assumptions!D21,0)</f>
        <v>3257</v>
      </c>
      <c r="H79" s="167">
        <v>0</v>
      </c>
      <c r="I79" s="168">
        <f t="shared" si="47"/>
        <v>0</v>
      </c>
      <c r="J79" s="168">
        <v>0</v>
      </c>
      <c r="K79" s="168">
        <f t="shared" si="41"/>
        <v>0</v>
      </c>
      <c r="L79" s="168">
        <f t="shared" si="42"/>
        <v>0</v>
      </c>
      <c r="M79" s="168"/>
      <c r="N79" s="168">
        <f t="shared" si="38"/>
        <v>0</v>
      </c>
      <c r="O79" s="168">
        <f t="shared" si="48"/>
        <v>0</v>
      </c>
      <c r="P79" s="168">
        <f>0*Assumptions!H21</f>
        <v>0</v>
      </c>
      <c r="Q79" s="168"/>
      <c r="R79" s="168">
        <f t="shared" si="51"/>
        <v>0</v>
      </c>
      <c r="S79" s="168">
        <f t="shared" si="50"/>
        <v>0</v>
      </c>
      <c r="T79" s="169"/>
    </row>
    <row r="80" spans="3:20" ht="101.5" x14ac:dyDescent="0.35">
      <c r="C80" s="176"/>
      <c r="D80" s="178"/>
      <c r="E80" s="166" t="s">
        <v>229</v>
      </c>
      <c r="F80" s="166" t="s">
        <v>230</v>
      </c>
      <c r="G80" s="168">
        <f>ROUND(Assumptions!$D$25*Assumptions!D21,0)</f>
        <v>3257</v>
      </c>
      <c r="H80" s="167">
        <v>1</v>
      </c>
      <c r="I80" s="168">
        <f t="shared" si="47"/>
        <v>3257</v>
      </c>
      <c r="J80" s="167">
        <v>0.25</v>
      </c>
      <c r="K80" s="172">
        <f t="shared" si="41"/>
        <v>814.25</v>
      </c>
      <c r="L80" s="168">
        <f t="shared" si="42"/>
        <v>814.25</v>
      </c>
      <c r="M80" s="168"/>
      <c r="N80" s="172">
        <f t="shared" si="38"/>
        <v>0</v>
      </c>
      <c r="O80" s="172">
        <f t="shared" si="48"/>
        <v>0</v>
      </c>
      <c r="P80" s="168">
        <v>0</v>
      </c>
      <c r="Q80" s="168"/>
      <c r="R80" s="172">
        <f t="shared" si="51"/>
        <v>814.25</v>
      </c>
      <c r="S80" s="172">
        <f t="shared" si="50"/>
        <v>814.25</v>
      </c>
      <c r="T80" s="169"/>
    </row>
    <row r="81" spans="3:20" ht="77.5" customHeight="1" x14ac:dyDescent="0.35">
      <c r="C81" s="176"/>
      <c r="D81" s="178"/>
      <c r="E81" s="166" t="s">
        <v>231</v>
      </c>
      <c r="F81" s="166" t="s">
        <v>232</v>
      </c>
      <c r="G81" s="168">
        <f>ROUND(ROUND(Assumptions!$D$25*Assumptions!D21,0)*0.25,0)</f>
        <v>814</v>
      </c>
      <c r="H81" s="167">
        <v>1</v>
      </c>
      <c r="I81" s="168">
        <f t="shared" si="47"/>
        <v>814</v>
      </c>
      <c r="J81" s="167">
        <v>0.25</v>
      </c>
      <c r="K81" s="172">
        <f t="shared" si="41"/>
        <v>203.5</v>
      </c>
      <c r="L81" s="168">
        <f t="shared" si="42"/>
        <v>203.5</v>
      </c>
      <c r="M81" s="168"/>
      <c r="N81" s="172">
        <f t="shared" si="38"/>
        <v>0</v>
      </c>
      <c r="O81" s="172">
        <f t="shared" si="48"/>
        <v>0</v>
      </c>
      <c r="P81" s="168">
        <v>0</v>
      </c>
      <c r="Q81" s="168"/>
      <c r="R81" s="172">
        <f t="shared" si="51"/>
        <v>203.5</v>
      </c>
      <c r="S81" s="172">
        <f t="shared" si="50"/>
        <v>203.5</v>
      </c>
      <c r="T81" s="169"/>
    </row>
    <row r="82" spans="3:20" ht="32.25" customHeight="1" x14ac:dyDescent="0.35">
      <c r="C82" s="176"/>
      <c r="D82" s="178"/>
      <c r="E82" s="166" t="s">
        <v>233</v>
      </c>
      <c r="F82" s="166" t="s">
        <v>234</v>
      </c>
      <c r="G82" s="167">
        <f>ROUND(Assumptions!$D$26*Assumptions!$D$23,0)</f>
        <v>83</v>
      </c>
      <c r="H82" s="167">
        <v>1</v>
      </c>
      <c r="I82" s="168">
        <f t="shared" si="47"/>
        <v>83</v>
      </c>
      <c r="J82" s="167">
        <v>0.25</v>
      </c>
      <c r="K82" s="172">
        <f t="shared" si="41"/>
        <v>20.75</v>
      </c>
      <c r="L82" s="168">
        <f t="shared" si="42"/>
        <v>20.75</v>
      </c>
      <c r="M82" s="168"/>
      <c r="N82" s="172">
        <f t="shared" si="38"/>
        <v>0</v>
      </c>
      <c r="O82" s="172">
        <f t="shared" si="48"/>
        <v>0</v>
      </c>
      <c r="P82" s="168">
        <v>0</v>
      </c>
      <c r="Q82" s="168"/>
      <c r="R82" s="172">
        <f t="shared" si="51"/>
        <v>20.75</v>
      </c>
      <c r="S82" s="172">
        <f t="shared" si="50"/>
        <v>20.75</v>
      </c>
      <c r="T82" s="169"/>
    </row>
    <row r="83" spans="3:20" ht="124.5" customHeight="1" x14ac:dyDescent="0.35">
      <c r="C83" s="176"/>
      <c r="D83" s="178"/>
      <c r="E83" s="166" t="s">
        <v>235</v>
      </c>
      <c r="F83" s="166" t="s">
        <v>236</v>
      </c>
      <c r="G83" s="167">
        <f>ROUND(ROUND(Assumptions!$D$26*Assumptions!$D$23,0)*0.25,0)</f>
        <v>21</v>
      </c>
      <c r="H83" s="167">
        <v>1</v>
      </c>
      <c r="I83" s="168">
        <f t="shared" si="47"/>
        <v>21</v>
      </c>
      <c r="J83" s="167">
        <v>0.25</v>
      </c>
      <c r="K83" s="172">
        <f t="shared" si="41"/>
        <v>5.25</v>
      </c>
      <c r="L83" s="168">
        <f t="shared" si="42"/>
        <v>5.25</v>
      </c>
      <c r="M83" s="168"/>
      <c r="N83" s="172">
        <f t="shared" si="38"/>
        <v>0</v>
      </c>
      <c r="O83" s="172">
        <f t="shared" si="48"/>
        <v>0</v>
      </c>
      <c r="P83" s="168">
        <v>0</v>
      </c>
      <c r="Q83" s="168"/>
      <c r="R83" s="172">
        <f t="shared" si="51"/>
        <v>5.25</v>
      </c>
      <c r="S83" s="172">
        <f t="shared" si="50"/>
        <v>5.25</v>
      </c>
      <c r="T83" s="169"/>
    </row>
    <row r="84" spans="3:20" ht="51.75" customHeight="1" x14ac:dyDescent="0.35">
      <c r="C84" s="176"/>
      <c r="D84" s="178"/>
      <c r="E84" s="175" t="s">
        <v>237</v>
      </c>
      <c r="F84" s="166" t="s">
        <v>238</v>
      </c>
      <c r="G84" s="168">
        <f>ROUND(Assumptions!D30*Assumptions!D21,0)</f>
        <v>564</v>
      </c>
      <c r="H84" s="167">
        <v>1</v>
      </c>
      <c r="I84" s="168">
        <f t="shared" si="47"/>
        <v>564</v>
      </c>
      <c r="J84" s="167">
        <v>1</v>
      </c>
      <c r="K84" s="168">
        <f t="shared" si="41"/>
        <v>564</v>
      </c>
      <c r="L84" s="168">
        <f t="shared" si="42"/>
        <v>564</v>
      </c>
      <c r="M84" s="168"/>
      <c r="N84" s="168">
        <f t="shared" si="38"/>
        <v>0</v>
      </c>
      <c r="O84" s="168">
        <f t="shared" si="48"/>
        <v>0</v>
      </c>
      <c r="P84" s="168">
        <v>0</v>
      </c>
      <c r="Q84" s="168"/>
      <c r="R84" s="168">
        <f t="shared" si="51"/>
        <v>564</v>
      </c>
      <c r="S84" s="168">
        <f t="shared" si="50"/>
        <v>564</v>
      </c>
      <c r="T84" s="169"/>
    </row>
    <row r="85" spans="3:20" ht="98.5" customHeight="1" x14ac:dyDescent="0.35">
      <c r="C85" s="176"/>
      <c r="D85" s="178"/>
      <c r="E85" s="175" t="s">
        <v>239</v>
      </c>
      <c r="F85" s="166" t="s">
        <v>240</v>
      </c>
      <c r="G85" s="168">
        <f>ROUND(Assumptions!D30*Assumptions!D21,0)</f>
        <v>564</v>
      </c>
      <c r="H85" s="167">
        <v>1</v>
      </c>
      <c r="I85" s="168">
        <f t="shared" si="47"/>
        <v>564</v>
      </c>
      <c r="J85" s="167">
        <v>0.5</v>
      </c>
      <c r="K85" s="168">
        <f t="shared" si="41"/>
        <v>282</v>
      </c>
      <c r="L85" s="168">
        <f t="shared" si="42"/>
        <v>282</v>
      </c>
      <c r="M85" s="168"/>
      <c r="N85" s="168">
        <f t="shared" si="38"/>
        <v>0</v>
      </c>
      <c r="O85" s="168">
        <f t="shared" si="48"/>
        <v>0</v>
      </c>
      <c r="P85" s="168">
        <v>0</v>
      </c>
      <c r="Q85" s="168"/>
      <c r="R85" s="168">
        <f t="shared" si="51"/>
        <v>282</v>
      </c>
      <c r="S85" s="168">
        <f t="shared" si="50"/>
        <v>282</v>
      </c>
      <c r="T85" s="169"/>
    </row>
    <row r="86" spans="3:20" ht="87" x14ac:dyDescent="0.35">
      <c r="C86" s="49">
        <v>226.23</v>
      </c>
      <c r="D86" s="52" t="s">
        <v>241</v>
      </c>
      <c r="E86" s="49">
        <v>226.23</v>
      </c>
      <c r="F86" s="52" t="s">
        <v>242</v>
      </c>
      <c r="G86" s="50">
        <f>ROUND(Assumptions!$D$31*Assumptions!D21,0)</f>
        <v>3791</v>
      </c>
      <c r="H86" s="5">
        <v>1</v>
      </c>
      <c r="I86" s="50">
        <f>G86*H86</f>
        <v>3791</v>
      </c>
      <c r="J86" s="66">
        <v>1.67E-2</v>
      </c>
      <c r="K86" s="66">
        <f t="shared" si="41"/>
        <v>63.309699999999999</v>
      </c>
      <c r="L86" s="168">
        <f t="shared" si="42"/>
        <v>63.309699999999999</v>
      </c>
      <c r="M86" s="50"/>
      <c r="N86" s="66">
        <f t="shared" si="38"/>
        <v>0</v>
      </c>
      <c r="O86" s="66">
        <f t="shared" ref="O86:O87" si="53">M86+N86</f>
        <v>0</v>
      </c>
      <c r="P86" s="66">
        <f>14.028*Assumptions!D21</f>
        <v>2.0901719999999999</v>
      </c>
      <c r="Q86" s="66">
        <f t="shared" ref="Q86:Q88" si="54">K86-P86</f>
        <v>61.219527999999997</v>
      </c>
      <c r="R86" s="66"/>
      <c r="S86" s="66">
        <f t="shared" si="50"/>
        <v>61.219527999999997</v>
      </c>
      <c r="T86" s="44" t="s">
        <v>243</v>
      </c>
    </row>
    <row r="87" spans="3:20" ht="58" x14ac:dyDescent="0.35">
      <c r="C87" s="62" t="s">
        <v>175</v>
      </c>
      <c r="D87" s="70" t="s">
        <v>244</v>
      </c>
      <c r="E87" s="46" t="s">
        <v>175</v>
      </c>
      <c r="F87" s="46" t="s">
        <v>245</v>
      </c>
      <c r="G87" s="50">
        <f>ROUND(Assumptions!$D$32*Assumptions!D21,0)</f>
        <v>29</v>
      </c>
      <c r="H87" s="5">
        <v>1</v>
      </c>
      <c r="I87" s="50">
        <f t="shared" ref="I87" si="55">G87*H87</f>
        <v>29</v>
      </c>
      <c r="J87" s="66">
        <v>8.3500000000000005E-2</v>
      </c>
      <c r="K87" s="66">
        <f t="shared" si="41"/>
        <v>2.4215</v>
      </c>
      <c r="L87" s="168">
        <f t="shared" si="42"/>
        <v>2.4215</v>
      </c>
      <c r="M87" s="50"/>
      <c r="N87" s="66">
        <f t="shared" si="38"/>
        <v>0</v>
      </c>
      <c r="O87" s="66">
        <f t="shared" si="53"/>
        <v>0</v>
      </c>
      <c r="P87" s="66">
        <f>16.268*Assumptions!D21</f>
        <v>2.4239320000000002</v>
      </c>
      <c r="Q87" s="66">
        <f t="shared" si="54"/>
        <v>-2.4320000000002118E-3</v>
      </c>
      <c r="R87" s="50"/>
      <c r="S87" s="66">
        <f t="shared" si="50"/>
        <v>-2.4320000000002118E-3</v>
      </c>
      <c r="T87" s="26"/>
    </row>
    <row r="88" spans="3:20" ht="58" x14ac:dyDescent="0.35">
      <c r="C88" s="62" t="s">
        <v>246</v>
      </c>
      <c r="D88" s="70" t="s">
        <v>179</v>
      </c>
      <c r="E88" s="46" t="s">
        <v>246</v>
      </c>
      <c r="F88" s="46" t="s">
        <v>247</v>
      </c>
      <c r="G88" s="50">
        <f>ROUND(Assumptions!$D$32*Assumptions!D21,0)</f>
        <v>29</v>
      </c>
      <c r="H88" s="50">
        <v>1</v>
      </c>
      <c r="I88" s="50">
        <f t="shared" ref="I88" si="56">G88*H88</f>
        <v>29</v>
      </c>
      <c r="J88" s="66">
        <v>8.3500000000000005E-2</v>
      </c>
      <c r="K88" s="66">
        <f t="shared" ref="K88" si="57">I88*J88</f>
        <v>2.4215</v>
      </c>
      <c r="L88" s="168">
        <f t="shared" si="42"/>
        <v>2.4215</v>
      </c>
      <c r="M88" s="50"/>
      <c r="N88" s="66">
        <f t="shared" si="38"/>
        <v>0</v>
      </c>
      <c r="O88" s="66">
        <f t="shared" si="48"/>
        <v>0</v>
      </c>
      <c r="P88" s="66">
        <f>16.268*Assumptions!D21</f>
        <v>2.4239320000000002</v>
      </c>
      <c r="Q88" s="66">
        <f t="shared" si="54"/>
        <v>-2.4320000000002118E-3</v>
      </c>
      <c r="R88" s="50"/>
      <c r="S88" s="66">
        <f t="shared" si="50"/>
        <v>-2.4320000000002118E-3</v>
      </c>
      <c r="T88" s="26"/>
    </row>
    <row r="89" spans="3:20" x14ac:dyDescent="0.35">
      <c r="C89" s="62"/>
      <c r="D89" s="70"/>
      <c r="E89" s="263" t="s">
        <v>184</v>
      </c>
      <c r="F89" s="264"/>
      <c r="G89" s="111">
        <f>ROUND(Assumptions!D31*Assumptions!D21,0)</f>
        <v>3791</v>
      </c>
      <c r="H89" s="110">
        <f>I89/G89</f>
        <v>33.812186758111316</v>
      </c>
      <c r="I89" s="110">
        <f>SUM(I64:I88)</f>
        <v>128182</v>
      </c>
      <c r="J89" s="110">
        <f>K89/I89</f>
        <v>1.7102754466305721</v>
      </c>
      <c r="K89" s="110">
        <f t="shared" ref="K89:S89" si="58">SUM(K64:K88)</f>
        <v>219226.52729999999</v>
      </c>
      <c r="L89" s="110">
        <f t="shared" si="58"/>
        <v>219226.52729999999</v>
      </c>
      <c r="M89" s="110">
        <f t="shared" si="58"/>
        <v>0</v>
      </c>
      <c r="N89" s="110">
        <f t="shared" si="58"/>
        <v>0</v>
      </c>
      <c r="O89" s="110">
        <f t="shared" si="58"/>
        <v>0</v>
      </c>
      <c r="P89" s="110">
        <f t="shared" si="58"/>
        <v>91887.880311700006</v>
      </c>
      <c r="Q89" s="110">
        <f t="shared" si="58"/>
        <v>-5445.6030116999955</v>
      </c>
      <c r="R89" s="110">
        <f t="shared" si="58"/>
        <v>132784.25</v>
      </c>
      <c r="S89" s="110">
        <f t="shared" si="58"/>
        <v>127338.64698830002</v>
      </c>
      <c r="T89" s="26"/>
    </row>
    <row r="90" spans="3:20" x14ac:dyDescent="0.35">
      <c r="C90" s="260" t="s">
        <v>248</v>
      </c>
      <c r="D90" s="260"/>
      <c r="E90" s="260"/>
      <c r="F90" s="260"/>
      <c r="G90" s="13">
        <f>G62+G89</f>
        <v>3847</v>
      </c>
      <c r="H90" s="17">
        <f>I90/G90</f>
        <v>55.099298154406029</v>
      </c>
      <c r="I90" s="17">
        <f>I62+I89</f>
        <v>211967</v>
      </c>
      <c r="J90" s="17">
        <f>K90/I90</f>
        <v>2.0019991607184138</v>
      </c>
      <c r="K90" s="17">
        <f t="shared" ref="K90:S90" si="59">K62+K89</f>
        <v>424357.7561</v>
      </c>
      <c r="L90" s="17">
        <f t="shared" si="59"/>
        <v>424357.7561</v>
      </c>
      <c r="M90" s="17">
        <f t="shared" si="59"/>
        <v>0</v>
      </c>
      <c r="N90" s="17">
        <f t="shared" si="59"/>
        <v>0</v>
      </c>
      <c r="O90" s="17">
        <f t="shared" si="59"/>
        <v>0</v>
      </c>
      <c r="P90" s="17">
        <f t="shared" si="59"/>
        <v>96088.803111700006</v>
      </c>
      <c r="Q90" s="17">
        <f t="shared" si="59"/>
        <v>-5527.3250116999952</v>
      </c>
      <c r="R90" s="17">
        <f t="shared" si="59"/>
        <v>333796.27799999999</v>
      </c>
      <c r="S90" s="17">
        <f t="shared" si="59"/>
        <v>328268.95298830001</v>
      </c>
      <c r="T90" s="69"/>
    </row>
    <row r="91" spans="3:20" ht="35.25" customHeight="1" x14ac:dyDescent="0.35">
      <c r="C91" s="261" t="s">
        <v>249</v>
      </c>
      <c r="D91" s="261"/>
      <c r="E91" s="265" t="s">
        <v>249</v>
      </c>
      <c r="F91" s="266"/>
      <c r="G91" s="266"/>
      <c r="H91" s="266"/>
      <c r="I91" s="266"/>
      <c r="J91" s="266"/>
      <c r="K91" s="266"/>
      <c r="L91" s="266"/>
      <c r="M91" s="266"/>
      <c r="N91" s="266"/>
      <c r="O91" s="266"/>
      <c r="P91" s="266"/>
      <c r="Q91" s="266"/>
      <c r="R91" s="266"/>
      <c r="S91" s="267"/>
      <c r="T91" s="101"/>
    </row>
    <row r="92" spans="3:20" ht="35.25" customHeight="1" x14ac:dyDescent="0.35">
      <c r="C92" s="261" t="s">
        <v>250</v>
      </c>
      <c r="D92" s="261"/>
      <c r="E92" s="265" t="s">
        <v>250</v>
      </c>
      <c r="F92" s="266"/>
      <c r="G92" s="266"/>
      <c r="H92" s="266"/>
      <c r="I92" s="266"/>
      <c r="J92" s="266"/>
      <c r="K92" s="266"/>
      <c r="L92" s="266"/>
      <c r="M92" s="266"/>
      <c r="N92" s="266"/>
      <c r="O92" s="266"/>
      <c r="P92" s="266"/>
      <c r="Q92" s="266"/>
      <c r="R92" s="266"/>
      <c r="S92" s="267"/>
      <c r="T92" s="101"/>
    </row>
    <row r="93" spans="3:20" ht="29" x14ac:dyDescent="0.35">
      <c r="C93" s="163"/>
      <c r="D93" s="164"/>
      <c r="E93" s="171" t="s">
        <v>45</v>
      </c>
      <c r="F93" s="166" t="s">
        <v>251</v>
      </c>
      <c r="G93" s="167">
        <f>ROUND(Assumptions!D29*Assumptions!D22,0)</f>
        <v>238</v>
      </c>
      <c r="H93" s="167">
        <v>1</v>
      </c>
      <c r="I93" s="168">
        <f t="shared" ref="I93" si="60">G93*H93</f>
        <v>238</v>
      </c>
      <c r="J93" s="167">
        <v>0.5</v>
      </c>
      <c r="K93" s="168">
        <f t="shared" ref="K93" si="61">I93*J93</f>
        <v>119</v>
      </c>
      <c r="L93" s="168">
        <f>K93</f>
        <v>119</v>
      </c>
      <c r="M93" s="168"/>
      <c r="N93" s="168">
        <f t="shared" ref="N93:N117" si="62">K93-L93</f>
        <v>0</v>
      </c>
      <c r="O93" s="168">
        <f t="shared" ref="O93" si="63">M93+N93</f>
        <v>0</v>
      </c>
      <c r="P93" s="168">
        <v>0</v>
      </c>
      <c r="Q93" s="168"/>
      <c r="R93" s="168">
        <f>K93-P93</f>
        <v>119</v>
      </c>
      <c r="S93" s="168">
        <f t="shared" ref="S93:S96" si="64">Q93+R93</f>
        <v>119</v>
      </c>
      <c r="T93" s="169"/>
    </row>
    <row r="94" spans="3:20" ht="72.5" x14ac:dyDescent="0.35">
      <c r="C94" s="62" t="s">
        <v>187</v>
      </c>
      <c r="D94" s="70" t="s">
        <v>188</v>
      </c>
      <c r="E94" s="71" t="s">
        <v>189</v>
      </c>
      <c r="F94" s="46" t="s">
        <v>252</v>
      </c>
      <c r="G94" s="50">
        <f>ROUND(Assumptions!$D$25*Assumptions!D22,0)</f>
        <v>18601</v>
      </c>
      <c r="H94" s="5">
        <v>1</v>
      </c>
      <c r="I94" s="50">
        <f t="shared" ref="I94:I105" si="65">G94*H94</f>
        <v>18601</v>
      </c>
      <c r="J94" s="66">
        <v>8.3500000000000005E-2</v>
      </c>
      <c r="K94" s="66">
        <f t="shared" ref="K94:K116" si="66">I94*J94</f>
        <v>1553.1835000000001</v>
      </c>
      <c r="L94" s="168">
        <f t="shared" ref="L94:L117" si="67">K94</f>
        <v>1553.1835000000001</v>
      </c>
      <c r="M94" s="50"/>
      <c r="N94" s="66">
        <f t="shared" si="62"/>
        <v>0</v>
      </c>
      <c r="O94" s="66">
        <f t="shared" ref="O94:O99" si="68">M94+N94</f>
        <v>0</v>
      </c>
      <c r="P94" s="66">
        <f>1757.842*Assumptions!D22</f>
        <v>1495.923542</v>
      </c>
      <c r="Q94" s="51">
        <f t="shared" ref="Q94:Q96" si="69">K94-P94</f>
        <v>57.259958000000097</v>
      </c>
      <c r="R94" s="51"/>
      <c r="S94" s="51">
        <f t="shared" si="64"/>
        <v>57.259958000000097</v>
      </c>
      <c r="T94" s="47"/>
    </row>
    <row r="95" spans="3:20" ht="47.25" customHeight="1" x14ac:dyDescent="0.35">
      <c r="C95" s="62" t="s">
        <v>191</v>
      </c>
      <c r="D95" s="70" t="s">
        <v>192</v>
      </c>
      <c r="E95" s="62" t="s">
        <v>191</v>
      </c>
      <c r="F95" s="46" t="s">
        <v>193</v>
      </c>
      <c r="G95" s="50">
        <f>ROUND(Assumptions!$D$25*Assumptions!D22,0)</f>
        <v>18601</v>
      </c>
      <c r="H95" s="5">
        <v>12</v>
      </c>
      <c r="I95" s="50">
        <f t="shared" si="65"/>
        <v>223212</v>
      </c>
      <c r="J95" s="51">
        <v>0.5</v>
      </c>
      <c r="K95" s="50">
        <f t="shared" si="66"/>
        <v>111606</v>
      </c>
      <c r="L95" s="168">
        <f t="shared" si="67"/>
        <v>111606</v>
      </c>
      <c r="M95" s="50"/>
      <c r="N95" s="50">
        <f t="shared" si="62"/>
        <v>0</v>
      </c>
      <c r="O95" s="50">
        <f t="shared" si="68"/>
        <v>0</v>
      </c>
      <c r="P95" s="50">
        <f>126312*Assumptions!D22</f>
        <v>107491.512</v>
      </c>
      <c r="Q95" s="50">
        <f t="shared" si="69"/>
        <v>4114.4879999999976</v>
      </c>
      <c r="R95" s="50"/>
      <c r="S95" s="50">
        <f t="shared" si="64"/>
        <v>4114.4879999999976</v>
      </c>
      <c r="T95" s="44"/>
    </row>
    <row r="96" spans="3:20" ht="58" x14ac:dyDescent="0.35">
      <c r="C96" s="62" t="s">
        <v>194</v>
      </c>
      <c r="D96" s="70" t="s">
        <v>195</v>
      </c>
      <c r="E96" s="46" t="s">
        <v>96</v>
      </c>
      <c r="F96" s="46" t="s">
        <v>253</v>
      </c>
      <c r="G96" s="5">
        <f>ROUND(Assumptions!$D$26*Assumptions!$D$22,0)</f>
        <v>540</v>
      </c>
      <c r="H96" s="5">
        <v>1</v>
      </c>
      <c r="I96" s="50">
        <f t="shared" si="65"/>
        <v>540</v>
      </c>
      <c r="J96" s="66">
        <v>1.67E-2</v>
      </c>
      <c r="K96" s="66">
        <f t="shared" si="66"/>
        <v>9.0179999999999989</v>
      </c>
      <c r="L96" s="168">
        <f t="shared" si="67"/>
        <v>9.0179999999999989</v>
      </c>
      <c r="M96" s="50"/>
      <c r="N96" s="66">
        <f t="shared" si="62"/>
        <v>0</v>
      </c>
      <c r="O96" s="66">
        <f t="shared" si="68"/>
        <v>0</v>
      </c>
      <c r="P96" s="51">
        <f>13.6773*Assumptions!D22</f>
        <v>11.639382299999999</v>
      </c>
      <c r="Q96" s="51">
        <f t="shared" si="69"/>
        <v>-2.6213823000000005</v>
      </c>
      <c r="R96" s="51"/>
      <c r="S96" s="51">
        <f t="shared" si="64"/>
        <v>-2.6213823000000005</v>
      </c>
      <c r="T96" s="47"/>
    </row>
    <row r="97" spans="3:20" ht="36.75" customHeight="1" x14ac:dyDescent="0.35">
      <c r="C97" s="176"/>
      <c r="D97" s="178"/>
      <c r="E97" s="166" t="s">
        <v>197</v>
      </c>
      <c r="F97" s="166" t="s">
        <v>198</v>
      </c>
      <c r="G97" s="168">
        <f>ROUND(Assumptions!$D$25*Assumptions!D22,0)</f>
        <v>18601</v>
      </c>
      <c r="H97" s="167">
        <v>1</v>
      </c>
      <c r="I97" s="168">
        <f>G97*H97</f>
        <v>18601</v>
      </c>
      <c r="J97" s="172">
        <v>0.5</v>
      </c>
      <c r="K97" s="172">
        <f>I97*J97</f>
        <v>9300.5</v>
      </c>
      <c r="L97" s="168">
        <f t="shared" si="67"/>
        <v>9300.5</v>
      </c>
      <c r="M97" s="168"/>
      <c r="N97" s="172">
        <f t="shared" si="62"/>
        <v>0</v>
      </c>
      <c r="O97" s="172">
        <f>M97+N97</f>
        <v>0</v>
      </c>
      <c r="P97" s="168">
        <v>0</v>
      </c>
      <c r="Q97" s="168"/>
      <c r="R97" s="172">
        <f>K97-P97</f>
        <v>9300.5</v>
      </c>
      <c r="S97" s="172">
        <f>Q97+R97</f>
        <v>9300.5</v>
      </c>
      <c r="T97" s="169"/>
    </row>
    <row r="98" spans="3:20" ht="58" x14ac:dyDescent="0.35">
      <c r="C98" s="62" t="s">
        <v>199</v>
      </c>
      <c r="D98" s="70" t="s">
        <v>200</v>
      </c>
      <c r="E98" s="46" t="s">
        <v>201</v>
      </c>
      <c r="F98" s="46" t="s">
        <v>202</v>
      </c>
      <c r="G98" s="50">
        <f>ROUND(Assumptions!$D$27*Assumptions!D22,0)</f>
        <v>51</v>
      </c>
      <c r="H98" s="5">
        <v>1</v>
      </c>
      <c r="I98" s="50">
        <f t="shared" si="65"/>
        <v>51</v>
      </c>
      <c r="J98" s="51">
        <v>1.5</v>
      </c>
      <c r="K98" s="51">
        <f t="shared" si="66"/>
        <v>76.5</v>
      </c>
      <c r="L98" s="168">
        <f t="shared" si="67"/>
        <v>76.5</v>
      </c>
      <c r="M98" s="50"/>
      <c r="N98" s="51">
        <f t="shared" si="62"/>
        <v>0</v>
      </c>
      <c r="O98" s="51">
        <f t="shared" si="68"/>
        <v>0</v>
      </c>
      <c r="P98" s="51">
        <f>90*Assumptions!D22</f>
        <v>76.59</v>
      </c>
      <c r="Q98" s="51">
        <f>K98-P98</f>
        <v>-9.0000000000003411E-2</v>
      </c>
      <c r="R98" s="51"/>
      <c r="S98" s="51">
        <f t="shared" ref="S98:S99" si="70">Q98+R98</f>
        <v>-9.0000000000003411E-2</v>
      </c>
      <c r="T98" s="47"/>
    </row>
    <row r="99" spans="3:20" ht="51" customHeight="1" x14ac:dyDescent="0.35">
      <c r="C99" s="176"/>
      <c r="D99" s="178"/>
      <c r="E99" s="176" t="s">
        <v>203</v>
      </c>
      <c r="F99" s="166" t="s">
        <v>254</v>
      </c>
      <c r="G99" s="168">
        <f>ROUND(Assumptions!$D$25*Assumptions!D22,0)</f>
        <v>18601</v>
      </c>
      <c r="H99" s="167">
        <v>1</v>
      </c>
      <c r="I99" s="168">
        <f t="shared" si="65"/>
        <v>18601</v>
      </c>
      <c r="J99" s="172">
        <v>0.5</v>
      </c>
      <c r="K99" s="172">
        <f t="shared" si="66"/>
        <v>9300.5</v>
      </c>
      <c r="L99" s="168">
        <f t="shared" si="67"/>
        <v>9300.5</v>
      </c>
      <c r="M99" s="168"/>
      <c r="N99" s="172">
        <f t="shared" si="62"/>
        <v>0</v>
      </c>
      <c r="O99" s="172">
        <f t="shared" si="68"/>
        <v>0</v>
      </c>
      <c r="P99" s="168">
        <v>0</v>
      </c>
      <c r="Q99" s="168"/>
      <c r="R99" s="172">
        <f>K99-P99</f>
        <v>9300.5</v>
      </c>
      <c r="S99" s="172">
        <f t="shared" si="70"/>
        <v>9300.5</v>
      </c>
      <c r="T99" s="169"/>
    </row>
    <row r="100" spans="3:20" ht="43.5" x14ac:dyDescent="0.35">
      <c r="C100" s="252" t="s">
        <v>205</v>
      </c>
      <c r="D100" s="253" t="s">
        <v>206</v>
      </c>
      <c r="E100" s="254" t="s">
        <v>207</v>
      </c>
      <c r="F100" s="254" t="s">
        <v>255</v>
      </c>
      <c r="G100" s="255">
        <f>ROUND(Assumptions!$D$25*Assumptions!D22,0)</f>
        <v>18601</v>
      </c>
      <c r="H100" s="256">
        <v>12</v>
      </c>
      <c r="I100" s="255">
        <f t="shared" si="65"/>
        <v>223212</v>
      </c>
      <c r="J100" s="257">
        <v>1.67</v>
      </c>
      <c r="K100" s="257">
        <f t="shared" si="66"/>
        <v>372764.04</v>
      </c>
      <c r="L100" s="168">
        <f t="shared" si="67"/>
        <v>372764.04</v>
      </c>
      <c r="M100" s="50"/>
      <c r="N100" s="51">
        <f t="shared" si="62"/>
        <v>0</v>
      </c>
      <c r="O100" s="51">
        <f>M100+N100</f>
        <v>0</v>
      </c>
      <c r="P100" s="51">
        <f>479985.6*Assumptions!D22</f>
        <v>408467.74559999997</v>
      </c>
      <c r="Q100" s="51">
        <f>K100-P100</f>
        <v>-35703.705599999987</v>
      </c>
      <c r="R100" s="51"/>
      <c r="S100" s="51">
        <f>Q100+R100</f>
        <v>-35703.705599999987</v>
      </c>
      <c r="T100" s="44"/>
    </row>
    <row r="101" spans="3:20" ht="29" x14ac:dyDescent="0.35">
      <c r="C101" s="252"/>
      <c r="D101" s="253"/>
      <c r="E101" s="254" t="s">
        <v>209</v>
      </c>
      <c r="F101" s="254" t="s">
        <v>256</v>
      </c>
      <c r="G101" s="255">
        <f>ROUND(Assumptions!$D$28*Assumptions!D22,0)</f>
        <v>8314</v>
      </c>
      <c r="H101" s="256">
        <v>12</v>
      </c>
      <c r="I101" s="255">
        <f t="shared" si="65"/>
        <v>99768</v>
      </c>
      <c r="J101" s="257">
        <v>0.5</v>
      </c>
      <c r="K101" s="255">
        <f t="shared" si="66"/>
        <v>49884</v>
      </c>
      <c r="L101" s="168">
        <f t="shared" si="67"/>
        <v>49884</v>
      </c>
      <c r="M101" s="168"/>
      <c r="N101" s="168">
        <f t="shared" si="62"/>
        <v>0</v>
      </c>
      <c r="O101" s="168">
        <f>M101+N101</f>
        <v>0</v>
      </c>
      <c r="P101" s="168">
        <v>0</v>
      </c>
      <c r="Q101" s="172"/>
      <c r="R101" s="168">
        <f>K101-P101</f>
        <v>49884</v>
      </c>
      <c r="S101" s="168">
        <f>Q101+R101</f>
        <v>49884</v>
      </c>
      <c r="T101" s="169"/>
    </row>
    <row r="102" spans="3:20" ht="32.25" customHeight="1" x14ac:dyDescent="0.35">
      <c r="C102" s="62" t="s">
        <v>211</v>
      </c>
      <c r="D102" s="62" t="s">
        <v>212</v>
      </c>
      <c r="E102" s="64" t="s">
        <v>213</v>
      </c>
      <c r="F102" s="46" t="s">
        <v>257</v>
      </c>
      <c r="G102" s="5">
        <f>ROUND(Assumptions!$D$26*Assumptions!D22,0)</f>
        <v>540</v>
      </c>
      <c r="H102" s="5">
        <v>5</v>
      </c>
      <c r="I102" s="50">
        <f t="shared" si="65"/>
        <v>2700</v>
      </c>
      <c r="J102" s="66">
        <v>0.30059999999999998</v>
      </c>
      <c r="K102" s="51">
        <f t="shared" si="66"/>
        <v>811.61999999999989</v>
      </c>
      <c r="L102" s="168">
        <f t="shared" si="67"/>
        <v>811.61999999999989</v>
      </c>
      <c r="M102" s="50"/>
      <c r="N102" s="51">
        <f t="shared" si="62"/>
        <v>0</v>
      </c>
      <c r="O102" s="51">
        <f t="shared" ref="O102:O117" si="71">M102+N102</f>
        <v>0</v>
      </c>
      <c r="P102" s="66">
        <f>1228.5*Assumptions!D22</f>
        <v>1045.4535000000001</v>
      </c>
      <c r="Q102" s="66">
        <f t="shared" ref="Q102:Q104" si="72">K102-P102</f>
        <v>-233.83350000000019</v>
      </c>
      <c r="R102" s="51"/>
      <c r="S102" s="66">
        <f t="shared" ref="S102:S117" si="73">Q102+R102</f>
        <v>-233.83350000000019</v>
      </c>
      <c r="T102" s="44"/>
    </row>
    <row r="103" spans="3:20" ht="60" customHeight="1" x14ac:dyDescent="0.35">
      <c r="C103" s="62" t="s">
        <v>215</v>
      </c>
      <c r="D103" s="62" t="s">
        <v>258</v>
      </c>
      <c r="E103" s="46" t="s">
        <v>215</v>
      </c>
      <c r="F103" s="222" t="s">
        <v>217</v>
      </c>
      <c r="G103" s="5">
        <f>ROUND(Assumptions!$D$29*Assumptions!D22,0)</f>
        <v>238</v>
      </c>
      <c r="H103" s="5">
        <v>1</v>
      </c>
      <c r="I103" s="50">
        <f t="shared" si="65"/>
        <v>238</v>
      </c>
      <c r="J103" s="50">
        <v>8</v>
      </c>
      <c r="K103" s="50">
        <f t="shared" si="66"/>
        <v>1904</v>
      </c>
      <c r="L103" s="168">
        <f t="shared" si="67"/>
        <v>1904</v>
      </c>
      <c r="M103" s="50"/>
      <c r="N103" s="50">
        <f t="shared" si="62"/>
        <v>0</v>
      </c>
      <c r="O103" s="50">
        <f t="shared" si="71"/>
        <v>0</v>
      </c>
      <c r="P103" s="50">
        <f>2000*Assumptions!D22</f>
        <v>1702</v>
      </c>
      <c r="Q103" s="50">
        <f t="shared" si="72"/>
        <v>202</v>
      </c>
      <c r="R103" s="50"/>
      <c r="S103" s="50">
        <f t="shared" si="73"/>
        <v>202</v>
      </c>
      <c r="T103" s="47"/>
    </row>
    <row r="104" spans="3:20" ht="33.75" customHeight="1" x14ac:dyDescent="0.35">
      <c r="C104" s="62" t="s">
        <v>215</v>
      </c>
      <c r="D104" s="62" t="s">
        <v>218</v>
      </c>
      <c r="E104" s="46" t="s">
        <v>215</v>
      </c>
      <c r="F104" s="46" t="s">
        <v>259</v>
      </c>
      <c r="G104" s="50">
        <f>ROUND(Assumptions!$D$25*Assumptions!D22,0)</f>
        <v>18601</v>
      </c>
      <c r="H104" s="5">
        <v>1</v>
      </c>
      <c r="I104" s="50">
        <f t="shared" si="65"/>
        <v>18601</v>
      </c>
      <c r="J104" s="51">
        <v>0.25</v>
      </c>
      <c r="K104" s="51">
        <f>I104*J104</f>
        <v>4650.25</v>
      </c>
      <c r="L104" s="168">
        <f t="shared" si="67"/>
        <v>4650.25</v>
      </c>
      <c r="M104" s="50"/>
      <c r="N104" s="51">
        <f t="shared" si="62"/>
        <v>0</v>
      </c>
      <c r="O104" s="51">
        <f t="shared" si="71"/>
        <v>0</v>
      </c>
      <c r="P104" s="66">
        <f>5263*Assumptions!D22</f>
        <v>4478.8130000000001</v>
      </c>
      <c r="Q104" s="51">
        <f t="shared" si="72"/>
        <v>171.4369999999999</v>
      </c>
      <c r="R104" s="51"/>
      <c r="S104" s="51">
        <f t="shared" si="73"/>
        <v>171.4369999999999</v>
      </c>
      <c r="T104" s="47"/>
    </row>
    <row r="105" spans="3:20" ht="43.5" x14ac:dyDescent="0.35">
      <c r="C105" s="176"/>
      <c r="D105" s="178"/>
      <c r="E105" s="176" t="s">
        <v>220</v>
      </c>
      <c r="F105" s="166" t="s">
        <v>221</v>
      </c>
      <c r="G105" s="168">
        <f>ROUND(Assumptions!D25*Assumptions!D22,0)</f>
        <v>18601</v>
      </c>
      <c r="H105" s="167">
        <v>1</v>
      </c>
      <c r="I105" s="168">
        <f t="shared" si="65"/>
        <v>18601</v>
      </c>
      <c r="J105" s="172">
        <v>0.25</v>
      </c>
      <c r="K105" s="172">
        <f t="shared" si="66"/>
        <v>4650.25</v>
      </c>
      <c r="L105" s="168">
        <f t="shared" si="67"/>
        <v>4650.25</v>
      </c>
      <c r="M105" s="168"/>
      <c r="N105" s="172">
        <f t="shared" si="62"/>
        <v>0</v>
      </c>
      <c r="O105" s="172">
        <f t="shared" si="71"/>
        <v>0</v>
      </c>
      <c r="P105" s="168">
        <f>0*Assumptions!H22</f>
        <v>0</v>
      </c>
      <c r="Q105" s="168"/>
      <c r="R105" s="172">
        <f t="shared" ref="R105:R114" si="74">K105-P105</f>
        <v>4650.25</v>
      </c>
      <c r="S105" s="172">
        <f t="shared" si="73"/>
        <v>4650.25</v>
      </c>
      <c r="T105" s="179"/>
    </row>
    <row r="106" spans="3:20" ht="90.5" customHeight="1" x14ac:dyDescent="0.35">
      <c r="C106" s="176"/>
      <c r="D106" s="178"/>
      <c r="E106" s="176" t="s">
        <v>222</v>
      </c>
      <c r="F106" s="166" t="s">
        <v>223</v>
      </c>
      <c r="G106" s="168">
        <f>ROUND(Assumptions!$D$25*Assumptions!D22,0)</f>
        <v>18601</v>
      </c>
      <c r="H106" s="167">
        <v>1</v>
      </c>
      <c r="I106" s="168">
        <f>G106*H106</f>
        <v>18601</v>
      </c>
      <c r="J106" s="168">
        <v>36</v>
      </c>
      <c r="K106" s="168">
        <f t="shared" si="66"/>
        <v>669636</v>
      </c>
      <c r="L106" s="168">
        <f t="shared" si="67"/>
        <v>669636</v>
      </c>
      <c r="M106" s="168"/>
      <c r="N106" s="168">
        <f t="shared" si="62"/>
        <v>0</v>
      </c>
      <c r="O106" s="168">
        <f t="shared" si="71"/>
        <v>0</v>
      </c>
      <c r="P106" s="168">
        <f>0*Assumptions!H22</f>
        <v>0</v>
      </c>
      <c r="Q106" s="168"/>
      <c r="R106" s="168">
        <f t="shared" si="74"/>
        <v>669636</v>
      </c>
      <c r="S106" s="168">
        <f t="shared" si="73"/>
        <v>669636</v>
      </c>
      <c r="T106" s="175" t="s">
        <v>224</v>
      </c>
    </row>
    <row r="107" spans="3:20" ht="95.5" customHeight="1" x14ac:dyDescent="0.35">
      <c r="C107" s="179"/>
      <c r="D107" s="179"/>
      <c r="E107" s="176" t="s">
        <v>225</v>
      </c>
      <c r="F107" s="166" t="s">
        <v>226</v>
      </c>
      <c r="G107" s="168">
        <f>ROUND(Assumptions!$D$25*Assumptions!D22,0)</f>
        <v>18601</v>
      </c>
      <c r="H107" s="167">
        <v>1</v>
      </c>
      <c r="I107" s="168">
        <f t="shared" ref="I107" si="75">G107*H107</f>
        <v>18601</v>
      </c>
      <c r="J107" s="167">
        <v>0.25</v>
      </c>
      <c r="K107" s="172">
        <f t="shared" si="66"/>
        <v>4650.25</v>
      </c>
      <c r="L107" s="168">
        <f t="shared" si="67"/>
        <v>4650.25</v>
      </c>
      <c r="M107" s="168"/>
      <c r="N107" s="172">
        <f t="shared" si="62"/>
        <v>0</v>
      </c>
      <c r="O107" s="172">
        <f t="shared" si="71"/>
        <v>0</v>
      </c>
      <c r="P107" s="168">
        <v>0</v>
      </c>
      <c r="Q107" s="168"/>
      <c r="R107" s="172">
        <f t="shared" si="74"/>
        <v>4650.25</v>
      </c>
      <c r="S107" s="172">
        <f t="shared" si="73"/>
        <v>4650.25</v>
      </c>
      <c r="T107" s="169"/>
    </row>
    <row r="108" spans="3:20" ht="86" customHeight="1" x14ac:dyDescent="0.35">
      <c r="C108" s="176"/>
      <c r="D108" s="178"/>
      <c r="E108" s="166" t="s">
        <v>227</v>
      </c>
      <c r="F108" s="166" t="s">
        <v>228</v>
      </c>
      <c r="G108" s="168">
        <f>ROUND(Assumptions!$D$25*Assumptions!D22,0)</f>
        <v>18601</v>
      </c>
      <c r="H108" s="167">
        <v>0</v>
      </c>
      <c r="I108" s="168">
        <f t="shared" ref="I108:I109" si="76">G108*H108</f>
        <v>0</v>
      </c>
      <c r="J108" s="172">
        <v>0</v>
      </c>
      <c r="K108" s="172">
        <f t="shared" si="66"/>
        <v>0</v>
      </c>
      <c r="L108" s="168">
        <f t="shared" si="67"/>
        <v>0</v>
      </c>
      <c r="M108" s="168"/>
      <c r="N108" s="168">
        <f t="shared" si="62"/>
        <v>0</v>
      </c>
      <c r="O108" s="172">
        <f t="shared" si="71"/>
        <v>0</v>
      </c>
      <c r="P108" s="168">
        <f>0*Assumptions!H22</f>
        <v>0</v>
      </c>
      <c r="Q108" s="168"/>
      <c r="R108" s="168">
        <f t="shared" si="74"/>
        <v>0</v>
      </c>
      <c r="S108" s="172">
        <f t="shared" si="73"/>
        <v>0</v>
      </c>
      <c r="T108" s="169"/>
    </row>
    <row r="109" spans="3:20" ht="110.5" customHeight="1" x14ac:dyDescent="0.35">
      <c r="C109" s="176"/>
      <c r="D109" s="178"/>
      <c r="E109" s="166" t="s">
        <v>229</v>
      </c>
      <c r="F109" s="166" t="s">
        <v>260</v>
      </c>
      <c r="G109" s="168">
        <f>ROUND(Assumptions!$D$25*Assumptions!D22,0)</f>
        <v>18601</v>
      </c>
      <c r="H109" s="167">
        <v>1</v>
      </c>
      <c r="I109" s="168">
        <f t="shared" si="76"/>
        <v>18601</v>
      </c>
      <c r="J109" s="167">
        <v>0.25</v>
      </c>
      <c r="K109" s="172">
        <f t="shared" ref="K109" si="77">I109*J109</f>
        <v>4650.25</v>
      </c>
      <c r="L109" s="168">
        <f t="shared" si="67"/>
        <v>4650.25</v>
      </c>
      <c r="M109" s="168"/>
      <c r="N109" s="172">
        <f t="shared" si="62"/>
        <v>0</v>
      </c>
      <c r="O109" s="172">
        <f t="shared" ref="O109" si="78">M109+N109</f>
        <v>0</v>
      </c>
      <c r="P109" s="168">
        <v>0</v>
      </c>
      <c r="Q109" s="168"/>
      <c r="R109" s="172">
        <f t="shared" si="74"/>
        <v>4650.25</v>
      </c>
      <c r="S109" s="172">
        <f t="shared" si="73"/>
        <v>4650.25</v>
      </c>
      <c r="T109" s="169"/>
    </row>
    <row r="110" spans="3:20" ht="88" customHeight="1" x14ac:dyDescent="0.35">
      <c r="C110" s="176"/>
      <c r="D110" s="178"/>
      <c r="E110" s="166" t="s">
        <v>231</v>
      </c>
      <c r="F110" s="166" t="s">
        <v>232</v>
      </c>
      <c r="G110" s="168">
        <f>ROUND(ROUND(Assumptions!$D$25*Assumptions!D22,0)*0.25,0)</f>
        <v>4650</v>
      </c>
      <c r="H110" s="167">
        <v>1</v>
      </c>
      <c r="I110" s="168">
        <f t="shared" ref="I110:I112" si="79">G110*H110</f>
        <v>4650</v>
      </c>
      <c r="J110" s="167">
        <v>0.25</v>
      </c>
      <c r="K110" s="172">
        <f t="shared" ref="K110:K112" si="80">I110*J110</f>
        <v>1162.5</v>
      </c>
      <c r="L110" s="168">
        <f t="shared" si="67"/>
        <v>1162.5</v>
      </c>
      <c r="M110" s="168"/>
      <c r="N110" s="172">
        <f t="shared" si="62"/>
        <v>0</v>
      </c>
      <c r="O110" s="172">
        <f t="shared" ref="O110:O112" si="81">M110+N110</f>
        <v>0</v>
      </c>
      <c r="P110" s="168">
        <v>0</v>
      </c>
      <c r="Q110" s="168"/>
      <c r="R110" s="172">
        <f t="shared" si="74"/>
        <v>1162.5</v>
      </c>
      <c r="S110" s="172">
        <f t="shared" si="73"/>
        <v>1162.5</v>
      </c>
      <c r="T110" s="169"/>
    </row>
    <row r="111" spans="3:20" ht="32.25" customHeight="1" x14ac:dyDescent="0.35">
      <c r="C111" s="176"/>
      <c r="D111" s="178"/>
      <c r="E111" s="166" t="s">
        <v>233</v>
      </c>
      <c r="F111" s="166" t="s">
        <v>234</v>
      </c>
      <c r="G111" s="168">
        <f>ROUND(Assumptions!$D$26*Assumptions!D22,0)</f>
        <v>540</v>
      </c>
      <c r="H111" s="167">
        <v>1</v>
      </c>
      <c r="I111" s="168">
        <f t="shared" si="79"/>
        <v>540</v>
      </c>
      <c r="J111" s="167">
        <v>0.25</v>
      </c>
      <c r="K111" s="168">
        <f t="shared" si="80"/>
        <v>135</v>
      </c>
      <c r="L111" s="168">
        <f t="shared" si="67"/>
        <v>135</v>
      </c>
      <c r="M111" s="168"/>
      <c r="N111" s="168">
        <f t="shared" si="62"/>
        <v>0</v>
      </c>
      <c r="O111" s="168">
        <f t="shared" si="81"/>
        <v>0</v>
      </c>
      <c r="P111" s="168">
        <v>0</v>
      </c>
      <c r="Q111" s="168"/>
      <c r="R111" s="168">
        <f t="shared" si="74"/>
        <v>135</v>
      </c>
      <c r="S111" s="168">
        <f t="shared" si="73"/>
        <v>135</v>
      </c>
      <c r="T111" s="169"/>
    </row>
    <row r="112" spans="3:20" ht="129.65" customHeight="1" x14ac:dyDescent="0.35">
      <c r="C112" s="176"/>
      <c r="D112" s="178"/>
      <c r="E112" s="166" t="s">
        <v>235</v>
      </c>
      <c r="F112" s="166" t="s">
        <v>261</v>
      </c>
      <c r="G112" s="168">
        <f>ROUND(ROUND(Assumptions!$D$26*Assumptions!D22,0)*0.25,0)</f>
        <v>135</v>
      </c>
      <c r="H112" s="167">
        <v>1</v>
      </c>
      <c r="I112" s="168">
        <f t="shared" si="79"/>
        <v>135</v>
      </c>
      <c r="J112" s="167">
        <v>0.25</v>
      </c>
      <c r="K112" s="172">
        <f t="shared" si="80"/>
        <v>33.75</v>
      </c>
      <c r="L112" s="168">
        <f t="shared" si="67"/>
        <v>33.75</v>
      </c>
      <c r="M112" s="168"/>
      <c r="N112" s="172">
        <f t="shared" si="62"/>
        <v>0</v>
      </c>
      <c r="O112" s="172">
        <f t="shared" si="81"/>
        <v>0</v>
      </c>
      <c r="P112" s="168">
        <v>0</v>
      </c>
      <c r="Q112" s="168"/>
      <c r="R112" s="172">
        <f t="shared" si="74"/>
        <v>33.75</v>
      </c>
      <c r="S112" s="172">
        <f t="shared" si="73"/>
        <v>33.75</v>
      </c>
      <c r="T112" s="169"/>
    </row>
    <row r="113" spans="3:20" ht="43" customHeight="1" x14ac:dyDescent="0.35">
      <c r="C113" s="176"/>
      <c r="D113" s="178"/>
      <c r="E113" s="175" t="s">
        <v>237</v>
      </c>
      <c r="F113" s="166" t="s">
        <v>262</v>
      </c>
      <c r="G113" s="168">
        <f>ROUND(Assumptions!D30*Assumptions!D22,0)</f>
        <v>3220</v>
      </c>
      <c r="H113" s="167">
        <v>1</v>
      </c>
      <c r="I113" s="168">
        <f t="shared" ref="I113:I114" si="82">G113*H113</f>
        <v>3220</v>
      </c>
      <c r="J113" s="167">
        <v>1</v>
      </c>
      <c r="K113" s="168">
        <f t="shared" ref="K113:K114" si="83">I113*J113</f>
        <v>3220</v>
      </c>
      <c r="L113" s="168">
        <f t="shared" si="67"/>
        <v>3220</v>
      </c>
      <c r="M113" s="168"/>
      <c r="N113" s="168">
        <f t="shared" si="62"/>
        <v>0</v>
      </c>
      <c r="O113" s="168">
        <f t="shared" ref="O113:O114" si="84">M113+N113</f>
        <v>0</v>
      </c>
      <c r="P113" s="168">
        <v>0</v>
      </c>
      <c r="Q113" s="168"/>
      <c r="R113" s="168">
        <f t="shared" si="74"/>
        <v>3220</v>
      </c>
      <c r="S113" s="168">
        <f t="shared" si="73"/>
        <v>3220</v>
      </c>
      <c r="T113" s="169"/>
    </row>
    <row r="114" spans="3:20" ht="100" customHeight="1" x14ac:dyDescent="0.35">
      <c r="C114" s="176"/>
      <c r="D114" s="178"/>
      <c r="E114" s="175" t="s">
        <v>239</v>
      </c>
      <c r="F114" s="166" t="s">
        <v>263</v>
      </c>
      <c r="G114" s="168">
        <f>ROUND(Assumptions!D30*Assumptions!D22,0)</f>
        <v>3220</v>
      </c>
      <c r="H114" s="167">
        <v>1</v>
      </c>
      <c r="I114" s="168">
        <f t="shared" si="82"/>
        <v>3220</v>
      </c>
      <c r="J114" s="167">
        <v>0.5</v>
      </c>
      <c r="K114" s="168">
        <f t="shared" si="83"/>
        <v>1610</v>
      </c>
      <c r="L114" s="168">
        <f t="shared" si="67"/>
        <v>1610</v>
      </c>
      <c r="M114" s="168"/>
      <c r="N114" s="168">
        <f t="shared" si="62"/>
        <v>0</v>
      </c>
      <c r="O114" s="168">
        <f t="shared" si="84"/>
        <v>0</v>
      </c>
      <c r="P114" s="168">
        <v>0</v>
      </c>
      <c r="Q114" s="168"/>
      <c r="R114" s="168">
        <f t="shared" si="74"/>
        <v>1610</v>
      </c>
      <c r="S114" s="168">
        <f t="shared" si="73"/>
        <v>1610</v>
      </c>
      <c r="T114" s="169"/>
    </row>
    <row r="115" spans="3:20" ht="87" x14ac:dyDescent="0.35">
      <c r="C115" s="49">
        <v>226.23</v>
      </c>
      <c r="D115" s="52" t="s">
        <v>241</v>
      </c>
      <c r="E115" s="49">
        <v>226.23</v>
      </c>
      <c r="F115" s="52" t="s">
        <v>242</v>
      </c>
      <c r="G115" s="50">
        <f>ROUND(Assumptions!$D$31*Assumptions!D22,0)</f>
        <v>21650</v>
      </c>
      <c r="H115" s="5">
        <v>1</v>
      </c>
      <c r="I115" s="50">
        <f>G115*H115</f>
        <v>21650</v>
      </c>
      <c r="J115" s="66">
        <v>1.67E-2</v>
      </c>
      <c r="K115" s="66">
        <f t="shared" si="66"/>
        <v>361.55500000000001</v>
      </c>
      <c r="L115" s="168">
        <f t="shared" si="67"/>
        <v>361.55500000000001</v>
      </c>
      <c r="M115" s="50"/>
      <c r="N115" s="66">
        <f t="shared" si="62"/>
        <v>0</v>
      </c>
      <c r="O115" s="66">
        <f t="shared" si="71"/>
        <v>0</v>
      </c>
      <c r="P115" s="66">
        <f>14.028*Assumptions!D22</f>
        <v>11.937828</v>
      </c>
      <c r="Q115" s="66">
        <f t="shared" ref="Q115:Q117" si="85">K115-P115</f>
        <v>349.61717199999998</v>
      </c>
      <c r="R115" s="51"/>
      <c r="S115" s="66">
        <f t="shared" si="73"/>
        <v>349.61717199999998</v>
      </c>
      <c r="T115" s="44" t="s">
        <v>243</v>
      </c>
    </row>
    <row r="116" spans="3:20" ht="58" x14ac:dyDescent="0.35">
      <c r="C116" s="62" t="s">
        <v>175</v>
      </c>
      <c r="D116" s="70" t="s">
        <v>244</v>
      </c>
      <c r="E116" s="46" t="s">
        <v>175</v>
      </c>
      <c r="F116" s="46" t="s">
        <v>245</v>
      </c>
      <c r="G116" s="50">
        <f>ROUND(Assumptions!$D$32*Assumptions!D22,0)</f>
        <v>167</v>
      </c>
      <c r="H116" s="5">
        <v>1</v>
      </c>
      <c r="I116" s="50">
        <f t="shared" ref="I116" si="86">G116*H116</f>
        <v>167</v>
      </c>
      <c r="J116" s="66">
        <v>8.3500000000000005E-2</v>
      </c>
      <c r="K116" s="66">
        <f t="shared" si="66"/>
        <v>13.944500000000001</v>
      </c>
      <c r="L116" s="168">
        <f t="shared" si="67"/>
        <v>13.944500000000001</v>
      </c>
      <c r="M116" s="51"/>
      <c r="N116" s="66">
        <f t="shared" si="62"/>
        <v>0</v>
      </c>
      <c r="O116" s="216">
        <f t="shared" si="71"/>
        <v>0</v>
      </c>
      <c r="P116" s="66">
        <f>16.268*Assumptions!D22</f>
        <v>13.844068</v>
      </c>
      <c r="Q116" s="66">
        <f t="shared" si="85"/>
        <v>0.10043200000000141</v>
      </c>
      <c r="R116" s="50"/>
      <c r="S116" s="216">
        <f t="shared" si="73"/>
        <v>0.10043200000000141</v>
      </c>
      <c r="T116" s="26"/>
    </row>
    <row r="117" spans="3:20" ht="58" x14ac:dyDescent="0.35">
      <c r="C117" s="62" t="s">
        <v>246</v>
      </c>
      <c r="D117" s="70" t="s">
        <v>179</v>
      </c>
      <c r="E117" s="46" t="s">
        <v>246</v>
      </c>
      <c r="F117" s="46" t="s">
        <v>247</v>
      </c>
      <c r="G117" s="50">
        <f>ROUND(Assumptions!$D$32*Assumptions!D22,0)</f>
        <v>167</v>
      </c>
      <c r="H117" s="50">
        <v>1</v>
      </c>
      <c r="I117" s="50">
        <f t="shared" ref="I117" si="87">G117*H117</f>
        <v>167</v>
      </c>
      <c r="J117" s="66">
        <v>8.3500000000000005E-2</v>
      </c>
      <c r="K117" s="66">
        <f t="shared" ref="K117" si="88">I117*J117</f>
        <v>13.944500000000001</v>
      </c>
      <c r="L117" s="168">
        <f t="shared" si="67"/>
        <v>13.944500000000001</v>
      </c>
      <c r="M117" s="51"/>
      <c r="N117" s="66">
        <f t="shared" si="62"/>
        <v>0</v>
      </c>
      <c r="O117" s="216">
        <f t="shared" si="71"/>
        <v>0</v>
      </c>
      <c r="P117" s="66">
        <f>16.268*Assumptions!D22</f>
        <v>13.844068</v>
      </c>
      <c r="Q117" s="66">
        <f t="shared" si="85"/>
        <v>0.10043200000000141</v>
      </c>
      <c r="R117" s="50"/>
      <c r="S117" s="216">
        <f t="shared" si="73"/>
        <v>0.10043200000000141</v>
      </c>
      <c r="T117" s="26"/>
    </row>
    <row r="118" spans="3:20" x14ac:dyDescent="0.35">
      <c r="C118" s="62"/>
      <c r="D118" s="70"/>
      <c r="E118" s="263" t="s">
        <v>184</v>
      </c>
      <c r="F118" s="264"/>
      <c r="G118" s="111">
        <f>ROUND(Assumptions!D31*Assumptions!D22,0)</f>
        <v>21650</v>
      </c>
      <c r="H118" s="110">
        <f>I118/G118</f>
        <v>33.834457274826789</v>
      </c>
      <c r="I118" s="110">
        <f>SUM(I93:I117)</f>
        <v>732516</v>
      </c>
      <c r="J118" s="110">
        <f>K118/I118</f>
        <v>1.7093361175728585</v>
      </c>
      <c r="K118" s="110">
        <f>SUM(K93:K117)</f>
        <v>1252116.0555</v>
      </c>
      <c r="L118" s="110">
        <f>SUM(L93:L117)</f>
        <v>1252116.0555</v>
      </c>
      <c r="M118" s="110">
        <f>SUM(M93:M117)</f>
        <v>0</v>
      </c>
      <c r="N118" s="110">
        <f t="shared" ref="N118:O118" si="89">SUM(N93:N117)</f>
        <v>0</v>
      </c>
      <c r="O118" s="110">
        <f t="shared" si="89"/>
        <v>0</v>
      </c>
      <c r="P118" s="110">
        <f>SUM(P93:P117)</f>
        <v>524809.30298829998</v>
      </c>
      <c r="Q118" s="110">
        <f>SUM(Q93:Q117)</f>
        <v>-31045.247488299996</v>
      </c>
      <c r="R118" s="110">
        <f t="shared" ref="R118:S118" si="90">SUM(R93:R117)</f>
        <v>758352</v>
      </c>
      <c r="S118" s="110">
        <f t="shared" si="90"/>
        <v>727306.75251170003</v>
      </c>
      <c r="T118" s="26"/>
    </row>
    <row r="119" spans="3:20" ht="35.25" customHeight="1" x14ac:dyDescent="0.35">
      <c r="C119" s="262" t="s">
        <v>264</v>
      </c>
      <c r="D119" s="262"/>
      <c r="E119" s="268" t="s">
        <v>264</v>
      </c>
      <c r="F119" s="269"/>
      <c r="G119" s="269"/>
      <c r="H119" s="269"/>
      <c r="I119" s="269"/>
      <c r="J119" s="269"/>
      <c r="K119" s="269"/>
      <c r="L119" s="269"/>
      <c r="M119" s="269"/>
      <c r="N119" s="269"/>
      <c r="O119" s="269"/>
      <c r="P119" s="269"/>
      <c r="Q119" s="269"/>
      <c r="R119" s="269"/>
      <c r="S119" s="270"/>
      <c r="T119" s="102"/>
    </row>
    <row r="120" spans="3:20" ht="29" x14ac:dyDescent="0.35">
      <c r="C120" s="62" t="s">
        <v>265</v>
      </c>
      <c r="D120" s="62" t="s">
        <v>266</v>
      </c>
      <c r="E120" s="46" t="s">
        <v>267</v>
      </c>
      <c r="F120" s="46" t="s">
        <v>268</v>
      </c>
      <c r="G120" s="50">
        <f>Assumptions!D34</f>
        <v>69647</v>
      </c>
      <c r="H120" s="5">
        <v>12</v>
      </c>
      <c r="I120" s="50">
        <f>G120*H120</f>
        <v>835764</v>
      </c>
      <c r="J120" s="51">
        <v>0.25</v>
      </c>
      <c r="K120" s="50">
        <f>I120*J120</f>
        <v>208941</v>
      </c>
      <c r="L120" s="50">
        <f>K120</f>
        <v>208941</v>
      </c>
      <c r="M120" s="50"/>
      <c r="N120" s="50">
        <f t="shared" ref="N120:N124" si="91">K120-L120</f>
        <v>0</v>
      </c>
      <c r="O120" s="218">
        <f>M120+N120</f>
        <v>0</v>
      </c>
      <c r="P120" s="50">
        <v>200679</v>
      </c>
      <c r="Q120" s="50">
        <f t="shared" ref="Q120:Q121" si="92">K120-P120</f>
        <v>8262</v>
      </c>
      <c r="R120" s="51"/>
      <c r="S120" s="218">
        <f>Q120+R120</f>
        <v>8262</v>
      </c>
      <c r="T120" s="44"/>
    </row>
    <row r="121" spans="3:20" ht="58" x14ac:dyDescent="0.35">
      <c r="C121" s="62" t="s">
        <v>269</v>
      </c>
      <c r="D121" s="62" t="s">
        <v>270</v>
      </c>
      <c r="E121" s="71" t="s">
        <v>271</v>
      </c>
      <c r="F121" s="46" t="s">
        <v>272</v>
      </c>
      <c r="G121" s="50">
        <f>Assumptions!D35</f>
        <v>89843</v>
      </c>
      <c r="H121" s="5">
        <v>12</v>
      </c>
      <c r="I121" s="50">
        <f>G121*H121</f>
        <v>1078116</v>
      </c>
      <c r="J121" s="51">
        <v>0.5</v>
      </c>
      <c r="K121" s="50">
        <f>I121*J121</f>
        <v>539058</v>
      </c>
      <c r="L121" s="50">
        <f t="shared" ref="L121:L124" si="93">K121</f>
        <v>539058</v>
      </c>
      <c r="M121" s="50"/>
      <c r="N121" s="50">
        <f t="shared" si="91"/>
        <v>0</v>
      </c>
      <c r="O121" s="218">
        <f>M121+N121</f>
        <v>0</v>
      </c>
      <c r="P121" s="50">
        <v>683082</v>
      </c>
      <c r="Q121" s="50">
        <f t="shared" si="92"/>
        <v>-144024</v>
      </c>
      <c r="R121" s="51"/>
      <c r="S121" s="218">
        <f>Q121+R121</f>
        <v>-144024</v>
      </c>
      <c r="T121" s="47"/>
    </row>
    <row r="122" spans="3:20" ht="43.5" x14ac:dyDescent="0.35">
      <c r="C122" s="176"/>
      <c r="D122" s="178"/>
      <c r="E122" s="175" t="s">
        <v>273</v>
      </c>
      <c r="F122" s="166" t="s">
        <v>274</v>
      </c>
      <c r="G122" s="168">
        <f>Assumptions!D34</f>
        <v>69647</v>
      </c>
      <c r="H122" s="167">
        <v>1</v>
      </c>
      <c r="I122" s="168">
        <f>G122*H122</f>
        <v>69647</v>
      </c>
      <c r="J122" s="167">
        <v>0.25</v>
      </c>
      <c r="K122" s="172">
        <f>I122*J122</f>
        <v>17411.75</v>
      </c>
      <c r="L122" s="50">
        <f t="shared" si="93"/>
        <v>17411.75</v>
      </c>
      <c r="M122" s="168"/>
      <c r="N122" s="172">
        <f t="shared" si="91"/>
        <v>0</v>
      </c>
      <c r="O122" s="172">
        <f>M122+N122</f>
        <v>0</v>
      </c>
      <c r="P122" s="168">
        <v>0</v>
      </c>
      <c r="Q122" s="168"/>
      <c r="R122" s="172">
        <f t="shared" ref="R122:R124" si="94">K122-P122</f>
        <v>17411.75</v>
      </c>
      <c r="S122" s="172">
        <f>Q122+R122</f>
        <v>17411.75</v>
      </c>
      <c r="T122" s="169"/>
    </row>
    <row r="123" spans="3:20" ht="46.5" customHeight="1" x14ac:dyDescent="0.35">
      <c r="C123" s="164"/>
      <c r="D123" s="164"/>
      <c r="E123" s="180" t="s">
        <v>275</v>
      </c>
      <c r="F123" s="166" t="s">
        <v>276</v>
      </c>
      <c r="G123" s="168">
        <f>Assumptions!D35</f>
        <v>89843</v>
      </c>
      <c r="H123" s="167">
        <v>5</v>
      </c>
      <c r="I123" s="168">
        <f t="shared" ref="I123:I124" si="95">G123*H123</f>
        <v>449215</v>
      </c>
      <c r="J123" s="167">
        <v>0.25</v>
      </c>
      <c r="K123" s="172">
        <f t="shared" ref="K123:K124" si="96">I123*J123</f>
        <v>112303.75</v>
      </c>
      <c r="L123" s="50">
        <f t="shared" si="93"/>
        <v>112303.75</v>
      </c>
      <c r="M123" s="168"/>
      <c r="N123" s="172">
        <f>K123-L123</f>
        <v>0</v>
      </c>
      <c r="O123" s="172">
        <f t="shared" ref="O123:O124" si="97">M123+N123</f>
        <v>0</v>
      </c>
      <c r="P123" s="168">
        <v>0</v>
      </c>
      <c r="Q123" s="168"/>
      <c r="R123" s="172">
        <f t="shared" si="94"/>
        <v>112303.75</v>
      </c>
      <c r="S123" s="172">
        <f t="shared" ref="S123:S124" si="98">Q123+R123</f>
        <v>112303.75</v>
      </c>
      <c r="T123" s="169"/>
    </row>
    <row r="124" spans="3:20" ht="48.75" customHeight="1" x14ac:dyDescent="0.35">
      <c r="C124" s="176"/>
      <c r="D124" s="178"/>
      <c r="E124" s="180" t="s">
        <v>277</v>
      </c>
      <c r="F124" s="166" t="s">
        <v>278</v>
      </c>
      <c r="G124" s="168">
        <f>Assumptions!D35</f>
        <v>89843</v>
      </c>
      <c r="H124" s="167">
        <v>5</v>
      </c>
      <c r="I124" s="168">
        <f t="shared" si="95"/>
        <v>449215</v>
      </c>
      <c r="J124" s="167">
        <v>0.25</v>
      </c>
      <c r="K124" s="172">
        <f t="shared" si="96"/>
        <v>112303.75</v>
      </c>
      <c r="L124" s="50">
        <f t="shared" si="93"/>
        <v>112303.75</v>
      </c>
      <c r="M124" s="168"/>
      <c r="N124" s="172">
        <f t="shared" si="91"/>
        <v>0</v>
      </c>
      <c r="O124" s="172">
        <f t="shared" si="97"/>
        <v>0</v>
      </c>
      <c r="P124" s="168">
        <v>0</v>
      </c>
      <c r="Q124" s="168"/>
      <c r="R124" s="172">
        <f t="shared" si="94"/>
        <v>112303.75</v>
      </c>
      <c r="S124" s="172">
        <f t="shared" si="98"/>
        <v>112303.75</v>
      </c>
      <c r="T124" s="179"/>
    </row>
    <row r="125" spans="3:20" x14ac:dyDescent="0.35">
      <c r="C125" s="62"/>
      <c r="D125" s="62"/>
      <c r="E125" s="263" t="s">
        <v>184</v>
      </c>
      <c r="F125" s="264"/>
      <c r="G125" s="111">
        <f>Assumptions!D34+Assumptions!D35</f>
        <v>159490</v>
      </c>
      <c r="H125" s="110">
        <f>I125/G125</f>
        <v>18.069828829393693</v>
      </c>
      <c r="I125" s="110">
        <f>SUM(I120:I124)</f>
        <v>2881957</v>
      </c>
      <c r="J125" s="110">
        <f>K125/I125</f>
        <v>0.34352290821826975</v>
      </c>
      <c r="K125" s="110">
        <f t="shared" ref="K125:S125" si="99">SUM(K120:K124)</f>
        <v>990018.25</v>
      </c>
      <c r="L125" s="110">
        <f t="shared" si="99"/>
        <v>990018.25</v>
      </c>
      <c r="M125" s="110">
        <f t="shared" si="99"/>
        <v>0</v>
      </c>
      <c r="N125" s="110">
        <f t="shared" si="99"/>
        <v>0</v>
      </c>
      <c r="O125" s="127">
        <f t="shared" si="99"/>
        <v>0</v>
      </c>
      <c r="P125" s="110">
        <f t="shared" si="99"/>
        <v>883761</v>
      </c>
      <c r="Q125" s="110">
        <f t="shared" si="99"/>
        <v>-135762</v>
      </c>
      <c r="R125" s="110">
        <f t="shared" si="99"/>
        <v>242019.25</v>
      </c>
      <c r="S125" s="127">
        <f t="shared" si="99"/>
        <v>106257.25</v>
      </c>
      <c r="T125" s="47"/>
    </row>
    <row r="126" spans="3:20" x14ac:dyDescent="0.35">
      <c r="C126" s="260" t="s">
        <v>279</v>
      </c>
      <c r="D126" s="260"/>
      <c r="E126" s="260"/>
      <c r="F126" s="260"/>
      <c r="G126" s="13">
        <f>G118+G125</f>
        <v>181140</v>
      </c>
      <c r="H126" s="17">
        <f>I126/G126</f>
        <v>19.954030032019432</v>
      </c>
      <c r="I126" s="17">
        <f>I118+I125</f>
        <v>3614473</v>
      </c>
      <c r="J126" s="17">
        <f>K126/I126</f>
        <v>0.62032122124027478</v>
      </c>
      <c r="K126" s="17">
        <f t="shared" ref="K126:S126" si="100">K118+K125</f>
        <v>2242134.3054999998</v>
      </c>
      <c r="L126" s="17">
        <f t="shared" si="100"/>
        <v>2242134.3054999998</v>
      </c>
      <c r="M126" s="17">
        <f t="shared" si="100"/>
        <v>0</v>
      </c>
      <c r="N126" s="17">
        <f t="shared" si="100"/>
        <v>0</v>
      </c>
      <c r="O126" s="128">
        <f t="shared" si="100"/>
        <v>0</v>
      </c>
      <c r="P126" s="17">
        <f t="shared" si="100"/>
        <v>1408570.3029883001</v>
      </c>
      <c r="Q126" s="17">
        <f t="shared" si="100"/>
        <v>-166807.2474883</v>
      </c>
      <c r="R126" s="17">
        <f t="shared" si="100"/>
        <v>1000371.25</v>
      </c>
      <c r="S126" s="128">
        <f t="shared" si="100"/>
        <v>833564.00251170003</v>
      </c>
      <c r="T126" s="69"/>
    </row>
    <row r="127" spans="3:20" ht="35.25" customHeight="1" x14ac:dyDescent="0.35">
      <c r="C127" s="262" t="s">
        <v>280</v>
      </c>
      <c r="D127" s="262"/>
      <c r="E127" s="268" t="s">
        <v>280</v>
      </c>
      <c r="F127" s="269"/>
      <c r="G127" s="269"/>
      <c r="H127" s="269"/>
      <c r="I127" s="269"/>
      <c r="J127" s="269"/>
      <c r="K127" s="269"/>
      <c r="L127" s="269"/>
      <c r="M127" s="269"/>
      <c r="N127" s="269"/>
      <c r="O127" s="269"/>
      <c r="P127" s="269"/>
      <c r="Q127" s="269"/>
      <c r="R127" s="269"/>
      <c r="S127" s="270"/>
      <c r="T127" s="102"/>
    </row>
    <row r="128" spans="3:20" ht="94.5" customHeight="1" x14ac:dyDescent="0.35">
      <c r="C128" s="62" t="s">
        <v>281</v>
      </c>
      <c r="D128" s="62" t="s">
        <v>282</v>
      </c>
      <c r="E128" s="46" t="s">
        <v>283</v>
      </c>
      <c r="F128" s="46" t="s">
        <v>284</v>
      </c>
      <c r="G128" s="50">
        <f>Assumptions!D41</f>
        <v>3599004</v>
      </c>
      <c r="H128" s="5">
        <v>1.59</v>
      </c>
      <c r="I128" s="50">
        <f t="shared" si="47"/>
        <v>5722416.3600000003</v>
      </c>
      <c r="J128" s="66">
        <v>8.3500000000000005E-2</v>
      </c>
      <c r="K128" s="66">
        <f>I128*J128</f>
        <v>477821.76606000005</v>
      </c>
      <c r="L128" s="50">
        <f>K128</f>
        <v>477821.76606000005</v>
      </c>
      <c r="M128" s="50"/>
      <c r="N128" s="66">
        <f t="shared" ref="N128:N130" si="101">K128-L128</f>
        <v>0</v>
      </c>
      <c r="O128" s="216">
        <f t="shared" si="48"/>
        <v>0</v>
      </c>
      <c r="P128" s="66">
        <v>346942.11363998096</v>
      </c>
      <c r="Q128" s="66">
        <f>K128-P128</f>
        <v>130879.65242001909</v>
      </c>
      <c r="R128" s="51"/>
      <c r="S128" s="216">
        <f t="shared" ref="S128:S130" si="102">Q128+R128</f>
        <v>130879.65242001909</v>
      </c>
      <c r="T128" s="44" t="s">
        <v>285</v>
      </c>
    </row>
    <row r="129" spans="3:20" ht="95.5" customHeight="1" x14ac:dyDescent="0.35">
      <c r="C129" s="164"/>
      <c r="D129" s="164"/>
      <c r="E129" s="181" t="s">
        <v>286</v>
      </c>
      <c r="F129" s="166" t="s">
        <v>287</v>
      </c>
      <c r="G129" s="168">
        <f>Assumptions!D41</f>
        <v>3599004</v>
      </c>
      <c r="H129" s="167">
        <v>1.59</v>
      </c>
      <c r="I129" s="168">
        <f t="shared" ref="I129" si="103">G129*H129</f>
        <v>5722416.3600000003</v>
      </c>
      <c r="J129" s="182">
        <v>8.3500000000000005E-2</v>
      </c>
      <c r="K129" s="182">
        <f>I129*J129</f>
        <v>477821.76606000005</v>
      </c>
      <c r="L129" s="50">
        <f t="shared" ref="L129:L130" si="104">K129</f>
        <v>477821.76606000005</v>
      </c>
      <c r="M129" s="168"/>
      <c r="N129" s="182">
        <f t="shared" si="101"/>
        <v>0</v>
      </c>
      <c r="O129" s="219">
        <f t="shared" ref="O129" si="105">M129+N129</f>
        <v>0</v>
      </c>
      <c r="P129" s="168">
        <v>0</v>
      </c>
      <c r="Q129" s="168"/>
      <c r="R129" s="182">
        <f>K129-P129</f>
        <v>477821.76606000005</v>
      </c>
      <c r="S129" s="219">
        <f t="shared" si="102"/>
        <v>477821.76606000005</v>
      </c>
      <c r="T129" s="169" t="s">
        <v>288</v>
      </c>
    </row>
    <row r="130" spans="3:20" ht="88.5" customHeight="1" x14ac:dyDescent="0.35">
      <c r="C130" s="123" t="s">
        <v>289</v>
      </c>
      <c r="D130" s="62" t="s">
        <v>290</v>
      </c>
      <c r="E130" s="46" t="s">
        <v>291</v>
      </c>
      <c r="F130" s="46" t="s">
        <v>292</v>
      </c>
      <c r="G130" s="50">
        <f>Assumptions!D43</f>
        <v>267355</v>
      </c>
      <c r="H130" s="5">
        <v>1</v>
      </c>
      <c r="I130" s="50">
        <f t="shared" si="47"/>
        <v>267355</v>
      </c>
      <c r="J130" s="66">
        <v>8.3500000000000005E-2</v>
      </c>
      <c r="K130" s="66">
        <f>I130*J130</f>
        <v>22324.142500000002</v>
      </c>
      <c r="L130" s="50">
        <f t="shared" si="104"/>
        <v>22324.142500000002</v>
      </c>
      <c r="M130" s="50"/>
      <c r="N130" s="66">
        <f t="shared" si="101"/>
        <v>0</v>
      </c>
      <c r="O130" s="216">
        <f t="shared" si="48"/>
        <v>0</v>
      </c>
      <c r="P130" s="66">
        <v>18810.530999999999</v>
      </c>
      <c r="Q130" s="66">
        <f>K130-P130</f>
        <v>3513.6115000000027</v>
      </c>
      <c r="R130" s="51"/>
      <c r="S130" s="216">
        <f t="shared" si="102"/>
        <v>3513.6115000000027</v>
      </c>
      <c r="T130" s="44" t="s">
        <v>293</v>
      </c>
    </row>
    <row r="131" spans="3:20" x14ac:dyDescent="0.35">
      <c r="C131" s="260" t="s">
        <v>294</v>
      </c>
      <c r="D131" s="260"/>
      <c r="E131" s="260"/>
      <c r="F131" s="260"/>
      <c r="G131" s="13">
        <f>Assumptions!D41</f>
        <v>3599004</v>
      </c>
      <c r="H131" s="68">
        <f>I131/G131</f>
        <v>3.2542858301907973</v>
      </c>
      <c r="I131" s="17">
        <f>SUM(I128:I130)</f>
        <v>11712187.720000001</v>
      </c>
      <c r="J131" s="159">
        <f>K131/I131</f>
        <v>8.3500000000000005E-2</v>
      </c>
      <c r="K131" s="17">
        <f t="shared" ref="K131:S131" si="106">SUM(K128:K130)</f>
        <v>977967.67462000006</v>
      </c>
      <c r="L131" s="17">
        <f t="shared" si="106"/>
        <v>977967.67462000006</v>
      </c>
      <c r="M131" s="17">
        <f t="shared" si="106"/>
        <v>0</v>
      </c>
      <c r="N131" s="17">
        <f t="shared" si="106"/>
        <v>0</v>
      </c>
      <c r="O131" s="128">
        <f t="shared" si="106"/>
        <v>0</v>
      </c>
      <c r="P131" s="17">
        <f t="shared" si="106"/>
        <v>365752.64463998098</v>
      </c>
      <c r="Q131" s="17">
        <f t="shared" si="106"/>
        <v>134393.26392001909</v>
      </c>
      <c r="R131" s="17">
        <f t="shared" si="106"/>
        <v>477821.76606000005</v>
      </c>
      <c r="S131" s="128">
        <f t="shared" si="106"/>
        <v>612215.02998001908</v>
      </c>
      <c r="T131" s="69"/>
    </row>
    <row r="132" spans="3:20" x14ac:dyDescent="0.35">
      <c r="L132"/>
      <c r="P132"/>
      <c r="T132" s="47"/>
    </row>
    <row r="133" spans="3:20" x14ac:dyDescent="0.35">
      <c r="L133" s="271" t="s">
        <v>4</v>
      </c>
      <c r="M133" s="271"/>
      <c r="N133" s="271"/>
      <c r="O133" s="271"/>
      <c r="P133" s="272" t="s">
        <v>5</v>
      </c>
      <c r="Q133" s="272"/>
      <c r="R133" s="272"/>
      <c r="S133" s="272"/>
    </row>
    <row r="134" spans="3:20" ht="67.400000000000006" customHeight="1" x14ac:dyDescent="0.35">
      <c r="F134" s="259" t="s">
        <v>295</v>
      </c>
      <c r="G134" s="6" t="s">
        <v>8</v>
      </c>
      <c r="H134" s="7" t="s">
        <v>9</v>
      </c>
      <c r="I134" s="10" t="s">
        <v>10</v>
      </c>
      <c r="J134" s="21" t="s">
        <v>11</v>
      </c>
      <c r="K134" s="21" t="s">
        <v>12</v>
      </c>
      <c r="L134" s="21" t="s">
        <v>13</v>
      </c>
      <c r="M134" s="21" t="s">
        <v>14</v>
      </c>
      <c r="N134" s="21" t="s">
        <v>15</v>
      </c>
      <c r="O134" s="21" t="s">
        <v>16</v>
      </c>
      <c r="P134" s="21" t="s">
        <v>13</v>
      </c>
      <c r="Q134" s="21" t="s">
        <v>14</v>
      </c>
      <c r="R134" s="21" t="s">
        <v>15</v>
      </c>
      <c r="S134" s="21" t="s">
        <v>16</v>
      </c>
    </row>
    <row r="135" spans="3:20" x14ac:dyDescent="0.35">
      <c r="F135" s="259"/>
      <c r="G135" s="224" t="s">
        <v>18</v>
      </c>
      <c r="H135" s="8" t="s">
        <v>19</v>
      </c>
      <c r="I135" s="11" t="s">
        <v>296</v>
      </c>
      <c r="J135" s="22" t="s">
        <v>21</v>
      </c>
      <c r="K135" s="22" t="s">
        <v>22</v>
      </c>
      <c r="L135" s="22" t="s">
        <v>23</v>
      </c>
      <c r="M135" s="22" t="s">
        <v>297</v>
      </c>
      <c r="N135" s="22" t="s">
        <v>298</v>
      </c>
      <c r="O135" s="22" t="s">
        <v>299</v>
      </c>
      <c r="P135" s="22" t="s">
        <v>27</v>
      </c>
      <c r="Q135" s="22" t="s">
        <v>300</v>
      </c>
      <c r="R135" s="22" t="s">
        <v>301</v>
      </c>
      <c r="S135" s="22" t="s">
        <v>302</v>
      </c>
    </row>
    <row r="136" spans="3:20" x14ac:dyDescent="0.35">
      <c r="F136" s="12" t="s">
        <v>303</v>
      </c>
      <c r="G136" s="24">
        <f t="shared" ref="G136:L136" si="107">G90</f>
        <v>3847</v>
      </c>
      <c r="H136" s="18">
        <f t="shared" si="107"/>
        <v>55.099298154406029</v>
      </c>
      <c r="I136" s="18">
        <f t="shared" si="107"/>
        <v>211967</v>
      </c>
      <c r="J136" s="18">
        <f t="shared" si="107"/>
        <v>2.0019991607184138</v>
      </c>
      <c r="K136" s="18">
        <f t="shared" si="107"/>
        <v>424357.7561</v>
      </c>
      <c r="L136" s="18">
        <f t="shared" si="107"/>
        <v>424357.7561</v>
      </c>
      <c r="M136" s="18">
        <f t="shared" ref="M136:S136" si="108">M90</f>
        <v>0</v>
      </c>
      <c r="N136" s="18">
        <f t="shared" si="108"/>
        <v>0</v>
      </c>
      <c r="O136" s="18">
        <f t="shared" si="108"/>
        <v>0</v>
      </c>
      <c r="P136" s="18">
        <f t="shared" si="108"/>
        <v>96088.803111700006</v>
      </c>
      <c r="Q136" s="18">
        <f t="shared" si="108"/>
        <v>-5527.3250116999952</v>
      </c>
      <c r="R136" s="18">
        <f t="shared" si="108"/>
        <v>333796.27799999999</v>
      </c>
      <c r="S136" s="18">
        <f t="shared" si="108"/>
        <v>328268.95298830001</v>
      </c>
    </row>
    <row r="137" spans="3:20" x14ac:dyDescent="0.35">
      <c r="F137" s="12" t="s">
        <v>304</v>
      </c>
      <c r="G137" s="24">
        <f t="shared" ref="G137:L137" si="109">G126</f>
        <v>181140</v>
      </c>
      <c r="H137" s="18">
        <f t="shared" si="109"/>
        <v>19.954030032019432</v>
      </c>
      <c r="I137" s="18">
        <f t="shared" si="109"/>
        <v>3614473</v>
      </c>
      <c r="J137" s="18">
        <f t="shared" si="109"/>
        <v>0.62032122124027478</v>
      </c>
      <c r="K137" s="18">
        <f t="shared" si="109"/>
        <v>2242134.3054999998</v>
      </c>
      <c r="L137" s="18">
        <f t="shared" si="109"/>
        <v>2242134.3054999998</v>
      </c>
      <c r="M137" s="18">
        <f t="shared" ref="M137:S137" si="110">M126</f>
        <v>0</v>
      </c>
      <c r="N137" s="18">
        <f t="shared" si="110"/>
        <v>0</v>
      </c>
      <c r="O137" s="18">
        <f t="shared" si="110"/>
        <v>0</v>
      </c>
      <c r="P137" s="18">
        <f t="shared" si="110"/>
        <v>1408570.3029883001</v>
      </c>
      <c r="Q137" s="18">
        <f t="shared" si="110"/>
        <v>-166807.2474883</v>
      </c>
      <c r="R137" s="18">
        <f t="shared" si="110"/>
        <v>1000371.25</v>
      </c>
      <c r="S137" s="18">
        <f t="shared" si="110"/>
        <v>833564.00251170003</v>
      </c>
    </row>
    <row r="138" spans="3:20" x14ac:dyDescent="0.35">
      <c r="F138" s="12" t="s">
        <v>305</v>
      </c>
      <c r="G138" s="24">
        <f t="shared" ref="G138:L138" si="111">G131</f>
        <v>3599004</v>
      </c>
      <c r="H138" s="18">
        <f t="shared" si="111"/>
        <v>3.2542858301907973</v>
      </c>
      <c r="I138" s="18">
        <f t="shared" si="111"/>
        <v>11712187.720000001</v>
      </c>
      <c r="J138" s="18">
        <f t="shared" si="111"/>
        <v>8.3500000000000005E-2</v>
      </c>
      <c r="K138" s="18">
        <f t="shared" si="111"/>
        <v>977967.67462000006</v>
      </c>
      <c r="L138" s="18">
        <f t="shared" si="111"/>
        <v>977967.67462000006</v>
      </c>
      <c r="M138" s="18">
        <f t="shared" ref="M138:S138" si="112">M131</f>
        <v>0</v>
      </c>
      <c r="N138" s="18">
        <f t="shared" si="112"/>
        <v>0</v>
      </c>
      <c r="O138" s="18">
        <f t="shared" si="112"/>
        <v>0</v>
      </c>
      <c r="P138" s="18">
        <f t="shared" si="112"/>
        <v>365752.64463998098</v>
      </c>
      <c r="Q138" s="18">
        <f t="shared" si="112"/>
        <v>134393.26392001909</v>
      </c>
      <c r="R138" s="18">
        <f t="shared" si="112"/>
        <v>477821.76606000005</v>
      </c>
      <c r="S138" s="18">
        <f t="shared" si="112"/>
        <v>612215.02998001908</v>
      </c>
    </row>
    <row r="139" spans="3:20" x14ac:dyDescent="0.35">
      <c r="F139" s="12" t="s">
        <v>306</v>
      </c>
      <c r="G139" s="23">
        <f>SUM(G136:G138)</f>
        <v>3783991</v>
      </c>
      <c r="H139" s="25">
        <f>I139/G139</f>
        <v>4.1064124412558067</v>
      </c>
      <c r="I139" s="19">
        <f>SUM(I136:I138)</f>
        <v>15538627.720000001</v>
      </c>
      <c r="J139" s="25">
        <f>K139/I139</f>
        <v>0.23454193007849472</v>
      </c>
      <c r="K139" s="19">
        <f t="shared" ref="K139:S139" si="113">SUM(K136:K138)</f>
        <v>3644459.7362199998</v>
      </c>
      <c r="L139" s="19">
        <f t="shared" si="113"/>
        <v>3644459.7362199998</v>
      </c>
      <c r="M139" s="19">
        <f t="shared" si="113"/>
        <v>0</v>
      </c>
      <c r="N139" s="19">
        <f t="shared" si="113"/>
        <v>0</v>
      </c>
      <c r="O139" s="19">
        <f t="shared" si="113"/>
        <v>0</v>
      </c>
      <c r="P139" s="19">
        <f t="shared" si="113"/>
        <v>1870411.7507399812</v>
      </c>
      <c r="Q139" s="19">
        <f t="shared" si="113"/>
        <v>-37941.30857998089</v>
      </c>
      <c r="R139" s="19">
        <f t="shared" si="113"/>
        <v>1811989.29406</v>
      </c>
      <c r="S139" s="19">
        <f t="shared" si="113"/>
        <v>1774047.9854800194</v>
      </c>
    </row>
    <row r="141" spans="3:20" x14ac:dyDescent="0.35">
      <c r="L141" s="106"/>
      <c r="P141" s="106"/>
    </row>
    <row r="143" spans="3:20" x14ac:dyDescent="0.35">
      <c r="C143" s="2"/>
      <c r="D143" s="2"/>
      <c r="E143" s="2"/>
      <c r="G143"/>
      <c r="H143"/>
      <c r="I143"/>
      <c r="J143"/>
      <c r="K143"/>
      <c r="L143"/>
      <c r="M143"/>
      <c r="N143"/>
      <c r="O143"/>
      <c r="P143"/>
      <c r="Q143"/>
      <c r="R143"/>
      <c r="S143"/>
    </row>
    <row r="144" spans="3:20" x14ac:dyDescent="0.35">
      <c r="C144" s="2"/>
      <c r="D144" s="2"/>
      <c r="E144" s="2"/>
      <c r="G144"/>
      <c r="H144"/>
      <c r="I144"/>
      <c r="J144"/>
      <c r="K144"/>
      <c r="L144"/>
      <c r="M144"/>
      <c r="N144"/>
      <c r="O144"/>
      <c r="P144"/>
      <c r="Q144"/>
      <c r="R144"/>
      <c r="S144"/>
    </row>
    <row r="145" spans="3:19" x14ac:dyDescent="0.35">
      <c r="C145" s="2"/>
      <c r="D145" s="2"/>
      <c r="E145" s="2"/>
      <c r="G145"/>
      <c r="H145"/>
      <c r="I145"/>
      <c r="J145"/>
      <c r="K145"/>
      <c r="L145"/>
      <c r="M145"/>
      <c r="N145"/>
      <c r="O145"/>
      <c r="P145"/>
      <c r="Q145"/>
      <c r="R145"/>
      <c r="S145"/>
    </row>
    <row r="146" spans="3:19" x14ac:dyDescent="0.35">
      <c r="C146" s="2"/>
      <c r="D146" s="2"/>
      <c r="E146" s="2"/>
      <c r="G146"/>
      <c r="H146"/>
      <c r="I146"/>
      <c r="J146"/>
      <c r="K146"/>
      <c r="L146"/>
      <c r="M146"/>
      <c r="N146"/>
      <c r="O146"/>
      <c r="P146"/>
      <c r="Q146"/>
      <c r="R146"/>
      <c r="S146"/>
    </row>
    <row r="147" spans="3:19" x14ac:dyDescent="0.35">
      <c r="C147" s="2"/>
      <c r="D147" s="2"/>
      <c r="E147" s="2"/>
      <c r="G147"/>
      <c r="H147"/>
      <c r="I147"/>
      <c r="J147"/>
      <c r="K147"/>
      <c r="L147"/>
      <c r="M147"/>
      <c r="N147"/>
      <c r="O147"/>
      <c r="P147"/>
      <c r="Q147"/>
      <c r="R147"/>
      <c r="S147"/>
    </row>
    <row r="148" spans="3:19" x14ac:dyDescent="0.35">
      <c r="C148" s="2"/>
      <c r="D148" s="2"/>
      <c r="E148" s="2"/>
      <c r="G148"/>
      <c r="H148"/>
      <c r="I148"/>
      <c r="J148"/>
      <c r="K148"/>
      <c r="L148"/>
      <c r="M148"/>
      <c r="N148"/>
      <c r="O148"/>
      <c r="P148"/>
      <c r="Q148"/>
      <c r="R148"/>
      <c r="S148"/>
    </row>
    <row r="149" spans="3:19" x14ac:dyDescent="0.35">
      <c r="C149" s="2"/>
      <c r="D149" s="2"/>
      <c r="E149" s="2"/>
      <c r="G149"/>
      <c r="H149"/>
      <c r="I149"/>
      <c r="J149"/>
      <c r="K149"/>
      <c r="L149"/>
      <c r="M149"/>
      <c r="N149"/>
      <c r="O149"/>
      <c r="P149"/>
      <c r="Q149"/>
      <c r="R149"/>
      <c r="S149"/>
    </row>
    <row r="150" spans="3:19" x14ac:dyDescent="0.35">
      <c r="C150" s="2"/>
      <c r="D150" s="2"/>
      <c r="E150" s="2"/>
      <c r="G150"/>
      <c r="H150"/>
      <c r="I150"/>
      <c r="J150"/>
      <c r="K150"/>
      <c r="L150"/>
      <c r="M150"/>
      <c r="N150"/>
      <c r="O150"/>
      <c r="P150"/>
      <c r="Q150"/>
      <c r="R150"/>
      <c r="S150"/>
    </row>
    <row r="151" spans="3:19" x14ac:dyDescent="0.35">
      <c r="C151" s="2"/>
      <c r="D151" s="2"/>
      <c r="E151" s="2"/>
      <c r="G151"/>
      <c r="H151"/>
      <c r="I151"/>
      <c r="J151"/>
      <c r="K151"/>
      <c r="L151"/>
      <c r="M151"/>
      <c r="N151"/>
      <c r="O151"/>
      <c r="P151"/>
      <c r="Q151"/>
      <c r="R151"/>
      <c r="S151"/>
    </row>
    <row r="152" spans="3:19" x14ac:dyDescent="0.35">
      <c r="C152" s="2"/>
      <c r="D152" s="2"/>
      <c r="E152" s="2"/>
      <c r="G152"/>
      <c r="H152"/>
      <c r="I152"/>
      <c r="J152"/>
      <c r="K152"/>
      <c r="L152"/>
      <c r="M152"/>
      <c r="N152"/>
      <c r="O152"/>
      <c r="P152"/>
      <c r="Q152"/>
      <c r="R152"/>
      <c r="S152"/>
    </row>
    <row r="153" spans="3:19" x14ac:dyDescent="0.35">
      <c r="C153" s="2"/>
      <c r="D153" s="2"/>
      <c r="E153" s="2"/>
      <c r="G153"/>
      <c r="H153"/>
      <c r="I153"/>
      <c r="J153"/>
      <c r="K153"/>
      <c r="L153"/>
      <c r="M153"/>
      <c r="N153"/>
      <c r="O153"/>
      <c r="P153"/>
      <c r="Q153"/>
      <c r="R153"/>
      <c r="S153"/>
    </row>
    <row r="154" spans="3:19" x14ac:dyDescent="0.35">
      <c r="C154" s="2"/>
      <c r="D154" s="2"/>
      <c r="E154" s="2"/>
      <c r="G154"/>
      <c r="H154"/>
      <c r="I154"/>
      <c r="J154"/>
      <c r="K154"/>
      <c r="L154"/>
      <c r="M154"/>
      <c r="N154"/>
      <c r="O154"/>
      <c r="P154"/>
      <c r="Q154"/>
      <c r="R154"/>
      <c r="S154"/>
    </row>
    <row r="155" spans="3:19" x14ac:dyDescent="0.35">
      <c r="C155" s="2"/>
      <c r="D155" s="2"/>
      <c r="E155" s="2"/>
      <c r="G155"/>
      <c r="H155"/>
      <c r="I155"/>
      <c r="J155"/>
      <c r="K155"/>
      <c r="L155"/>
      <c r="M155"/>
      <c r="N155"/>
      <c r="O155"/>
      <c r="P155"/>
      <c r="Q155"/>
      <c r="R155"/>
      <c r="S155"/>
    </row>
    <row r="156" spans="3:19" x14ac:dyDescent="0.35">
      <c r="C156" s="2"/>
      <c r="D156" s="2"/>
      <c r="E156" s="2"/>
      <c r="G156"/>
      <c r="H156"/>
      <c r="I156"/>
      <c r="J156"/>
      <c r="K156"/>
      <c r="L156"/>
      <c r="M156"/>
      <c r="N156"/>
      <c r="O156"/>
      <c r="P156"/>
      <c r="Q156"/>
      <c r="R156"/>
      <c r="S156"/>
    </row>
  </sheetData>
  <mergeCells count="31">
    <mergeCell ref="A1:H4"/>
    <mergeCell ref="E119:S119"/>
    <mergeCell ref="C5:N5"/>
    <mergeCell ref="E62:F62"/>
    <mergeCell ref="E89:F89"/>
    <mergeCell ref="C11:D11"/>
    <mergeCell ref="C92:D92"/>
    <mergeCell ref="C63:D63"/>
    <mergeCell ref="E63:S63"/>
    <mergeCell ref="E91:S91"/>
    <mergeCell ref="E92:S92"/>
    <mergeCell ref="P7:S7"/>
    <mergeCell ref="L7:O7"/>
    <mergeCell ref="C7:D7"/>
    <mergeCell ref="E7:F7"/>
    <mergeCell ref="T8:T9"/>
    <mergeCell ref="F134:F135"/>
    <mergeCell ref="C131:F131"/>
    <mergeCell ref="C90:F90"/>
    <mergeCell ref="C126:F126"/>
    <mergeCell ref="C10:D10"/>
    <mergeCell ref="C91:D91"/>
    <mergeCell ref="C127:D127"/>
    <mergeCell ref="C119:D119"/>
    <mergeCell ref="E118:F118"/>
    <mergeCell ref="E125:F125"/>
    <mergeCell ref="E10:S10"/>
    <mergeCell ref="E11:S11"/>
    <mergeCell ref="E127:S127"/>
    <mergeCell ref="L133:O133"/>
    <mergeCell ref="P133:S133"/>
  </mergeCells>
  <printOptions headings="1" gridLines="1"/>
  <pageMargins left="0.45" right="0.2" top="0.5" bottom="0.5" header="0.05" footer="0.05"/>
  <pageSetup paperSize="5" scale="33" fitToHeight="0" orientation="landscape" r:id="rId1"/>
  <headerFooter>
    <oddHeader>&amp;C&amp;"-,Bold"&amp;14Appendix I: Estimates of the Hour Burden of the Collection of Information Reporting – OMB Control Number 0584-0055
REPORTING</oddHeader>
    <oddFooter>&amp;CPage &amp;P</oddFooter>
  </headerFooter>
  <ignoredErrors>
    <ignoredError sqref="G36 G130 G54 J131 J125:J126 H125:H126 K139 I139:J139 H139 I62:J62 K62 K89 J90 I89 H90 K118" 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GQ7"/>
  <sheetViews>
    <sheetView showGridLines="0" zoomScale="85" zoomScaleNormal="85" workbookViewId="0">
      <selection activeCell="S5" sqref="S5"/>
    </sheetView>
  </sheetViews>
  <sheetFormatPr defaultColWidth="8.81640625" defaultRowHeight="15.5" x14ac:dyDescent="0.35"/>
  <cols>
    <col min="1" max="1" width="11.453125" customWidth="1"/>
    <col min="2" max="2" width="12.81640625" customWidth="1"/>
    <col min="3" max="3" width="1.54296875" style="32" customWidth="1"/>
    <col min="4" max="4" width="12.81640625" customWidth="1"/>
    <col min="5" max="5" width="1.54296875" style="32" customWidth="1"/>
    <col min="6" max="6" width="12.81640625" customWidth="1"/>
    <col min="7" max="7" width="1.54296875" style="32" customWidth="1"/>
    <col min="8" max="8" width="12.81640625" customWidth="1"/>
    <col min="9" max="9" width="1.54296875" style="32" customWidth="1"/>
    <col min="10" max="10" width="12.81640625" customWidth="1"/>
    <col min="11" max="11" width="1.54296875" style="32" customWidth="1"/>
    <col min="12" max="12" width="14.1796875" customWidth="1"/>
    <col min="13" max="13" width="1.54296875" style="32" customWidth="1"/>
    <col min="14" max="14" width="12.81640625" customWidth="1"/>
    <col min="15" max="15" width="2.54296875" style="32" customWidth="1"/>
    <col min="16" max="16" width="12.81640625" customWidth="1"/>
    <col min="17" max="17" width="1.54296875" style="32" customWidth="1"/>
    <col min="18" max="18" width="12.81640625" customWidth="1"/>
    <col min="19" max="19" width="13.7265625" style="32" customWidth="1"/>
    <col min="20" max="20" width="12.81640625" customWidth="1"/>
    <col min="21" max="21" width="1.54296875" style="32" customWidth="1"/>
    <col min="22" max="22" width="12.81640625" customWidth="1"/>
    <col min="23" max="23" width="1.54296875" style="32" customWidth="1"/>
    <col min="24" max="24" width="12.81640625" customWidth="1"/>
    <col min="25" max="25" width="1.54296875" style="32" customWidth="1"/>
    <col min="26" max="26" width="12.81640625" customWidth="1"/>
    <col min="27" max="27" width="1.54296875" style="32" customWidth="1"/>
    <col min="28" max="28" width="12.81640625" customWidth="1"/>
    <col min="29" max="29" width="1.54296875" style="32" customWidth="1"/>
    <col min="30" max="30" width="12.81640625" customWidth="1"/>
    <col min="31" max="31" width="1.54296875" style="32" customWidth="1"/>
    <col min="32" max="32" width="12.81640625" customWidth="1"/>
    <col min="33" max="33" width="1.54296875" style="32" customWidth="1"/>
    <col min="34" max="34" width="12.81640625" customWidth="1"/>
    <col min="35" max="35" width="1.54296875" style="32" customWidth="1"/>
    <col min="36" max="36" width="12.81640625" customWidth="1"/>
    <col min="37" max="37" width="1.54296875" style="32" customWidth="1"/>
    <col min="38" max="38" width="12.81640625" customWidth="1"/>
    <col min="39" max="39" width="1.54296875" style="32" customWidth="1"/>
    <col min="40" max="40" width="12.81640625" customWidth="1"/>
    <col min="41" max="41" width="1.54296875" style="32" customWidth="1"/>
    <col min="42" max="42" width="12.81640625" customWidth="1"/>
    <col min="43" max="43" width="1.54296875" style="32" customWidth="1"/>
    <col min="44" max="44" width="12.81640625" customWidth="1"/>
    <col min="45" max="45" width="1.54296875" customWidth="1"/>
    <col min="46" max="46" width="12.81640625" customWidth="1"/>
    <col min="47" max="47" width="1.54296875" customWidth="1"/>
    <col min="48" max="48" width="12.81640625" customWidth="1"/>
    <col min="49" max="49" width="1.54296875" customWidth="1"/>
    <col min="50" max="50" width="12.81640625" customWidth="1"/>
    <col min="51" max="51" width="1.54296875" customWidth="1"/>
    <col min="52" max="52" width="12.81640625" customWidth="1"/>
    <col min="53" max="53" width="1.54296875" customWidth="1"/>
    <col min="54" max="54" width="12.81640625" customWidth="1"/>
    <col min="55" max="55" width="1.54296875" customWidth="1"/>
    <col min="56" max="56" width="12.81640625" customWidth="1"/>
    <col min="57" max="57" width="1.54296875" customWidth="1"/>
    <col min="58" max="58" width="12.81640625" customWidth="1"/>
    <col min="59" max="59" width="1.54296875" customWidth="1"/>
    <col min="60" max="60" width="12.81640625" customWidth="1"/>
    <col min="61" max="61" width="1.54296875" customWidth="1"/>
    <col min="62" max="62" width="12.81640625" customWidth="1"/>
    <col min="63" max="63" width="1.54296875" customWidth="1"/>
    <col min="64" max="64" width="12.81640625" customWidth="1"/>
    <col min="65" max="65" width="1.54296875" customWidth="1"/>
    <col min="66" max="66" width="12.81640625" customWidth="1"/>
    <col min="67" max="67" width="1.54296875" customWidth="1"/>
    <col min="68" max="68" width="12.81640625" customWidth="1"/>
    <col min="69" max="69" width="1.54296875" customWidth="1"/>
    <col min="70" max="70" width="12.81640625" customWidth="1"/>
    <col min="71" max="71" width="1.54296875" customWidth="1"/>
    <col min="72" max="72" width="12.81640625" customWidth="1"/>
    <col min="73" max="73" width="1.54296875" customWidth="1"/>
    <col min="74" max="74" width="12.81640625" customWidth="1"/>
    <col min="75" max="75" width="1.54296875" customWidth="1"/>
    <col min="76" max="76" width="12.81640625" customWidth="1"/>
    <col min="77" max="77" width="1.54296875" customWidth="1"/>
    <col min="78" max="78" width="12.81640625" customWidth="1"/>
    <col min="79" max="79" width="1.54296875" customWidth="1"/>
    <col min="80" max="80" width="12.81640625" customWidth="1"/>
    <col min="81" max="81" width="1.54296875" customWidth="1"/>
    <col min="82" max="82" width="12.81640625" customWidth="1"/>
    <col min="83" max="83" width="1.54296875" customWidth="1"/>
    <col min="84" max="84" width="12.81640625" customWidth="1"/>
    <col min="85" max="85" width="1.54296875" customWidth="1"/>
    <col min="86" max="86" width="12.81640625" customWidth="1"/>
    <col min="87" max="87" width="1.54296875" customWidth="1"/>
    <col min="88" max="88" width="12.81640625" customWidth="1"/>
    <col min="89" max="89" width="1.54296875" customWidth="1"/>
    <col min="90" max="90" width="12.81640625" customWidth="1"/>
    <col min="91" max="91" width="1.54296875" customWidth="1"/>
    <col min="92" max="92" width="12.81640625" customWidth="1"/>
    <col min="93" max="93" width="1.54296875" customWidth="1"/>
    <col min="94" max="94" width="12.81640625" customWidth="1"/>
    <col min="95" max="95" width="1.54296875" customWidth="1"/>
    <col min="96" max="96" width="12.81640625" customWidth="1"/>
    <col min="97" max="97" width="1.54296875" customWidth="1"/>
    <col min="98" max="98" width="12.81640625" customWidth="1"/>
    <col min="99" max="99" width="1.54296875" customWidth="1"/>
    <col min="100" max="100" width="12.81640625" customWidth="1"/>
    <col min="101" max="101" width="1.54296875" customWidth="1"/>
    <col min="102" max="102" width="12.81640625" customWidth="1"/>
    <col min="103" max="103" width="1.54296875" customWidth="1"/>
    <col min="104" max="104" width="12.81640625" customWidth="1"/>
    <col min="105" max="105" width="1.54296875" customWidth="1"/>
    <col min="106" max="106" width="12.81640625" customWidth="1"/>
    <col min="107" max="107" width="1.54296875" customWidth="1"/>
    <col min="108" max="108" width="12.81640625" customWidth="1"/>
    <col min="109" max="109" width="1.54296875" customWidth="1"/>
    <col min="110" max="110" width="12.81640625" customWidth="1"/>
    <col min="111" max="111" width="1.54296875" customWidth="1"/>
    <col min="112" max="112" width="12.81640625" customWidth="1"/>
    <col min="113" max="113" width="1.54296875" customWidth="1"/>
    <col min="114" max="114" width="12.81640625" customWidth="1"/>
    <col min="115" max="115" width="1.54296875" customWidth="1"/>
    <col min="116" max="116" width="12.81640625" customWidth="1"/>
    <col min="117" max="117" width="1.54296875" customWidth="1"/>
    <col min="118" max="118" width="12.81640625" customWidth="1"/>
    <col min="119" max="119" width="1.54296875" customWidth="1"/>
    <col min="120" max="120" width="12.81640625" customWidth="1"/>
    <col min="121" max="121" width="1.54296875" customWidth="1"/>
    <col min="122" max="122" width="12.81640625" customWidth="1"/>
    <col min="123" max="123" width="1.54296875" customWidth="1"/>
    <col min="124" max="124" width="12.81640625" customWidth="1"/>
    <col min="125" max="125" width="1.54296875" customWidth="1"/>
    <col min="126" max="126" width="12.81640625" customWidth="1"/>
    <col min="127" max="127" width="1.54296875" customWidth="1"/>
    <col min="128" max="128" width="12.81640625" customWidth="1"/>
    <col min="129" max="129" width="1.54296875" customWidth="1"/>
    <col min="130" max="130" width="12.81640625" customWidth="1"/>
    <col min="131" max="131" width="1.54296875" customWidth="1"/>
    <col min="132" max="132" width="12.81640625" customWidth="1"/>
    <col min="133" max="133" width="1.54296875" customWidth="1"/>
    <col min="134" max="134" width="12.81640625" customWidth="1"/>
    <col min="135" max="135" width="1.54296875" customWidth="1"/>
    <col min="136" max="136" width="12.81640625" customWidth="1"/>
    <col min="137" max="137" width="1.54296875" customWidth="1"/>
    <col min="138" max="138" width="12.81640625" customWidth="1"/>
    <col min="139" max="139" width="1.54296875" customWidth="1"/>
    <col min="140" max="140" width="12.81640625" customWidth="1"/>
    <col min="141" max="141" width="1.54296875" customWidth="1"/>
    <col min="142" max="142" width="12.81640625" customWidth="1"/>
    <col min="143" max="143" width="1.54296875" customWidth="1"/>
    <col min="144" max="144" width="12.81640625" customWidth="1"/>
    <col min="145" max="145" width="1.54296875" customWidth="1"/>
    <col min="146" max="146" width="12.81640625" customWidth="1"/>
    <col min="147" max="147" width="1.54296875" customWidth="1"/>
    <col min="148" max="148" width="12.81640625" customWidth="1"/>
    <col min="149" max="149" width="1.54296875" customWidth="1"/>
    <col min="150" max="150" width="12.81640625" customWidth="1"/>
    <col min="151" max="151" width="1.54296875" customWidth="1"/>
    <col min="152" max="152" width="12.81640625" customWidth="1"/>
    <col min="153" max="153" width="1.54296875" customWidth="1"/>
    <col min="154" max="154" width="12.81640625" customWidth="1"/>
    <col min="155" max="155" width="1.54296875" customWidth="1"/>
    <col min="156" max="156" width="12.81640625" customWidth="1"/>
    <col min="157" max="157" width="1.54296875" customWidth="1"/>
    <col min="158" max="158" width="12.81640625" customWidth="1"/>
    <col min="159" max="159" width="1.54296875" customWidth="1"/>
    <col min="160" max="160" width="12.81640625" customWidth="1"/>
    <col min="161" max="161" width="1.54296875" customWidth="1"/>
    <col min="162" max="162" width="12.81640625" customWidth="1"/>
    <col min="163" max="163" width="1.54296875" customWidth="1"/>
    <col min="164" max="164" width="12.81640625" customWidth="1"/>
    <col min="165" max="165" width="1.54296875" customWidth="1"/>
    <col min="166" max="166" width="12.81640625" customWidth="1"/>
    <col min="167" max="167" width="1.54296875" customWidth="1"/>
    <col min="168" max="168" width="12.81640625" customWidth="1"/>
    <col min="169" max="169" width="1.54296875" customWidth="1"/>
    <col min="170" max="170" width="12.81640625" customWidth="1"/>
    <col min="171" max="171" width="1.54296875" customWidth="1"/>
    <col min="172" max="172" width="12.81640625" customWidth="1"/>
    <col min="173" max="173" width="1.54296875" customWidth="1"/>
    <col min="174" max="174" width="12.81640625" customWidth="1"/>
    <col min="175" max="175" width="1.54296875" customWidth="1"/>
    <col min="176" max="176" width="12.81640625" customWidth="1"/>
    <col min="177" max="177" width="1.54296875" customWidth="1"/>
    <col min="178" max="178" width="12.81640625" customWidth="1"/>
    <col min="179" max="179" width="1.54296875" customWidth="1"/>
    <col min="180" max="180" width="12.81640625" customWidth="1"/>
    <col min="181" max="181" width="1.54296875" customWidth="1"/>
    <col min="182" max="182" width="12.81640625" customWidth="1"/>
    <col min="183" max="183" width="1.54296875" customWidth="1"/>
    <col min="184" max="184" width="12.81640625" customWidth="1"/>
    <col min="185" max="185" width="1.54296875" customWidth="1"/>
    <col min="186" max="186" width="12.81640625" customWidth="1"/>
    <col min="187" max="187" width="1.54296875" customWidth="1"/>
    <col min="188" max="188" width="12.81640625" customWidth="1"/>
    <col min="189" max="189" width="1.54296875" customWidth="1"/>
    <col min="190" max="190" width="12.81640625" customWidth="1"/>
    <col min="191" max="191" width="1.54296875" customWidth="1"/>
    <col min="192" max="192" width="12.81640625" customWidth="1"/>
    <col min="193" max="193" width="1.54296875" customWidth="1"/>
    <col min="194" max="194" width="12.81640625" customWidth="1"/>
    <col min="195" max="195" width="1.54296875" customWidth="1"/>
    <col min="196" max="196" width="12.81640625" customWidth="1"/>
    <col min="197" max="197" width="1.54296875" customWidth="1"/>
    <col min="198" max="198" width="12.81640625" customWidth="1"/>
    <col min="199" max="199" width="1.54296875" customWidth="1"/>
  </cols>
  <sheetData>
    <row r="1" spans="1:199" ht="12" customHeight="1" x14ac:dyDescent="0.35">
      <c r="A1" s="327" t="s">
        <v>456</v>
      </c>
      <c r="B1" s="327"/>
      <c r="C1" s="327"/>
      <c r="D1" s="327"/>
      <c r="E1" s="327"/>
      <c r="F1" s="327"/>
      <c r="G1" s="327"/>
      <c r="H1" s="327"/>
      <c r="I1" s="327"/>
      <c r="J1" s="327"/>
      <c r="K1" s="327"/>
      <c r="L1" s="327"/>
      <c r="M1" s="327"/>
      <c r="N1" s="115">
        <v>44055</v>
      </c>
      <c r="O1"/>
      <c r="P1" s="31" t="s">
        <v>457</v>
      </c>
      <c r="Q1" s="31" t="s">
        <v>457</v>
      </c>
      <c r="R1" s="31" t="s">
        <v>0</v>
      </c>
      <c r="S1" s="329" t="s">
        <v>458</v>
      </c>
      <c r="T1" s="31" t="s">
        <v>457</v>
      </c>
      <c r="U1" s="31" t="s">
        <v>457</v>
      </c>
      <c r="V1" s="31" t="s">
        <v>457</v>
      </c>
      <c r="W1" s="31" t="s">
        <v>457</v>
      </c>
      <c r="X1" s="31" t="s">
        <v>457</v>
      </c>
      <c r="Y1" s="31" t="s">
        <v>457</v>
      </c>
      <c r="Z1" s="31" t="s">
        <v>457</v>
      </c>
      <c r="AA1" s="31" t="s">
        <v>457</v>
      </c>
      <c r="AB1" s="31" t="s">
        <v>457</v>
      </c>
      <c r="AC1" s="31" t="s">
        <v>457</v>
      </c>
      <c r="AD1" s="31" t="s">
        <v>457</v>
      </c>
      <c r="AE1" s="31"/>
      <c r="AF1" s="31"/>
      <c r="AG1" s="31"/>
      <c r="AH1" s="31"/>
      <c r="AI1" s="31"/>
      <c r="AJ1" s="31"/>
      <c r="AK1" s="31"/>
      <c r="AL1" s="31"/>
      <c r="AM1" s="31"/>
      <c r="AN1" s="31"/>
      <c r="AO1" s="31"/>
      <c r="AP1" s="30"/>
    </row>
    <row r="2" spans="1:199" ht="12" customHeight="1" x14ac:dyDescent="0.35">
      <c r="A2" s="327" t="s">
        <v>459</v>
      </c>
      <c r="B2" s="327"/>
      <c r="C2" s="327"/>
      <c r="D2" s="327"/>
      <c r="E2" s="327"/>
      <c r="F2" s="327"/>
      <c r="G2" s="327"/>
      <c r="H2" s="327"/>
      <c r="I2" s="327"/>
      <c r="J2" s="327"/>
      <c r="K2" s="327"/>
      <c r="L2" s="327"/>
      <c r="M2" s="327"/>
      <c r="N2" s="30"/>
      <c r="O2"/>
      <c r="P2" s="31" t="s">
        <v>457</v>
      </c>
      <c r="Q2" s="31" t="s">
        <v>457</v>
      </c>
      <c r="R2" s="31" t="s">
        <v>457</v>
      </c>
      <c r="S2" s="330"/>
      <c r="T2" s="31" t="s">
        <v>457</v>
      </c>
      <c r="U2" s="31" t="s">
        <v>457</v>
      </c>
      <c r="V2" s="31" t="s">
        <v>457</v>
      </c>
      <c r="W2" s="31" t="s">
        <v>457</v>
      </c>
      <c r="X2" s="31" t="s">
        <v>457</v>
      </c>
      <c r="Y2" s="31" t="s">
        <v>457</v>
      </c>
      <c r="Z2" s="31" t="s">
        <v>457</v>
      </c>
      <c r="AA2" s="31" t="s">
        <v>457</v>
      </c>
      <c r="AB2" s="31" t="s">
        <v>457</v>
      </c>
      <c r="AC2" s="31" t="s">
        <v>457</v>
      </c>
      <c r="AD2" s="31" t="s">
        <v>457</v>
      </c>
      <c r="AE2" s="31"/>
      <c r="AF2" s="31"/>
      <c r="AG2" s="31"/>
      <c r="AH2" s="31"/>
      <c r="AI2" s="31"/>
      <c r="AJ2" s="31"/>
      <c r="AK2" s="31"/>
      <c r="AL2" s="31"/>
      <c r="AM2" s="31"/>
      <c r="AN2" s="31"/>
      <c r="AO2" s="31"/>
    </row>
    <row r="3" spans="1:199" ht="12" customHeight="1" thickBot="1" x14ac:dyDescent="0.4">
      <c r="A3" s="328" t="s">
        <v>460</v>
      </c>
      <c r="B3" s="328"/>
      <c r="C3" s="328"/>
      <c r="D3" s="328"/>
      <c r="E3" s="328"/>
      <c r="F3" s="328"/>
      <c r="G3" s="328"/>
      <c r="H3" s="328"/>
      <c r="I3" s="328"/>
      <c r="J3" s="328"/>
      <c r="K3" s="328"/>
      <c r="L3" s="328"/>
      <c r="M3" s="328"/>
      <c r="N3" s="34" t="s">
        <v>457</v>
      </c>
      <c r="O3" s="34" t="s">
        <v>457</v>
      </c>
      <c r="P3" s="31" t="s">
        <v>457</v>
      </c>
      <c r="Q3" s="31" t="s">
        <v>457</v>
      </c>
      <c r="R3" s="35" t="s">
        <v>457</v>
      </c>
      <c r="S3" s="330"/>
      <c r="T3" s="35" t="s">
        <v>457</v>
      </c>
      <c r="U3" s="35" t="s">
        <v>457</v>
      </c>
      <c r="V3" s="35" t="s">
        <v>457</v>
      </c>
      <c r="W3" s="35" t="s">
        <v>457</v>
      </c>
      <c r="X3" s="35" t="s">
        <v>457</v>
      </c>
      <c r="Y3" s="35" t="s">
        <v>457</v>
      </c>
      <c r="Z3" s="35" t="s">
        <v>457</v>
      </c>
      <c r="AA3" s="35" t="s">
        <v>457</v>
      </c>
      <c r="AB3" s="35" t="s">
        <v>457</v>
      </c>
      <c r="AC3" s="35" t="s">
        <v>457</v>
      </c>
      <c r="AD3" s="35" t="s">
        <v>457</v>
      </c>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row>
    <row r="4" spans="1:199" ht="63.75" customHeight="1" thickBot="1" x14ac:dyDescent="0.4">
      <c r="A4" s="36" t="s">
        <v>388</v>
      </c>
      <c r="B4" s="36" t="s">
        <v>461</v>
      </c>
      <c r="C4" s="37" t="s">
        <v>457</v>
      </c>
      <c r="D4" s="36" t="s">
        <v>462</v>
      </c>
      <c r="E4" s="37" t="s">
        <v>457</v>
      </c>
      <c r="F4" s="36" t="s">
        <v>463</v>
      </c>
      <c r="G4" s="37" t="s">
        <v>457</v>
      </c>
      <c r="H4" s="36" t="s">
        <v>464</v>
      </c>
      <c r="I4" s="37" t="s">
        <v>457</v>
      </c>
      <c r="J4" s="36" t="s">
        <v>465</v>
      </c>
      <c r="K4" s="37" t="s">
        <v>457</v>
      </c>
      <c r="L4" s="36" t="s">
        <v>466</v>
      </c>
      <c r="M4" s="37" t="s">
        <v>457</v>
      </c>
      <c r="N4" s="36" t="s">
        <v>467</v>
      </c>
      <c r="O4" s="37" t="s">
        <v>457</v>
      </c>
      <c r="P4" s="36" t="s">
        <v>468</v>
      </c>
      <c r="Q4" s="37" t="s">
        <v>457</v>
      </c>
      <c r="R4" s="35" t="s">
        <v>457</v>
      </c>
      <c r="S4" s="119" t="s">
        <v>469</v>
      </c>
      <c r="T4" s="35" t="s">
        <v>457</v>
      </c>
      <c r="U4" s="35" t="s">
        <v>457</v>
      </c>
      <c r="V4" s="35" t="s">
        <v>457</v>
      </c>
      <c r="W4" s="35" t="s">
        <v>457</v>
      </c>
      <c r="X4" s="35" t="s">
        <v>457</v>
      </c>
      <c r="Y4" s="35" t="s">
        <v>457</v>
      </c>
      <c r="Z4" s="35" t="s">
        <v>457</v>
      </c>
      <c r="AA4" s="35" t="s">
        <v>457</v>
      </c>
      <c r="AB4" s="35" t="s">
        <v>457</v>
      </c>
      <c r="AC4" s="35" t="s">
        <v>457</v>
      </c>
      <c r="AD4" s="35" t="s">
        <v>457</v>
      </c>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row>
    <row r="5" spans="1:199" ht="12.75" customHeight="1" x14ac:dyDescent="0.35">
      <c r="A5" s="38" t="s">
        <v>470</v>
      </c>
      <c r="B5" s="39">
        <v>5295763</v>
      </c>
      <c r="C5" s="40"/>
      <c r="D5" s="39">
        <v>21584.5</v>
      </c>
      <c r="E5" s="40"/>
      <c r="F5" s="39">
        <v>161717.5</v>
      </c>
      <c r="G5" s="40"/>
      <c r="H5" s="39">
        <v>607</v>
      </c>
      <c r="I5" s="40"/>
      <c r="J5" s="39">
        <v>87398</v>
      </c>
      <c r="K5" s="40"/>
      <c r="L5" s="39">
        <v>77413.5</v>
      </c>
      <c r="M5" s="40"/>
      <c r="N5" s="39">
        <v>71600.5</v>
      </c>
      <c r="O5" s="40"/>
      <c r="P5" s="39">
        <v>2719</v>
      </c>
      <c r="Q5" s="40"/>
      <c r="R5" s="35"/>
      <c r="S5" s="120"/>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row>
    <row r="6" spans="1:199" ht="12.75" customHeight="1" x14ac:dyDescent="0.35">
      <c r="A6" s="38" t="s">
        <v>471</v>
      </c>
      <c r="B6" s="41">
        <v>5141434</v>
      </c>
      <c r="C6" s="40" t="s">
        <v>457</v>
      </c>
      <c r="D6" s="39">
        <v>21493</v>
      </c>
      <c r="E6" s="40" t="s">
        <v>457</v>
      </c>
      <c r="F6" s="39">
        <v>160700.5</v>
      </c>
      <c r="G6" s="40" t="s">
        <v>457</v>
      </c>
      <c r="H6" s="39">
        <v>644</v>
      </c>
      <c r="I6" s="40" t="s">
        <v>457</v>
      </c>
      <c r="J6" s="41">
        <v>89843</v>
      </c>
      <c r="K6" s="40" t="s">
        <v>457</v>
      </c>
      <c r="L6" s="39">
        <v>79641.5</v>
      </c>
      <c r="M6" s="40" t="s">
        <v>457</v>
      </c>
      <c r="N6" s="39">
        <v>68198.5</v>
      </c>
      <c r="O6" s="40" t="s">
        <v>457</v>
      </c>
      <c r="P6" s="39">
        <v>2659</v>
      </c>
      <c r="Q6" s="40" t="s">
        <v>457</v>
      </c>
      <c r="R6" s="35" t="s">
        <v>457</v>
      </c>
      <c r="S6" s="35" t="s">
        <v>457</v>
      </c>
      <c r="T6" s="35" t="s">
        <v>457</v>
      </c>
      <c r="U6" s="35" t="s">
        <v>457</v>
      </c>
      <c r="V6" s="35" t="s">
        <v>457</v>
      </c>
      <c r="W6" s="35" t="s">
        <v>457</v>
      </c>
      <c r="X6" s="35" t="s">
        <v>457</v>
      </c>
      <c r="Y6" s="35" t="s">
        <v>457</v>
      </c>
      <c r="Z6" s="35" t="s">
        <v>457</v>
      </c>
      <c r="AA6" s="35" t="s">
        <v>457</v>
      </c>
      <c r="AB6" s="35" t="s">
        <v>457</v>
      </c>
      <c r="AC6" s="35" t="s">
        <v>457</v>
      </c>
      <c r="AD6" s="35" t="s">
        <v>457</v>
      </c>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row>
    <row r="7" spans="1:199" ht="12.75" customHeight="1" x14ac:dyDescent="0.35">
      <c r="A7" s="38" t="s">
        <v>472</v>
      </c>
      <c r="B7" s="118">
        <v>4628848.25</v>
      </c>
      <c r="C7" s="40" t="s">
        <v>457</v>
      </c>
      <c r="D7" s="39">
        <v>22128.5</v>
      </c>
      <c r="E7" s="40" t="s">
        <v>457</v>
      </c>
      <c r="F7" s="39">
        <v>165663.25</v>
      </c>
      <c r="G7" s="40" t="s">
        <v>457</v>
      </c>
      <c r="H7" s="39">
        <v>674</v>
      </c>
      <c r="I7" s="40" t="s">
        <v>457</v>
      </c>
      <c r="J7" s="118">
        <v>96778</v>
      </c>
      <c r="K7" s="40" t="s">
        <v>457</v>
      </c>
      <c r="L7" s="39">
        <v>85342.75</v>
      </c>
      <c r="M7" s="40" t="s">
        <v>457</v>
      </c>
      <c r="N7" s="39">
        <v>66146</v>
      </c>
      <c r="O7" s="40" t="s">
        <v>457</v>
      </c>
      <c r="P7" s="39">
        <v>2739.25</v>
      </c>
      <c r="Q7" s="40" t="s">
        <v>457</v>
      </c>
      <c r="R7" s="35" t="s">
        <v>457</v>
      </c>
      <c r="S7" s="35" t="s">
        <v>457</v>
      </c>
      <c r="T7" s="35" t="s">
        <v>457</v>
      </c>
      <c r="U7" s="35" t="s">
        <v>457</v>
      </c>
      <c r="V7" s="35" t="s">
        <v>457</v>
      </c>
      <c r="W7" s="35" t="s">
        <v>457</v>
      </c>
      <c r="X7" s="35" t="s">
        <v>457</v>
      </c>
      <c r="Y7" s="35" t="s">
        <v>457</v>
      </c>
      <c r="Z7" s="35" t="s">
        <v>457</v>
      </c>
      <c r="AA7" s="35" t="s">
        <v>457</v>
      </c>
      <c r="AB7" s="35" t="s">
        <v>457</v>
      </c>
      <c r="AC7" s="35" t="s">
        <v>457</v>
      </c>
      <c r="AD7" s="35" t="s">
        <v>457</v>
      </c>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row>
  </sheetData>
  <mergeCells count="4">
    <mergeCell ref="A1:M1"/>
    <mergeCell ref="A2:M2"/>
    <mergeCell ref="A3:M3"/>
    <mergeCell ref="S1:S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Q6"/>
  <sheetViews>
    <sheetView showGridLines="0" zoomScale="85" zoomScaleNormal="85" workbookViewId="0">
      <selection activeCell="R13" sqref="R13"/>
    </sheetView>
  </sheetViews>
  <sheetFormatPr defaultColWidth="8.81640625" defaultRowHeight="15.5" x14ac:dyDescent="0.35"/>
  <cols>
    <col min="1" max="1" width="11.453125" customWidth="1"/>
    <col min="2" max="2" width="12.81640625" customWidth="1"/>
    <col min="3" max="3" width="1.54296875" style="32" customWidth="1"/>
    <col min="4" max="4" width="12.81640625" customWidth="1"/>
    <col min="5" max="5" width="1.54296875" style="32" customWidth="1"/>
    <col min="6" max="6" width="12.81640625" customWidth="1"/>
    <col min="7" max="7" width="1.54296875" style="32" customWidth="1"/>
    <col min="8" max="8" width="12.81640625" customWidth="1"/>
    <col min="9" max="9" width="1.54296875" style="32" customWidth="1"/>
    <col min="10" max="10" width="12.81640625" customWidth="1"/>
    <col min="11" max="11" width="1.54296875" style="32" customWidth="1"/>
    <col min="12" max="12" width="12.81640625" customWidth="1"/>
    <col min="13" max="13" width="1.54296875" style="32" customWidth="1"/>
    <col min="14" max="14" width="12.81640625" customWidth="1"/>
    <col min="15" max="15" width="1.54296875" style="32" customWidth="1"/>
    <col min="16" max="16" width="12.81640625" customWidth="1"/>
    <col min="17" max="17" width="1.54296875" style="32" customWidth="1"/>
    <col min="18" max="18" width="12.81640625" customWidth="1"/>
    <col min="19" max="19" width="1.54296875" style="32" customWidth="1"/>
    <col min="20" max="20" width="12.81640625" customWidth="1"/>
    <col min="21" max="21" width="1.54296875" style="32" customWidth="1"/>
    <col min="22" max="22" width="12.81640625" customWidth="1"/>
    <col min="23" max="23" width="1.54296875" style="32" customWidth="1"/>
    <col min="24" max="24" width="12.81640625" customWidth="1"/>
    <col min="25" max="25" width="1.54296875" style="32" customWidth="1"/>
    <col min="26" max="26" width="12.81640625" customWidth="1"/>
    <col min="27" max="27" width="1.54296875" style="32" customWidth="1"/>
    <col min="28" max="28" width="12.81640625" customWidth="1"/>
    <col min="29" max="29" width="1.54296875" style="32" customWidth="1"/>
    <col min="30" max="30" width="12.81640625" customWidth="1"/>
    <col min="31" max="31" width="1.54296875" style="32" customWidth="1"/>
    <col min="32" max="32" width="12.81640625" customWidth="1"/>
    <col min="33" max="33" width="1.54296875" style="32" customWidth="1"/>
    <col min="34" max="34" width="12.81640625" customWidth="1"/>
    <col min="35" max="35" width="1.54296875" style="32" customWidth="1"/>
    <col min="36" max="36" width="13.81640625" customWidth="1"/>
    <col min="37" max="37" width="1.54296875" style="32" customWidth="1"/>
    <col min="38" max="38" width="12.81640625" customWidth="1"/>
    <col min="39" max="39" width="1.54296875" style="32" customWidth="1"/>
    <col min="40" max="40" width="12.81640625" customWidth="1"/>
    <col min="41" max="41" width="1.54296875" style="32" customWidth="1"/>
    <col min="42" max="42" width="12.81640625" customWidth="1"/>
    <col min="43" max="43" width="1.54296875" style="32" customWidth="1"/>
    <col min="44" max="44" width="12.81640625" customWidth="1"/>
    <col min="45" max="45" width="1.54296875" customWidth="1"/>
    <col min="46" max="46" width="12.81640625" customWidth="1"/>
    <col min="47" max="47" width="1.54296875" customWidth="1"/>
    <col min="48" max="48" width="12.81640625" customWidth="1"/>
    <col min="49" max="49" width="1.54296875" customWidth="1"/>
    <col min="50" max="50" width="12.81640625" customWidth="1"/>
    <col min="51" max="51" width="1.54296875" customWidth="1"/>
    <col min="52" max="52" width="12.81640625" customWidth="1"/>
    <col min="53" max="53" width="1.54296875" customWidth="1"/>
    <col min="54" max="54" width="12.81640625" customWidth="1"/>
    <col min="55" max="55" width="1.54296875" customWidth="1"/>
    <col min="56" max="56" width="12.81640625" customWidth="1"/>
    <col min="57" max="57" width="1.54296875" customWidth="1"/>
    <col min="58" max="58" width="12.81640625" customWidth="1"/>
    <col min="59" max="59" width="1.54296875" customWidth="1"/>
    <col min="60" max="60" width="12.81640625" customWidth="1"/>
    <col min="61" max="61" width="1.54296875" customWidth="1"/>
    <col min="62" max="62" width="12.81640625" customWidth="1"/>
    <col min="63" max="63" width="1.54296875" customWidth="1"/>
    <col min="64" max="64" width="12.81640625" customWidth="1"/>
    <col min="65" max="65" width="1.54296875" customWidth="1"/>
    <col min="66" max="66" width="12.81640625" customWidth="1"/>
    <col min="67" max="67" width="1.54296875" customWidth="1"/>
    <col min="68" max="68" width="12.81640625" customWidth="1"/>
    <col min="69" max="69" width="1.54296875" customWidth="1"/>
    <col min="70" max="70" width="12.81640625" customWidth="1"/>
    <col min="71" max="71" width="1.54296875" customWidth="1"/>
    <col min="72" max="72" width="12.81640625" customWidth="1"/>
    <col min="73" max="73" width="1.54296875" customWidth="1"/>
    <col min="74" max="74" width="12.81640625" customWidth="1"/>
    <col min="75" max="75" width="1.54296875" customWidth="1"/>
    <col min="76" max="76" width="12.81640625" customWidth="1"/>
    <col min="77" max="77" width="1.54296875" customWidth="1"/>
    <col min="78" max="78" width="12.81640625" customWidth="1"/>
    <col min="79" max="79" width="1.54296875" customWidth="1"/>
    <col min="80" max="80" width="12.81640625" customWidth="1"/>
    <col min="81" max="81" width="1.54296875" customWidth="1"/>
    <col min="82" max="82" width="12.81640625" customWidth="1"/>
    <col min="83" max="83" width="1.54296875" customWidth="1"/>
    <col min="84" max="84" width="12.81640625" customWidth="1"/>
    <col min="85" max="85" width="1.54296875" customWidth="1"/>
    <col min="86" max="86" width="12.81640625" customWidth="1"/>
    <col min="87" max="87" width="1.54296875" customWidth="1"/>
    <col min="88" max="88" width="12.81640625" customWidth="1"/>
    <col min="89" max="89" width="1.54296875" customWidth="1"/>
    <col min="90" max="90" width="12.81640625" customWidth="1"/>
    <col min="91" max="91" width="1.54296875" customWidth="1"/>
    <col min="92" max="92" width="12.81640625" customWidth="1"/>
    <col min="93" max="93" width="1.54296875" customWidth="1"/>
    <col min="94" max="94" width="12.81640625" customWidth="1"/>
    <col min="95" max="95" width="1.54296875" customWidth="1"/>
    <col min="96" max="96" width="12.81640625" customWidth="1"/>
    <col min="97" max="97" width="1.54296875" customWidth="1"/>
    <col min="98" max="98" width="12.81640625" customWidth="1"/>
    <col min="99" max="99" width="1.54296875" customWidth="1"/>
    <col min="100" max="100" width="12.81640625" customWidth="1"/>
    <col min="101" max="101" width="1.54296875" customWidth="1"/>
    <col min="102" max="102" width="12.81640625" customWidth="1"/>
    <col min="103" max="103" width="1.54296875" customWidth="1"/>
    <col min="104" max="104" width="12.81640625" customWidth="1"/>
    <col min="105" max="105" width="1.54296875" customWidth="1"/>
    <col min="106" max="106" width="12.81640625" customWidth="1"/>
    <col min="107" max="107" width="1.54296875" customWidth="1"/>
    <col min="108" max="108" width="12.81640625" customWidth="1"/>
    <col min="109" max="109" width="1.54296875" customWidth="1"/>
    <col min="110" max="110" width="12.81640625" customWidth="1"/>
    <col min="111" max="111" width="1.54296875" customWidth="1"/>
    <col min="112" max="112" width="12.81640625" customWidth="1"/>
    <col min="113" max="113" width="1.54296875" customWidth="1"/>
    <col min="114" max="114" width="12.81640625" customWidth="1"/>
    <col min="115" max="115" width="1.54296875" customWidth="1"/>
    <col min="116" max="116" width="12.81640625" customWidth="1"/>
    <col min="117" max="117" width="1.54296875" customWidth="1"/>
    <col min="118" max="118" width="12.81640625" customWidth="1"/>
    <col min="119" max="119" width="1.54296875" customWidth="1"/>
    <col min="120" max="120" width="12.81640625" customWidth="1"/>
    <col min="121" max="121" width="1.54296875" customWidth="1"/>
    <col min="122" max="122" width="12.81640625" customWidth="1"/>
    <col min="123" max="123" width="1.54296875" customWidth="1"/>
    <col min="124" max="124" width="12.81640625" customWidth="1"/>
    <col min="125" max="125" width="1.54296875" customWidth="1"/>
    <col min="126" max="126" width="12.81640625" customWidth="1"/>
    <col min="127" max="127" width="1.54296875" customWidth="1"/>
    <col min="128" max="128" width="12.81640625" customWidth="1"/>
    <col min="129" max="129" width="1.54296875" customWidth="1"/>
    <col min="130" max="130" width="12.81640625" customWidth="1"/>
    <col min="131" max="131" width="1.54296875" customWidth="1"/>
    <col min="132" max="132" width="12.81640625" customWidth="1"/>
    <col min="133" max="133" width="1.54296875" customWidth="1"/>
    <col min="134" max="134" width="12.81640625" customWidth="1"/>
    <col min="135" max="135" width="1.54296875" customWidth="1"/>
    <col min="136" max="136" width="12.81640625" customWidth="1"/>
    <col min="137" max="137" width="1.54296875" customWidth="1"/>
    <col min="138" max="138" width="12.81640625" customWidth="1"/>
    <col min="139" max="139" width="1.54296875" customWidth="1"/>
    <col min="140" max="140" width="12.81640625" customWidth="1"/>
    <col min="141" max="141" width="1.54296875" customWidth="1"/>
    <col min="142" max="142" width="12.81640625" customWidth="1"/>
    <col min="143" max="143" width="1.54296875" customWidth="1"/>
    <col min="144" max="144" width="12.81640625" customWidth="1"/>
    <col min="145" max="145" width="1.54296875" customWidth="1"/>
    <col min="146" max="146" width="12.81640625" customWidth="1"/>
    <col min="147" max="147" width="1.54296875" customWidth="1"/>
    <col min="148" max="148" width="12.81640625" customWidth="1"/>
    <col min="149" max="149" width="1.54296875" customWidth="1"/>
    <col min="150" max="150" width="12.81640625" customWidth="1"/>
    <col min="151" max="151" width="1.54296875" customWidth="1"/>
    <col min="152" max="152" width="12.81640625" customWidth="1"/>
    <col min="153" max="153" width="1.54296875" customWidth="1"/>
    <col min="154" max="154" width="12.81640625" customWidth="1"/>
    <col min="155" max="155" width="1.54296875" customWidth="1"/>
    <col min="156" max="156" width="12.81640625" customWidth="1"/>
    <col min="157" max="157" width="1.54296875" customWidth="1"/>
    <col min="158" max="158" width="12.81640625" customWidth="1"/>
    <col min="159" max="159" width="1.54296875" customWidth="1"/>
    <col min="160" max="160" width="12.81640625" customWidth="1"/>
    <col min="161" max="161" width="1.54296875" customWidth="1"/>
    <col min="162" max="162" width="12.81640625" customWidth="1"/>
    <col min="163" max="163" width="1.54296875" customWidth="1"/>
    <col min="164" max="164" width="12.81640625" customWidth="1"/>
    <col min="165" max="165" width="1.54296875" customWidth="1"/>
    <col min="166" max="166" width="12.81640625" customWidth="1"/>
    <col min="167" max="167" width="1.54296875" customWidth="1"/>
    <col min="168" max="168" width="12.81640625" customWidth="1"/>
    <col min="169" max="169" width="1.54296875" customWidth="1"/>
    <col min="170" max="170" width="12.81640625" customWidth="1"/>
    <col min="171" max="171" width="1.54296875" customWidth="1"/>
    <col min="172" max="172" width="12.81640625" customWidth="1"/>
    <col min="173" max="173" width="1.54296875" customWidth="1"/>
    <col min="174" max="174" width="12.81640625" customWidth="1"/>
    <col min="175" max="175" width="1.54296875" customWidth="1"/>
    <col min="176" max="176" width="12.81640625" customWidth="1"/>
    <col min="177" max="177" width="1.54296875" customWidth="1"/>
    <col min="178" max="178" width="12.81640625" customWidth="1"/>
    <col min="179" max="179" width="1.54296875" customWidth="1"/>
    <col min="180" max="180" width="12.81640625" customWidth="1"/>
    <col min="181" max="181" width="1.54296875" customWidth="1"/>
    <col min="182" max="182" width="12.81640625" customWidth="1"/>
    <col min="183" max="183" width="1.54296875" customWidth="1"/>
    <col min="184" max="184" width="12.81640625" customWidth="1"/>
    <col min="185" max="185" width="1.54296875" customWidth="1"/>
    <col min="186" max="186" width="12.81640625" customWidth="1"/>
    <col min="187" max="187" width="1.54296875" customWidth="1"/>
    <col min="188" max="188" width="12.81640625" customWidth="1"/>
    <col min="189" max="189" width="1.54296875" customWidth="1"/>
    <col min="190" max="190" width="12.81640625" customWidth="1"/>
    <col min="191" max="191" width="1.54296875" customWidth="1"/>
    <col min="192" max="192" width="12.81640625" customWidth="1"/>
    <col min="193" max="193" width="1.54296875" customWidth="1"/>
    <col min="194" max="194" width="12.81640625" customWidth="1"/>
    <col min="195" max="195" width="1.54296875" customWidth="1"/>
    <col min="196" max="196" width="12.81640625" customWidth="1"/>
    <col min="197" max="197" width="1.54296875" customWidth="1"/>
    <col min="198" max="198" width="12.81640625" customWidth="1"/>
    <col min="199" max="199" width="1.54296875" customWidth="1"/>
  </cols>
  <sheetData>
    <row r="1" spans="1:199" ht="12" customHeight="1" x14ac:dyDescent="0.35">
      <c r="A1" s="327" t="s">
        <v>473</v>
      </c>
      <c r="B1" s="327"/>
      <c r="C1" s="327"/>
      <c r="D1" s="327"/>
      <c r="E1" s="327"/>
      <c r="F1" s="327"/>
      <c r="G1" s="327"/>
      <c r="H1" s="327"/>
      <c r="I1" s="327"/>
      <c r="J1" s="327"/>
      <c r="K1" s="327"/>
      <c r="L1" s="327"/>
      <c r="M1" s="327"/>
      <c r="N1" s="116">
        <v>44055</v>
      </c>
      <c r="O1" s="117"/>
      <c r="P1" s="117"/>
      <c r="Q1" s="117"/>
      <c r="R1" s="31" t="s">
        <v>0</v>
      </c>
      <c r="S1" s="332" t="s">
        <v>458</v>
      </c>
      <c r="T1" s="333"/>
      <c r="U1" s="333"/>
      <c r="V1" s="333"/>
      <c r="W1" s="333"/>
      <c r="X1" s="333"/>
      <c r="Y1" s="31"/>
      <c r="Z1" s="31"/>
      <c r="AA1" s="31"/>
      <c r="AB1" s="31"/>
      <c r="AC1" s="31"/>
      <c r="AD1" s="31"/>
      <c r="AE1" s="31"/>
      <c r="AF1" s="31"/>
      <c r="AG1" s="31"/>
      <c r="AH1" s="31"/>
      <c r="AI1" s="31"/>
      <c r="AJ1" s="31"/>
      <c r="AK1" s="31"/>
      <c r="AL1" s="31"/>
      <c r="AM1" s="31"/>
      <c r="AN1" s="31"/>
      <c r="AO1" s="31"/>
      <c r="AP1" s="30"/>
    </row>
    <row r="2" spans="1:199" ht="12" customHeight="1" x14ac:dyDescent="0.35">
      <c r="A2" s="327" t="s">
        <v>474</v>
      </c>
      <c r="B2" s="327"/>
      <c r="C2" s="327"/>
      <c r="D2" s="327"/>
      <c r="E2" s="327"/>
      <c r="F2" s="327"/>
      <c r="G2" s="327"/>
      <c r="H2" s="327"/>
      <c r="I2" s="327"/>
      <c r="J2" s="327"/>
      <c r="K2" s="327"/>
      <c r="L2" s="327"/>
      <c r="M2" s="327"/>
      <c r="N2" s="33"/>
      <c r="O2" s="30"/>
      <c r="P2" s="31"/>
      <c r="Q2" s="31"/>
      <c r="R2" s="31"/>
      <c r="S2" s="331" t="s">
        <v>469</v>
      </c>
      <c r="T2" s="331"/>
      <c r="U2" s="331"/>
      <c r="V2" s="331"/>
      <c r="W2" s="331"/>
      <c r="X2" s="331"/>
      <c r="Y2"/>
      <c r="Z2" s="31"/>
      <c r="AA2" s="31"/>
      <c r="AB2" s="31"/>
      <c r="AC2" s="31"/>
      <c r="AD2" s="31"/>
      <c r="AE2" s="31"/>
      <c r="AF2" s="31"/>
      <c r="AG2" s="31"/>
      <c r="AH2" s="31"/>
      <c r="AI2" s="31"/>
      <c r="AJ2" s="31"/>
      <c r="AK2" s="31"/>
      <c r="AL2" s="31"/>
      <c r="AM2" s="31"/>
      <c r="AN2" s="31"/>
      <c r="AO2" s="31"/>
    </row>
    <row r="3" spans="1:199" ht="12" customHeight="1" thickBot="1" x14ac:dyDescent="0.4">
      <c r="A3" s="328" t="s">
        <v>460</v>
      </c>
      <c r="B3" s="328"/>
      <c r="C3" s="328"/>
      <c r="D3" s="328"/>
      <c r="E3" s="328"/>
      <c r="F3" s="328"/>
      <c r="G3" s="328"/>
      <c r="H3" s="328"/>
      <c r="I3" s="328"/>
      <c r="J3" s="328"/>
      <c r="K3" s="328"/>
      <c r="L3" s="328"/>
      <c r="M3" s="328"/>
      <c r="N3" s="34"/>
      <c r="O3" s="34"/>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row>
    <row r="4" spans="1:199" ht="63.75" customHeight="1" thickBot="1" x14ac:dyDescent="0.4">
      <c r="A4" s="36" t="s">
        <v>388</v>
      </c>
      <c r="B4" s="36" t="s">
        <v>475</v>
      </c>
      <c r="C4" s="37"/>
      <c r="D4" s="36" t="s">
        <v>476</v>
      </c>
      <c r="E4" s="37"/>
      <c r="F4" s="36" t="s">
        <v>464</v>
      </c>
      <c r="G4" s="37"/>
      <c r="H4" s="36" t="s">
        <v>462</v>
      </c>
      <c r="I4" s="37"/>
      <c r="J4" s="36" t="s">
        <v>477</v>
      </c>
      <c r="K4" s="37"/>
      <c r="L4" s="36" t="s">
        <v>478</v>
      </c>
      <c r="M4" s="37"/>
      <c r="N4" s="36" t="s">
        <v>479</v>
      </c>
      <c r="O4" s="37"/>
      <c r="P4" s="36" t="s">
        <v>480</v>
      </c>
      <c r="Q4" s="37"/>
      <c r="R4" s="36" t="s">
        <v>481</v>
      </c>
      <c r="S4" s="37"/>
      <c r="T4" s="36" t="s">
        <v>467</v>
      </c>
      <c r="U4" s="37"/>
      <c r="V4" s="36" t="s">
        <v>463</v>
      </c>
      <c r="W4" s="37"/>
      <c r="X4" s="36" t="s">
        <v>482</v>
      </c>
      <c r="Y4" s="37"/>
      <c r="Z4" s="36" t="s">
        <v>483</v>
      </c>
      <c r="AA4" s="37"/>
      <c r="AB4" s="36" t="s">
        <v>484</v>
      </c>
      <c r="AC4" s="37"/>
      <c r="AD4" s="36" t="s">
        <v>485</v>
      </c>
      <c r="AE4" s="37"/>
      <c r="AF4" s="36" t="s">
        <v>486</v>
      </c>
      <c r="AG4" s="37"/>
      <c r="AH4" s="36" t="s">
        <v>487</v>
      </c>
      <c r="AI4" s="37"/>
      <c r="AJ4" s="36" t="s">
        <v>466</v>
      </c>
      <c r="AK4" s="37"/>
      <c r="AL4" s="36" t="s">
        <v>488</v>
      </c>
      <c r="AM4" s="37"/>
      <c r="AN4" s="36" t="s">
        <v>489</v>
      </c>
      <c r="AO4" s="37"/>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row>
    <row r="5" spans="1:199" ht="12.75" customHeight="1" x14ac:dyDescent="0.35">
      <c r="A5" s="38" t="s">
        <v>471</v>
      </c>
      <c r="B5" s="39">
        <v>19391.25</v>
      </c>
      <c r="C5" s="40"/>
      <c r="D5" s="39">
        <v>269.5</v>
      </c>
      <c r="E5" s="40"/>
      <c r="F5" s="41">
        <v>634</v>
      </c>
      <c r="G5" s="40"/>
      <c r="H5" s="41">
        <v>21857.5</v>
      </c>
      <c r="I5" s="40"/>
      <c r="J5" s="41">
        <v>8567</v>
      </c>
      <c r="K5" s="40"/>
      <c r="L5" s="41">
        <v>1003</v>
      </c>
      <c r="M5" s="40"/>
      <c r="N5" s="41">
        <v>1875.5</v>
      </c>
      <c r="O5" s="40"/>
      <c r="P5" s="41">
        <v>327.5</v>
      </c>
      <c r="Q5" s="40"/>
      <c r="R5" s="41">
        <v>3784</v>
      </c>
      <c r="S5" s="40"/>
      <c r="T5" s="41">
        <v>66938.5</v>
      </c>
      <c r="U5" s="40"/>
      <c r="V5" s="39">
        <v>160608.25</v>
      </c>
      <c r="W5" s="40"/>
      <c r="X5" s="41">
        <v>2708.5</v>
      </c>
      <c r="Y5" s="40"/>
      <c r="Z5" s="39">
        <v>12674</v>
      </c>
      <c r="AA5" s="40"/>
      <c r="AB5" s="39">
        <v>399.5</v>
      </c>
      <c r="AC5" s="40"/>
      <c r="AD5" s="39">
        <v>26495</v>
      </c>
      <c r="AE5" s="40"/>
      <c r="AF5" s="39">
        <v>19391.25</v>
      </c>
      <c r="AG5" s="40"/>
      <c r="AH5" s="39">
        <v>500.5</v>
      </c>
      <c r="AI5" s="40"/>
      <c r="AJ5" s="41">
        <v>80522.25</v>
      </c>
      <c r="AK5" s="40"/>
      <c r="AL5" s="39">
        <v>8747</v>
      </c>
      <c r="AM5" s="40"/>
      <c r="AN5" s="39">
        <v>1131</v>
      </c>
      <c r="AO5" s="40"/>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row>
    <row r="6" spans="1:199" ht="12.75" customHeight="1" x14ac:dyDescent="0.35">
      <c r="A6" s="38" t="s">
        <v>472</v>
      </c>
      <c r="B6" s="39">
        <v>19662.5</v>
      </c>
      <c r="C6" s="40"/>
      <c r="D6" s="39">
        <v>269.25</v>
      </c>
      <c r="E6" s="40"/>
      <c r="F6" s="118">
        <v>674</v>
      </c>
      <c r="G6" s="40"/>
      <c r="H6" s="118">
        <v>22130.25</v>
      </c>
      <c r="I6" s="40"/>
      <c r="J6" s="118">
        <v>8681.5</v>
      </c>
      <c r="K6" s="40"/>
      <c r="L6" s="118">
        <v>1028.5</v>
      </c>
      <c r="M6" s="40"/>
      <c r="N6" s="118">
        <v>1857</v>
      </c>
      <c r="O6" s="40"/>
      <c r="P6" s="118">
        <v>338</v>
      </c>
      <c r="Q6" s="40"/>
      <c r="R6" s="118">
        <v>3643.5</v>
      </c>
      <c r="S6" s="40"/>
      <c r="T6" s="118">
        <v>66146.25</v>
      </c>
      <c r="U6" s="40"/>
      <c r="V6" s="39">
        <v>165668.5</v>
      </c>
      <c r="W6" s="40"/>
      <c r="X6" s="118">
        <v>2793</v>
      </c>
      <c r="Y6" s="40"/>
      <c r="Z6" s="39">
        <v>12778</v>
      </c>
      <c r="AA6" s="40"/>
      <c r="AB6" s="39">
        <v>516</v>
      </c>
      <c r="AC6" s="40"/>
      <c r="AD6" s="39">
        <v>24995.5</v>
      </c>
      <c r="AE6" s="40"/>
      <c r="AF6" s="39">
        <v>19662.5</v>
      </c>
      <c r="AG6" s="40"/>
      <c r="AH6" s="39">
        <v>565.25</v>
      </c>
      <c r="AI6" s="40"/>
      <c r="AJ6" s="118">
        <v>85342.75</v>
      </c>
      <c r="AK6" s="40"/>
      <c r="AL6" s="39">
        <v>9532.5</v>
      </c>
      <c r="AM6" s="40"/>
      <c r="AN6" s="39">
        <v>1337.5</v>
      </c>
      <c r="AO6" s="40"/>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row>
  </sheetData>
  <mergeCells count="5">
    <mergeCell ref="A1:M1"/>
    <mergeCell ref="A2:M2"/>
    <mergeCell ref="A3:M3"/>
    <mergeCell ref="S2:X2"/>
    <mergeCell ref="S1:X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C1:T51"/>
  <sheetViews>
    <sheetView showGridLines="0" topLeftCell="E31" zoomScale="70" zoomScaleNormal="70" zoomScalePageLayoutView="90" workbookViewId="0">
      <selection activeCell="K24" sqref="K24"/>
    </sheetView>
  </sheetViews>
  <sheetFormatPr defaultColWidth="9.453125" defaultRowHeight="14.5" x14ac:dyDescent="0.35"/>
  <cols>
    <col min="2" max="2" width="7.54296875" customWidth="1"/>
    <col min="3" max="3" width="27.453125" style="122" customWidth="1"/>
    <col min="4" max="4" width="46.1796875" customWidth="1"/>
    <col min="5" max="5" width="39" style="126" customWidth="1"/>
    <col min="6" max="6" width="89.1796875" style="3" customWidth="1"/>
    <col min="7" max="7" width="19.81640625" style="4" customWidth="1"/>
    <col min="8" max="8" width="17.1796875" style="9" customWidth="1"/>
    <col min="9" max="9" width="20.453125" style="9" customWidth="1"/>
    <col min="10" max="10" width="22.26953125" style="16" customWidth="1"/>
    <col min="11" max="11" width="20.26953125" style="16" customWidth="1"/>
    <col min="12" max="12" width="17.54296875" style="16" customWidth="1"/>
    <col min="13" max="13" width="21" style="16" customWidth="1"/>
    <col min="14" max="14" width="20.54296875" style="16" customWidth="1"/>
    <col min="15" max="15" width="20.81640625" style="16" customWidth="1"/>
    <col min="16" max="16" width="17.54296875" style="16" customWidth="1"/>
    <col min="17" max="17" width="21" style="16" customWidth="1"/>
    <col min="18" max="18" width="20.54296875" style="16" customWidth="1"/>
    <col min="19" max="19" width="20.81640625" style="16" customWidth="1"/>
    <col min="20" max="20" width="35.81640625" style="3" customWidth="1"/>
  </cols>
  <sheetData>
    <row r="1" spans="3:20" ht="51.65" customHeight="1" x14ac:dyDescent="0.35">
      <c r="C1" s="274" t="s">
        <v>1</v>
      </c>
      <c r="D1" s="274"/>
      <c r="E1" s="274"/>
      <c r="F1" s="274"/>
      <c r="G1" s="274"/>
      <c r="H1" s="274"/>
      <c r="I1" s="274"/>
      <c r="J1" s="274"/>
      <c r="K1" s="274"/>
      <c r="L1" s="274"/>
      <c r="M1" s="274"/>
      <c r="N1" s="274"/>
    </row>
    <row r="2" spans="3:20" ht="14.5" customHeight="1" x14ac:dyDescent="0.35">
      <c r="C2" s="125"/>
      <c r="D2" s="121"/>
      <c r="E2" s="125"/>
      <c r="F2" s="121"/>
      <c r="G2" s="121"/>
      <c r="H2" s="121"/>
      <c r="I2" s="121"/>
      <c r="J2" s="121"/>
      <c r="K2" s="121"/>
      <c r="L2" s="121"/>
      <c r="M2" s="121"/>
      <c r="N2" s="121"/>
      <c r="P2" s="121"/>
      <c r="Q2" s="121"/>
      <c r="R2" s="121"/>
    </row>
    <row r="3" spans="3:20" x14ac:dyDescent="0.35">
      <c r="C3" s="275" t="s">
        <v>2</v>
      </c>
      <c r="D3" s="275"/>
      <c r="E3" s="276" t="s">
        <v>3</v>
      </c>
      <c r="F3" s="276"/>
      <c r="G3"/>
      <c r="H3"/>
      <c r="I3"/>
      <c r="J3"/>
      <c r="K3"/>
      <c r="L3" s="271" t="s">
        <v>4</v>
      </c>
      <c r="M3" s="271"/>
      <c r="N3" s="271"/>
      <c r="O3" s="271"/>
      <c r="P3" s="272" t="s">
        <v>5</v>
      </c>
      <c r="Q3" s="272"/>
      <c r="R3" s="272"/>
      <c r="S3" s="272"/>
      <c r="T3"/>
    </row>
    <row r="4" spans="3:20" s="2" customFormat="1" ht="43.5" x14ac:dyDescent="0.35">
      <c r="C4" s="223" t="s">
        <v>307</v>
      </c>
      <c r="D4" s="223" t="s">
        <v>7</v>
      </c>
      <c r="E4" s="223" t="s">
        <v>6</v>
      </c>
      <c r="F4" s="60" t="s">
        <v>7</v>
      </c>
      <c r="G4" s="6" t="s">
        <v>8</v>
      </c>
      <c r="H4" s="7" t="s">
        <v>9</v>
      </c>
      <c r="I4" s="10" t="s">
        <v>10</v>
      </c>
      <c r="J4" s="21" t="s">
        <v>11</v>
      </c>
      <c r="K4" s="21" t="s">
        <v>12</v>
      </c>
      <c r="L4" s="21" t="s">
        <v>13</v>
      </c>
      <c r="M4" s="21" t="s">
        <v>14</v>
      </c>
      <c r="N4" s="21" t="s">
        <v>15</v>
      </c>
      <c r="O4" s="21" t="s">
        <v>16</v>
      </c>
      <c r="P4" s="21" t="s">
        <v>13</v>
      </c>
      <c r="Q4" s="21" t="s">
        <v>14</v>
      </c>
      <c r="R4" s="21" t="s">
        <v>15</v>
      </c>
      <c r="S4" s="21" t="s">
        <v>16</v>
      </c>
      <c r="T4" s="258" t="s">
        <v>17</v>
      </c>
    </row>
    <row r="5" spans="3:20" s="2" customFormat="1" ht="21" customHeight="1" x14ac:dyDescent="0.35">
      <c r="C5" s="27"/>
      <c r="D5" s="224"/>
      <c r="E5" s="27" t="s">
        <v>18</v>
      </c>
      <c r="F5" s="27" t="s">
        <v>19</v>
      </c>
      <c r="G5" s="224" t="s">
        <v>20</v>
      </c>
      <c r="H5" s="8" t="s">
        <v>21</v>
      </c>
      <c r="I5" s="11" t="s">
        <v>22</v>
      </c>
      <c r="J5" s="22" t="s">
        <v>23</v>
      </c>
      <c r="K5" s="22" t="s">
        <v>24</v>
      </c>
      <c r="L5" s="22" t="s">
        <v>25</v>
      </c>
      <c r="M5" s="22" t="s">
        <v>26</v>
      </c>
      <c r="N5" s="22" t="s">
        <v>308</v>
      </c>
      <c r="O5" s="22" t="s">
        <v>309</v>
      </c>
      <c r="P5" s="22" t="s">
        <v>310</v>
      </c>
      <c r="Q5" s="22" t="s">
        <v>311</v>
      </c>
      <c r="R5" s="22" t="s">
        <v>312</v>
      </c>
      <c r="S5" s="22" t="s">
        <v>313</v>
      </c>
      <c r="T5" s="258"/>
    </row>
    <row r="6" spans="3:20" s="2" customFormat="1" ht="35.25" customHeight="1" x14ac:dyDescent="0.35">
      <c r="C6" s="280" t="s">
        <v>29</v>
      </c>
      <c r="D6" s="282"/>
      <c r="E6" s="283" t="s">
        <v>29</v>
      </c>
      <c r="F6" s="284"/>
      <c r="G6" s="284"/>
      <c r="H6" s="284"/>
      <c r="I6" s="284"/>
      <c r="J6" s="284"/>
      <c r="K6" s="284"/>
      <c r="L6" s="284"/>
      <c r="M6" s="284"/>
      <c r="N6" s="284"/>
      <c r="O6" s="284"/>
      <c r="P6" s="284"/>
      <c r="Q6" s="284"/>
      <c r="R6" s="284"/>
      <c r="S6" s="285"/>
      <c r="T6" s="124"/>
    </row>
    <row r="7" spans="3:20" s="2" customFormat="1" ht="35.25" customHeight="1" x14ac:dyDescent="0.35">
      <c r="C7" s="280" t="s">
        <v>30</v>
      </c>
      <c r="D7" s="282"/>
      <c r="E7" s="280" t="s">
        <v>30</v>
      </c>
      <c r="F7" s="281"/>
      <c r="G7" s="281"/>
      <c r="H7" s="281"/>
      <c r="I7" s="281"/>
      <c r="J7" s="281"/>
      <c r="K7" s="281"/>
      <c r="L7" s="281"/>
      <c r="M7" s="281"/>
      <c r="N7" s="281"/>
      <c r="O7" s="281"/>
      <c r="P7" s="281"/>
      <c r="Q7" s="281"/>
      <c r="R7" s="281"/>
      <c r="S7" s="282"/>
      <c r="T7" s="124"/>
    </row>
    <row r="8" spans="3:20" s="1" customFormat="1" ht="80.25" customHeight="1" x14ac:dyDescent="0.35">
      <c r="C8" s="61">
        <v>226.6</v>
      </c>
      <c r="D8" s="62" t="s">
        <v>314</v>
      </c>
      <c r="E8" s="46">
        <v>226.6</v>
      </c>
      <c r="F8" s="64" t="s">
        <v>315</v>
      </c>
      <c r="G8" s="5">
        <f>Assumptions!D10</f>
        <v>56</v>
      </c>
      <c r="H8" s="50">
        <v>5</v>
      </c>
      <c r="I8" s="50">
        <f>G8*H8</f>
        <v>280</v>
      </c>
      <c r="J8" s="50">
        <v>5</v>
      </c>
      <c r="K8" s="50">
        <f>I8*J8</f>
        <v>1400</v>
      </c>
      <c r="L8" s="50">
        <f>K8</f>
        <v>1400</v>
      </c>
      <c r="M8" s="50"/>
      <c r="N8" s="50">
        <f>K8-L8</f>
        <v>0</v>
      </c>
      <c r="O8" s="50">
        <f>M8+N8</f>
        <v>0</v>
      </c>
      <c r="P8" s="50">
        <f>280+28</f>
        <v>308</v>
      </c>
      <c r="Q8" s="50">
        <f>K8-P8</f>
        <v>1092</v>
      </c>
      <c r="R8" s="50"/>
      <c r="S8" s="50">
        <f>Q8+R8</f>
        <v>1092</v>
      </c>
      <c r="T8" s="129"/>
    </row>
    <row r="9" spans="3:20" s="1" customFormat="1" ht="122.25" customHeight="1" x14ac:dyDescent="0.35">
      <c r="C9" s="163"/>
      <c r="D9" s="164"/>
      <c r="E9" s="166" t="s">
        <v>316</v>
      </c>
      <c r="F9" s="181" t="s">
        <v>317</v>
      </c>
      <c r="G9" s="167">
        <f>Assumptions!D10</f>
        <v>56</v>
      </c>
      <c r="H9" s="168">
        <v>1</v>
      </c>
      <c r="I9" s="168">
        <f>G9*H9</f>
        <v>56</v>
      </c>
      <c r="J9" s="168">
        <v>16</v>
      </c>
      <c r="K9" s="168">
        <f>I9*J9</f>
        <v>896</v>
      </c>
      <c r="L9" s="168">
        <f>K9</f>
        <v>896</v>
      </c>
      <c r="M9" s="168"/>
      <c r="N9" s="168">
        <f t="shared" ref="N9:N11" si="0">K9-L9</f>
        <v>0</v>
      </c>
      <c r="O9" s="168">
        <f>M9+N9</f>
        <v>0</v>
      </c>
      <c r="P9" s="168">
        <v>0</v>
      </c>
      <c r="Q9" s="168"/>
      <c r="R9" s="168">
        <f>K9-P9</f>
        <v>896</v>
      </c>
      <c r="S9" s="168">
        <f>Q9+R9</f>
        <v>896</v>
      </c>
      <c r="T9" s="169"/>
    </row>
    <row r="10" spans="3:20" s="1" customFormat="1" ht="62.65" customHeight="1" x14ac:dyDescent="0.35">
      <c r="C10" s="61" t="s">
        <v>318</v>
      </c>
      <c r="D10" s="62" t="s">
        <v>319</v>
      </c>
      <c r="E10" s="46" t="s">
        <v>201</v>
      </c>
      <c r="F10" s="52" t="s">
        <v>320</v>
      </c>
      <c r="G10" s="5">
        <f>Assumptions!D10</f>
        <v>56</v>
      </c>
      <c r="H10" s="50">
        <v>21</v>
      </c>
      <c r="I10" s="50">
        <f t="shared" ref="I10" si="1">G10*H10</f>
        <v>1176</v>
      </c>
      <c r="J10" s="51">
        <v>1.5</v>
      </c>
      <c r="K10" s="50">
        <f t="shared" ref="K10" si="2">I10*J10</f>
        <v>1764</v>
      </c>
      <c r="L10" s="50">
        <f>K10</f>
        <v>1764</v>
      </c>
      <c r="M10" s="50"/>
      <c r="N10" s="50">
        <f t="shared" si="0"/>
        <v>0</v>
      </c>
      <c r="O10" s="50">
        <f t="shared" ref="O10" si="3">M10+N10</f>
        <v>0</v>
      </c>
      <c r="P10" s="50">
        <v>1764</v>
      </c>
      <c r="Q10" s="50">
        <f>K10-P10</f>
        <v>0</v>
      </c>
      <c r="R10" s="50"/>
      <c r="S10" s="50">
        <f t="shared" ref="S10" si="4">Q10+R10</f>
        <v>0</v>
      </c>
      <c r="T10" s="52"/>
    </row>
    <row r="11" spans="3:20" s="1" customFormat="1" ht="75.75" customHeight="1" x14ac:dyDescent="0.35">
      <c r="C11" s="163"/>
      <c r="D11" s="164"/>
      <c r="E11" s="166" t="s">
        <v>321</v>
      </c>
      <c r="F11" s="175" t="s">
        <v>322</v>
      </c>
      <c r="G11" s="167">
        <f>Assumptions!D10</f>
        <v>56</v>
      </c>
      <c r="H11" s="168">
        <v>1</v>
      </c>
      <c r="I11" s="168">
        <f>G11*H11</f>
        <v>56</v>
      </c>
      <c r="J11" s="168">
        <v>80</v>
      </c>
      <c r="K11" s="168">
        <f>I11*J11</f>
        <v>4480</v>
      </c>
      <c r="L11" s="168">
        <f>K11</f>
        <v>4480</v>
      </c>
      <c r="M11" s="168"/>
      <c r="N11" s="168">
        <f t="shared" si="0"/>
        <v>0</v>
      </c>
      <c r="O11" s="168">
        <f>M11+N11</f>
        <v>0</v>
      </c>
      <c r="P11" s="168">
        <v>0</v>
      </c>
      <c r="Q11" s="168"/>
      <c r="R11" s="168">
        <f>K11-P11</f>
        <v>4480</v>
      </c>
      <c r="S11" s="168">
        <f>Q11+R11</f>
        <v>4480</v>
      </c>
      <c r="T11" s="175"/>
    </row>
    <row r="12" spans="3:20" s="1" customFormat="1" x14ac:dyDescent="0.35">
      <c r="C12" s="61"/>
      <c r="D12" s="62"/>
      <c r="E12" s="286" t="s">
        <v>184</v>
      </c>
      <c r="F12" s="286"/>
      <c r="G12" s="108">
        <f>Assumptions!D10</f>
        <v>56</v>
      </c>
      <c r="H12" s="109">
        <f>I12/G12</f>
        <v>28</v>
      </c>
      <c r="I12" s="109">
        <f>SUM(I8:I11)</f>
        <v>1568</v>
      </c>
      <c r="J12" s="112">
        <f>K12/I12</f>
        <v>5.4464285714285712</v>
      </c>
      <c r="K12" s="109">
        <f t="shared" ref="K12:S12" si="5">SUM(K8:K11)</f>
        <v>8540</v>
      </c>
      <c r="L12" s="109">
        <f t="shared" si="5"/>
        <v>8540</v>
      </c>
      <c r="M12" s="109">
        <f t="shared" si="5"/>
        <v>0</v>
      </c>
      <c r="N12" s="109">
        <f t="shared" si="5"/>
        <v>0</v>
      </c>
      <c r="O12" s="109">
        <f t="shared" si="5"/>
        <v>0</v>
      </c>
      <c r="P12" s="109">
        <f t="shared" si="5"/>
        <v>2072</v>
      </c>
      <c r="Q12" s="109">
        <f t="shared" si="5"/>
        <v>1092</v>
      </c>
      <c r="R12" s="109">
        <f t="shared" si="5"/>
        <v>5376</v>
      </c>
      <c r="S12" s="109">
        <f t="shared" si="5"/>
        <v>6468</v>
      </c>
      <c r="T12" s="124"/>
    </row>
    <row r="13" spans="3:20" ht="35.25" customHeight="1" x14ac:dyDescent="0.35">
      <c r="C13" s="261" t="s">
        <v>185</v>
      </c>
      <c r="D13" s="261"/>
      <c r="E13" s="265" t="s">
        <v>185</v>
      </c>
      <c r="F13" s="266"/>
      <c r="G13" s="266"/>
      <c r="H13" s="266"/>
      <c r="I13" s="266"/>
      <c r="J13" s="266"/>
      <c r="K13" s="266"/>
      <c r="L13" s="266"/>
      <c r="M13" s="266"/>
      <c r="N13" s="266"/>
      <c r="O13" s="266"/>
      <c r="P13" s="266"/>
      <c r="Q13" s="266"/>
      <c r="R13" s="266"/>
      <c r="S13" s="267"/>
      <c r="T13" s="124"/>
    </row>
    <row r="14" spans="3:20" s="1" customFormat="1" ht="125.25" customHeight="1" x14ac:dyDescent="0.35">
      <c r="C14" s="221" t="s">
        <v>323</v>
      </c>
      <c r="D14" s="221" t="s">
        <v>324</v>
      </c>
      <c r="E14" s="46" t="s">
        <v>325</v>
      </c>
      <c r="F14" s="52" t="s">
        <v>326</v>
      </c>
      <c r="G14" s="50">
        <f>ROUND(Assumptions!$D$31*Assumptions!D21,0)</f>
        <v>3791</v>
      </c>
      <c r="H14" s="50">
        <v>3</v>
      </c>
      <c r="I14" s="50">
        <f t="shared" ref="I14:I16" si="6">G14*H14</f>
        <v>11373</v>
      </c>
      <c r="J14" s="50">
        <v>1</v>
      </c>
      <c r="K14" s="50">
        <f t="shared" ref="K14:K16" si="7">I14*J14</f>
        <v>11373</v>
      </c>
      <c r="L14" s="50">
        <f>K14</f>
        <v>11373</v>
      </c>
      <c r="M14" s="50"/>
      <c r="N14" s="50">
        <f t="shared" ref="N14:N16" si="8">K14-L14</f>
        <v>0</v>
      </c>
      <c r="O14" s="50">
        <f t="shared" ref="O14:O16" si="9">M14+N14</f>
        <v>0</v>
      </c>
      <c r="P14" s="66">
        <f>63156*Assumptions!D21</f>
        <v>9410.2439999999988</v>
      </c>
      <c r="Q14" s="66">
        <f>K14-P14</f>
        <v>1962.7560000000012</v>
      </c>
      <c r="R14" s="66"/>
      <c r="S14" s="66">
        <f t="shared" ref="S14:S16" si="10">Q14+R14</f>
        <v>1962.7560000000012</v>
      </c>
      <c r="T14" s="52"/>
    </row>
    <row r="15" spans="3:20" s="1" customFormat="1" ht="29" x14ac:dyDescent="0.35">
      <c r="C15" s="61" t="s">
        <v>327</v>
      </c>
      <c r="D15" s="70" t="s">
        <v>328</v>
      </c>
      <c r="E15" s="61" t="s">
        <v>327</v>
      </c>
      <c r="F15" s="70" t="s">
        <v>329</v>
      </c>
      <c r="G15" s="5">
        <f>ROUND(Assumptions!$D$26*Assumptions!$D$23,0)</f>
        <v>83</v>
      </c>
      <c r="H15" s="50">
        <f>Assumptions!D37</f>
        <v>127</v>
      </c>
      <c r="I15" s="50">
        <f t="shared" ref="I15" si="11">G15*H15</f>
        <v>10541</v>
      </c>
      <c r="J15" s="29">
        <v>2.5000000000000001E-2</v>
      </c>
      <c r="K15" s="29">
        <f t="shared" ref="K15" si="12">I15*J15</f>
        <v>263.52500000000003</v>
      </c>
      <c r="L15" s="50">
        <f t="shared" ref="L15:L16" si="13">K15</f>
        <v>263.52500000000003</v>
      </c>
      <c r="M15" s="50"/>
      <c r="N15" s="66">
        <f t="shared" si="8"/>
        <v>0</v>
      </c>
      <c r="O15" s="66">
        <f t="shared" ref="O15" si="14">M15+N15</f>
        <v>0</v>
      </c>
      <c r="P15" s="66">
        <f>2457*Assumptions!D21</f>
        <v>366.09299999999996</v>
      </c>
      <c r="Q15" s="29">
        <f>K15-P15</f>
        <v>-102.56799999999993</v>
      </c>
      <c r="R15" s="29"/>
      <c r="S15" s="29">
        <f t="shared" si="10"/>
        <v>-102.56799999999993</v>
      </c>
      <c r="T15" s="73"/>
    </row>
    <row r="16" spans="3:20" s="1" customFormat="1" ht="29" x14ac:dyDescent="0.35">
      <c r="C16" s="61" t="s">
        <v>330</v>
      </c>
      <c r="D16" s="70" t="s">
        <v>331</v>
      </c>
      <c r="E16" s="71" t="s">
        <v>330</v>
      </c>
      <c r="F16" s="52" t="s">
        <v>332</v>
      </c>
      <c r="G16" s="5">
        <f>ROUND(Assumptions!$D$26*Assumptions!$D$23,0)</f>
        <v>83</v>
      </c>
      <c r="H16" s="50">
        <f>ROUND(Assumptions!D37/3,0)</f>
        <v>42</v>
      </c>
      <c r="I16" s="50">
        <f t="shared" si="6"/>
        <v>3486</v>
      </c>
      <c r="J16" s="29">
        <v>2.5000000000000001E-2</v>
      </c>
      <c r="K16" s="51">
        <f t="shared" si="7"/>
        <v>87.15</v>
      </c>
      <c r="L16" s="50">
        <f t="shared" si="13"/>
        <v>87.15</v>
      </c>
      <c r="M16" s="50"/>
      <c r="N16" s="51">
        <f t="shared" si="8"/>
        <v>0</v>
      </c>
      <c r="O16" s="51">
        <f t="shared" si="9"/>
        <v>0</v>
      </c>
      <c r="P16" s="66">
        <f>819*Assumptions!D21</f>
        <v>122.03099999999999</v>
      </c>
      <c r="Q16" s="66">
        <f>K16-P16</f>
        <v>-34.880999999999986</v>
      </c>
      <c r="R16" s="66"/>
      <c r="S16" s="66">
        <f t="shared" si="10"/>
        <v>-34.880999999999986</v>
      </c>
      <c r="T16" s="73"/>
    </row>
    <row r="17" spans="3:20" s="1" customFormat="1" x14ac:dyDescent="0.35">
      <c r="C17" s="61"/>
      <c r="D17" s="70"/>
      <c r="E17" s="286" t="s">
        <v>184</v>
      </c>
      <c r="F17" s="286"/>
      <c r="G17" s="109">
        <f>G14</f>
        <v>3791</v>
      </c>
      <c r="H17" s="109">
        <f>I17/G17</f>
        <v>6.7000791347929303</v>
      </c>
      <c r="I17" s="109">
        <f>SUM(I14:I16)</f>
        <v>25400</v>
      </c>
      <c r="J17" s="110">
        <f>K17/I17</f>
        <v>0.46156200787401575</v>
      </c>
      <c r="K17" s="109">
        <f>SUM(K14:K16)</f>
        <v>11723.674999999999</v>
      </c>
      <c r="L17" s="109">
        <f t="shared" ref="L17:O17" si="15">SUM(L14:L16)</f>
        <v>11723.674999999999</v>
      </c>
      <c r="M17" s="109">
        <f t="shared" si="15"/>
        <v>0</v>
      </c>
      <c r="N17" s="109">
        <f t="shared" si="15"/>
        <v>0</v>
      </c>
      <c r="O17" s="109">
        <f t="shared" si="15"/>
        <v>0</v>
      </c>
      <c r="P17" s="109">
        <f t="shared" ref="P17:S17" si="16">SUM(P14:P16)</f>
        <v>9898.3680000000004</v>
      </c>
      <c r="Q17" s="109">
        <f t="shared" si="16"/>
        <v>1825.3070000000012</v>
      </c>
      <c r="R17" s="109">
        <f t="shared" si="16"/>
        <v>0</v>
      </c>
      <c r="S17" s="109">
        <f t="shared" si="16"/>
        <v>1825.3070000000012</v>
      </c>
      <c r="T17" s="124"/>
    </row>
    <row r="18" spans="3:20" s="1" customFormat="1" x14ac:dyDescent="0.35">
      <c r="C18" s="278" t="s">
        <v>248</v>
      </c>
      <c r="D18" s="278"/>
      <c r="E18" s="278"/>
      <c r="F18" s="278"/>
      <c r="G18" s="13">
        <f>G12+G17</f>
        <v>3847</v>
      </c>
      <c r="H18" s="17">
        <f>I18/G18</f>
        <v>7.0101377696906679</v>
      </c>
      <c r="I18" s="17">
        <f>I12+I17</f>
        <v>26968</v>
      </c>
      <c r="J18" s="17">
        <f>K18/I18</f>
        <v>0.75139702610501335</v>
      </c>
      <c r="K18" s="17">
        <f>K12+K17</f>
        <v>20263.674999999999</v>
      </c>
      <c r="L18" s="17">
        <f t="shared" ref="L18:O18" si="17">L12+L17</f>
        <v>20263.674999999999</v>
      </c>
      <c r="M18" s="17">
        <f t="shared" si="17"/>
        <v>0</v>
      </c>
      <c r="N18" s="17">
        <f t="shared" si="17"/>
        <v>0</v>
      </c>
      <c r="O18" s="17">
        <f t="shared" si="17"/>
        <v>0</v>
      </c>
      <c r="P18" s="17">
        <f t="shared" ref="P18:S18" si="18">P12+P17</f>
        <v>11970.368</v>
      </c>
      <c r="Q18" s="17">
        <f t="shared" si="18"/>
        <v>2917.3070000000012</v>
      </c>
      <c r="R18" s="17">
        <f t="shared" si="18"/>
        <v>5376</v>
      </c>
      <c r="S18" s="17">
        <f t="shared" si="18"/>
        <v>8293.3070000000007</v>
      </c>
      <c r="T18" s="124"/>
    </row>
    <row r="19" spans="3:20" ht="35.25" customHeight="1" x14ac:dyDescent="0.35">
      <c r="C19" s="279" t="s">
        <v>249</v>
      </c>
      <c r="D19" s="279"/>
      <c r="E19" s="280" t="s">
        <v>249</v>
      </c>
      <c r="F19" s="281"/>
      <c r="G19" s="281"/>
      <c r="H19" s="281"/>
      <c r="I19" s="281"/>
      <c r="J19" s="281"/>
      <c r="K19" s="281"/>
      <c r="L19" s="281"/>
      <c r="M19" s="281"/>
      <c r="N19" s="281"/>
      <c r="O19" s="281"/>
      <c r="P19" s="281"/>
      <c r="Q19" s="281"/>
      <c r="R19" s="281"/>
      <c r="S19" s="282"/>
      <c r="T19" s="124"/>
    </row>
    <row r="20" spans="3:20" ht="35.25" customHeight="1" x14ac:dyDescent="0.35">
      <c r="C20" s="261" t="s">
        <v>250</v>
      </c>
      <c r="D20" s="261"/>
      <c r="E20" s="265" t="s">
        <v>250</v>
      </c>
      <c r="F20" s="266"/>
      <c r="G20" s="266"/>
      <c r="H20" s="266"/>
      <c r="I20" s="266"/>
      <c r="J20" s="266"/>
      <c r="K20" s="266"/>
      <c r="L20" s="266"/>
      <c r="M20" s="266"/>
      <c r="N20" s="266"/>
      <c r="O20" s="266"/>
      <c r="P20" s="266"/>
      <c r="Q20" s="266"/>
      <c r="R20" s="266"/>
      <c r="S20" s="267"/>
      <c r="T20" s="124"/>
    </row>
    <row r="21" spans="3:20" s="1" customFormat="1" ht="116" x14ac:dyDescent="0.35">
      <c r="C21" s="221" t="s">
        <v>323</v>
      </c>
      <c r="D21" s="221" t="s">
        <v>324</v>
      </c>
      <c r="E21" s="46" t="s">
        <v>325</v>
      </c>
      <c r="F21" s="52" t="s">
        <v>333</v>
      </c>
      <c r="G21" s="50">
        <f>ROUND(Assumptions!$D$31*Assumptions!D22,0)</f>
        <v>21650</v>
      </c>
      <c r="H21" s="50">
        <v>3</v>
      </c>
      <c r="I21" s="50">
        <f t="shared" ref="I21:I23" si="19">G21*H21</f>
        <v>64950</v>
      </c>
      <c r="J21" s="50">
        <v>1</v>
      </c>
      <c r="K21" s="50">
        <f t="shared" ref="K21:K23" si="20">I21*J21</f>
        <v>64950</v>
      </c>
      <c r="L21" s="50">
        <f>K21</f>
        <v>64950</v>
      </c>
      <c r="M21" s="50"/>
      <c r="N21" s="50">
        <f t="shared" ref="N21:N23" si="21">K21-L21</f>
        <v>0</v>
      </c>
      <c r="O21" s="50">
        <f t="shared" ref="O21:O24" si="22">M21+N21</f>
        <v>0</v>
      </c>
      <c r="P21" s="66">
        <f>63156*Assumptions!D22</f>
        <v>53745.756000000001</v>
      </c>
      <c r="Q21" s="66">
        <f>K21-P21</f>
        <v>11204.243999999999</v>
      </c>
      <c r="R21" s="66"/>
      <c r="S21" s="66">
        <f t="shared" ref="S21:S23" si="23">Q21+R21</f>
        <v>11204.243999999999</v>
      </c>
      <c r="T21" s="52"/>
    </row>
    <row r="22" spans="3:20" s="1" customFormat="1" ht="29" x14ac:dyDescent="0.35">
      <c r="C22" s="61" t="s">
        <v>327</v>
      </c>
      <c r="D22" s="70" t="s">
        <v>328</v>
      </c>
      <c r="E22" s="61" t="s">
        <v>327</v>
      </c>
      <c r="F22" s="70" t="s">
        <v>329</v>
      </c>
      <c r="G22" s="5">
        <f>ROUND(Assumptions!$D$26*Assumptions!$D$24,0)</f>
        <v>551</v>
      </c>
      <c r="H22" s="50">
        <f>Assumptions!D37</f>
        <v>127</v>
      </c>
      <c r="I22" s="50">
        <f t="shared" si="19"/>
        <v>69977</v>
      </c>
      <c r="J22" s="29">
        <v>2.5000000000000001E-2</v>
      </c>
      <c r="K22" s="66">
        <f t="shared" si="20"/>
        <v>1749.4250000000002</v>
      </c>
      <c r="L22" s="50">
        <f t="shared" ref="L22:L23" si="24">K22</f>
        <v>1749.4250000000002</v>
      </c>
      <c r="M22" s="50"/>
      <c r="N22" s="66">
        <f t="shared" si="21"/>
        <v>0</v>
      </c>
      <c r="O22" s="66">
        <f t="shared" si="22"/>
        <v>0</v>
      </c>
      <c r="P22" s="66">
        <f>2457*Assumptions!D22</f>
        <v>2090.9070000000002</v>
      </c>
      <c r="Q22" s="66">
        <f>K22-P22</f>
        <v>-341.48199999999997</v>
      </c>
      <c r="R22" s="66"/>
      <c r="S22" s="66">
        <f t="shared" si="23"/>
        <v>-341.48199999999997</v>
      </c>
      <c r="T22" s="73"/>
    </row>
    <row r="23" spans="3:20" s="1" customFormat="1" ht="29" x14ac:dyDescent="0.35">
      <c r="C23" s="61" t="s">
        <v>330</v>
      </c>
      <c r="D23" s="70" t="s">
        <v>331</v>
      </c>
      <c r="E23" s="71" t="s">
        <v>330</v>
      </c>
      <c r="F23" s="52" t="s">
        <v>332</v>
      </c>
      <c r="G23" s="5">
        <f>ROUND(Assumptions!$D$26*Assumptions!$D$24,0)</f>
        <v>551</v>
      </c>
      <c r="H23" s="50">
        <f>ROUND(Assumptions!D37/3,0)</f>
        <v>42</v>
      </c>
      <c r="I23" s="50">
        <f t="shared" si="19"/>
        <v>23142</v>
      </c>
      <c r="J23" s="29">
        <v>2.5000000000000001E-2</v>
      </c>
      <c r="K23" s="51">
        <f t="shared" si="20"/>
        <v>578.55000000000007</v>
      </c>
      <c r="L23" s="50">
        <f t="shared" si="24"/>
        <v>578.55000000000007</v>
      </c>
      <c r="M23" s="50"/>
      <c r="N23" s="51">
        <f t="shared" si="21"/>
        <v>0</v>
      </c>
      <c r="O23" s="51">
        <f t="shared" si="22"/>
        <v>0</v>
      </c>
      <c r="P23" s="66">
        <f>819*Assumptions!D22</f>
        <v>696.96899999999994</v>
      </c>
      <c r="Q23" s="66">
        <f>K23-P23</f>
        <v>-118.41899999999987</v>
      </c>
      <c r="R23" s="66"/>
      <c r="S23" s="66">
        <f t="shared" si="23"/>
        <v>-118.41899999999987</v>
      </c>
      <c r="T23" s="73"/>
    </row>
    <row r="24" spans="3:20" s="1" customFormat="1" ht="43.5" x14ac:dyDescent="0.35">
      <c r="C24" s="238"/>
      <c r="D24" s="239"/>
      <c r="E24" s="240" t="s">
        <v>490</v>
      </c>
      <c r="F24" s="241" t="s">
        <v>491</v>
      </c>
      <c r="G24" s="242">
        <v>70</v>
      </c>
      <c r="H24" s="237">
        <v>1</v>
      </c>
      <c r="I24" s="237">
        <f>G24*H24</f>
        <v>70</v>
      </c>
      <c r="J24" s="243">
        <v>1.25</v>
      </c>
      <c r="K24" s="244">
        <v>88</v>
      </c>
      <c r="L24" s="237">
        <v>0</v>
      </c>
      <c r="M24" s="237"/>
      <c r="N24" s="244">
        <f>K24-L24</f>
        <v>88</v>
      </c>
      <c r="O24" s="237">
        <f t="shared" si="22"/>
        <v>88</v>
      </c>
      <c r="P24" s="231"/>
      <c r="Q24" s="231"/>
      <c r="R24" s="231"/>
      <c r="S24" s="231"/>
      <c r="T24" s="73"/>
    </row>
    <row r="25" spans="3:20" s="1" customFormat="1" x14ac:dyDescent="0.35">
      <c r="C25" s="61"/>
      <c r="D25" s="70"/>
      <c r="E25" s="286" t="s">
        <v>184</v>
      </c>
      <c r="F25" s="286"/>
      <c r="G25" s="109">
        <f>G21</f>
        <v>21650</v>
      </c>
      <c r="H25" s="112">
        <f>I25/G25</f>
        <v>7.3043418013856813</v>
      </c>
      <c r="I25" s="109">
        <f>SUM(I21:I24)</f>
        <v>158139</v>
      </c>
      <c r="J25" s="112">
        <f>K25/I25</f>
        <v>0.42599216512055854</v>
      </c>
      <c r="K25" s="109">
        <f>SUM(K21:K24)</f>
        <v>67365.975000000006</v>
      </c>
      <c r="L25" s="109">
        <f>SUM(L21:L24)</f>
        <v>67277.975000000006</v>
      </c>
      <c r="M25" s="109">
        <f t="shared" ref="M25:S25" si="25">SUM(M21:M23)</f>
        <v>0</v>
      </c>
      <c r="N25" s="109">
        <f>SUM(N21:N24)</f>
        <v>88</v>
      </c>
      <c r="O25" s="109">
        <f>SUM(O21:O24)</f>
        <v>88</v>
      </c>
      <c r="P25" s="109">
        <f t="shared" si="25"/>
        <v>56533.631999999998</v>
      </c>
      <c r="Q25" s="109">
        <f t="shared" si="25"/>
        <v>10744.342999999999</v>
      </c>
      <c r="R25" s="109">
        <f t="shared" si="25"/>
        <v>0</v>
      </c>
      <c r="S25" s="109">
        <f t="shared" si="25"/>
        <v>10744.342999999999</v>
      </c>
      <c r="T25" s="124"/>
    </row>
    <row r="26" spans="3:20" s="2" customFormat="1" ht="35.25" customHeight="1" x14ac:dyDescent="0.35">
      <c r="C26" s="279" t="s">
        <v>264</v>
      </c>
      <c r="D26" s="279"/>
      <c r="E26" s="280" t="s">
        <v>264</v>
      </c>
      <c r="F26" s="281"/>
      <c r="G26" s="281"/>
      <c r="H26" s="281"/>
      <c r="I26" s="281"/>
      <c r="J26" s="281"/>
      <c r="K26" s="281"/>
      <c r="L26" s="281"/>
      <c r="M26" s="281"/>
      <c r="N26" s="281"/>
      <c r="O26" s="281"/>
      <c r="P26" s="281"/>
      <c r="Q26" s="281"/>
      <c r="R26" s="281"/>
      <c r="S26" s="282"/>
      <c r="T26" s="124"/>
    </row>
    <row r="27" spans="3:20" s="1" customFormat="1" ht="101.5" x14ac:dyDescent="0.35">
      <c r="C27" s="221" t="s">
        <v>334</v>
      </c>
      <c r="D27" s="221" t="s">
        <v>324</v>
      </c>
      <c r="E27" s="222" t="s">
        <v>335</v>
      </c>
      <c r="F27" s="62" t="s">
        <v>336</v>
      </c>
      <c r="G27" s="50">
        <f>Assumptions!D34+Assumptions!D35</f>
        <v>159490</v>
      </c>
      <c r="H27" s="50">
        <v>3</v>
      </c>
      <c r="I27" s="50">
        <f t="shared" ref="I27" si="26">G27*H27</f>
        <v>478470</v>
      </c>
      <c r="J27" s="50">
        <v>1</v>
      </c>
      <c r="K27" s="50">
        <f t="shared" ref="K27" si="27">I27*J27</f>
        <v>478470</v>
      </c>
      <c r="L27" s="50">
        <f>K27</f>
        <v>478470</v>
      </c>
      <c r="M27" s="50"/>
      <c r="N27" s="50">
        <f>K27-L27</f>
        <v>0</v>
      </c>
      <c r="O27" s="50">
        <f t="shared" ref="O27:O28" si="28">M27+N27</f>
        <v>0</v>
      </c>
      <c r="P27" s="50">
        <v>542220</v>
      </c>
      <c r="Q27" s="50">
        <f>K27-P27</f>
        <v>-63750</v>
      </c>
      <c r="R27" s="29"/>
      <c r="S27" s="50">
        <f t="shared" ref="S27" si="29">Q27+R27</f>
        <v>-63750</v>
      </c>
      <c r="T27" s="52"/>
    </row>
    <row r="28" spans="3:20" s="1" customFormat="1" ht="43.5" x14ac:dyDescent="0.35">
      <c r="C28" s="234"/>
      <c r="D28" s="234"/>
      <c r="E28" s="235" t="s">
        <v>490</v>
      </c>
      <c r="F28" s="236" t="s">
        <v>492</v>
      </c>
      <c r="G28" s="237">
        <v>540</v>
      </c>
      <c r="H28" s="237">
        <v>1</v>
      </c>
      <c r="I28" s="237">
        <f>G28*H28</f>
        <v>540</v>
      </c>
      <c r="J28" s="244">
        <v>1.25</v>
      </c>
      <c r="K28" s="237">
        <f>I28*J28</f>
        <v>675</v>
      </c>
      <c r="L28" s="237">
        <v>0</v>
      </c>
      <c r="M28" s="237"/>
      <c r="N28" s="237">
        <f>K28-L28</f>
        <v>675</v>
      </c>
      <c r="O28" s="237">
        <f t="shared" si="28"/>
        <v>675</v>
      </c>
      <c r="P28" s="232"/>
      <c r="Q28" s="232"/>
      <c r="R28" s="233"/>
      <c r="S28" s="232"/>
      <c r="T28" s="52"/>
    </row>
    <row r="29" spans="3:20" s="1" customFormat="1" x14ac:dyDescent="0.35">
      <c r="C29" s="62"/>
      <c r="D29" s="62"/>
      <c r="E29" s="286" t="s">
        <v>184</v>
      </c>
      <c r="F29" s="286"/>
      <c r="G29" s="109">
        <f>G27</f>
        <v>159490</v>
      </c>
      <c r="H29" s="112">
        <f>I29/G29</f>
        <v>3.0033857922126779</v>
      </c>
      <c r="I29" s="109">
        <f>SUM(I27:I28)</f>
        <v>479010</v>
      </c>
      <c r="J29" s="112">
        <f>K29/I29</f>
        <v>1.0002818312770088</v>
      </c>
      <c r="K29" s="109">
        <f>SUM(K27:K28)</f>
        <v>479145</v>
      </c>
      <c r="L29" s="109">
        <f t="shared" ref="L29:O29" si="30">SUM(L27:L28)</f>
        <v>478470</v>
      </c>
      <c r="M29" s="109">
        <f t="shared" si="30"/>
        <v>0</v>
      </c>
      <c r="N29" s="109">
        <f t="shared" si="30"/>
        <v>675</v>
      </c>
      <c r="O29" s="109">
        <f t="shared" si="30"/>
        <v>675</v>
      </c>
      <c r="P29" s="109">
        <f t="shared" ref="P29:S29" si="31">P27</f>
        <v>542220</v>
      </c>
      <c r="Q29" s="109">
        <f t="shared" si="31"/>
        <v>-63750</v>
      </c>
      <c r="R29" s="109">
        <f t="shared" si="31"/>
        <v>0</v>
      </c>
      <c r="S29" s="109">
        <f t="shared" si="31"/>
        <v>-63750</v>
      </c>
      <c r="T29" s="124"/>
    </row>
    <row r="30" spans="3:20" s="1" customFormat="1" x14ac:dyDescent="0.35">
      <c r="C30" s="278" t="s">
        <v>279</v>
      </c>
      <c r="D30" s="278"/>
      <c r="E30" s="278"/>
      <c r="F30" s="278"/>
      <c r="G30" s="13">
        <f>G25+G29</f>
        <v>181140</v>
      </c>
      <c r="H30" s="17">
        <f>I30/G30</f>
        <v>3.5174395495197084</v>
      </c>
      <c r="I30" s="17">
        <f>I25+I29</f>
        <v>637149</v>
      </c>
      <c r="J30" s="17">
        <f>K30/I30</f>
        <v>0.85774438161246425</v>
      </c>
      <c r="K30" s="17">
        <f t="shared" ref="K30:S30" si="32">K25+K29</f>
        <v>546510.97499999998</v>
      </c>
      <c r="L30" s="17">
        <f>L25+L29</f>
        <v>545747.97499999998</v>
      </c>
      <c r="M30" s="17">
        <f t="shared" si="32"/>
        <v>0</v>
      </c>
      <c r="N30" s="17">
        <f t="shared" si="32"/>
        <v>763</v>
      </c>
      <c r="O30" s="17">
        <f t="shared" si="32"/>
        <v>763</v>
      </c>
      <c r="P30" s="17">
        <f t="shared" si="32"/>
        <v>598753.63199999998</v>
      </c>
      <c r="Q30" s="17">
        <f t="shared" si="32"/>
        <v>-53005.656999999999</v>
      </c>
      <c r="R30" s="17">
        <f t="shared" si="32"/>
        <v>0</v>
      </c>
      <c r="S30" s="17">
        <f t="shared" si="32"/>
        <v>-53005.656999999999</v>
      </c>
      <c r="T30" s="124"/>
    </row>
    <row r="33" spans="5:19" x14ac:dyDescent="0.35">
      <c r="E33" s="122"/>
      <c r="F33" s="74"/>
      <c r="G33" s="74"/>
      <c r="H33" s="74"/>
      <c r="I33" s="74"/>
      <c r="J33" s="74"/>
      <c r="K33" s="74"/>
      <c r="L33" s="271" t="s">
        <v>4</v>
      </c>
      <c r="M33" s="271"/>
      <c r="N33" s="271"/>
      <c r="O33" s="271"/>
      <c r="P33" s="272" t="s">
        <v>5</v>
      </c>
      <c r="Q33" s="272"/>
      <c r="R33" s="272"/>
      <c r="S33" s="272"/>
    </row>
    <row r="34" spans="5:19" ht="43.5" x14ac:dyDescent="0.35">
      <c r="E34" s="122"/>
      <c r="F34" s="259" t="s">
        <v>337</v>
      </c>
      <c r="G34" s="6" t="s">
        <v>8</v>
      </c>
      <c r="H34" s="7" t="s">
        <v>9</v>
      </c>
      <c r="I34" s="10" t="s">
        <v>10</v>
      </c>
      <c r="J34" s="21" t="s">
        <v>11</v>
      </c>
      <c r="K34" s="21" t="s">
        <v>12</v>
      </c>
      <c r="L34" s="21" t="s">
        <v>13</v>
      </c>
      <c r="M34" s="21" t="s">
        <v>14</v>
      </c>
      <c r="N34" s="21" t="s">
        <v>15</v>
      </c>
      <c r="O34" s="21" t="s">
        <v>16</v>
      </c>
      <c r="P34" s="21" t="s">
        <v>13</v>
      </c>
      <c r="Q34" s="21" t="s">
        <v>14</v>
      </c>
      <c r="R34" s="21" t="s">
        <v>15</v>
      </c>
      <c r="S34" s="21" t="s">
        <v>16</v>
      </c>
    </row>
    <row r="35" spans="5:19" x14ac:dyDescent="0.35">
      <c r="E35" s="122"/>
      <c r="F35" s="259"/>
      <c r="G35" s="8" t="s">
        <v>18</v>
      </c>
      <c r="H35" s="8" t="s">
        <v>19</v>
      </c>
      <c r="I35" s="8" t="s">
        <v>338</v>
      </c>
      <c r="J35" s="75" t="s">
        <v>21</v>
      </c>
      <c r="K35" s="75" t="s">
        <v>22</v>
      </c>
      <c r="L35" s="75" t="s">
        <v>23</v>
      </c>
      <c r="M35" s="75" t="s">
        <v>297</v>
      </c>
      <c r="N35" s="75" t="s">
        <v>25</v>
      </c>
      <c r="O35" s="75" t="s">
        <v>339</v>
      </c>
      <c r="P35" s="75" t="s">
        <v>23</v>
      </c>
      <c r="Q35" s="75" t="s">
        <v>297</v>
      </c>
      <c r="R35" s="75" t="s">
        <v>25</v>
      </c>
      <c r="S35" s="75" t="s">
        <v>339</v>
      </c>
    </row>
    <row r="36" spans="5:19" x14ac:dyDescent="0.35">
      <c r="E36" s="122"/>
      <c r="F36" s="245" t="s">
        <v>303</v>
      </c>
      <c r="G36" s="246">
        <f t="shared" ref="G36:M36" si="33">G18</f>
        <v>3847</v>
      </c>
      <c r="H36" s="247">
        <f t="shared" si="33"/>
        <v>7.0101377696906679</v>
      </c>
      <c r="I36" s="247">
        <f t="shared" si="33"/>
        <v>26968</v>
      </c>
      <c r="J36" s="247">
        <f t="shared" si="33"/>
        <v>0.75139702610501335</v>
      </c>
      <c r="K36" s="247">
        <f t="shared" si="33"/>
        <v>20263.674999999999</v>
      </c>
      <c r="L36" s="247">
        <f t="shared" si="33"/>
        <v>20263.674999999999</v>
      </c>
      <c r="M36" s="247">
        <f t="shared" si="33"/>
        <v>0</v>
      </c>
      <c r="N36" s="247">
        <f t="shared" ref="N36" si="34">N18</f>
        <v>0</v>
      </c>
      <c r="O36" s="247">
        <f>O18</f>
        <v>0</v>
      </c>
      <c r="P36" s="65">
        <f t="shared" ref="P36:R36" si="35">P18</f>
        <v>11970.368</v>
      </c>
      <c r="Q36" s="65">
        <f t="shared" si="35"/>
        <v>2917.3070000000012</v>
      </c>
      <c r="R36" s="65">
        <f t="shared" si="35"/>
        <v>5376</v>
      </c>
      <c r="S36" s="65">
        <f>S18</f>
        <v>8293.3070000000007</v>
      </c>
    </row>
    <row r="37" spans="5:19" x14ac:dyDescent="0.35">
      <c r="E37" s="122"/>
      <c r="F37" s="248" t="s">
        <v>304</v>
      </c>
      <c r="G37" s="246">
        <f t="shared" ref="G37:M37" si="36">G30</f>
        <v>181140</v>
      </c>
      <c r="H37" s="247">
        <f t="shared" si="36"/>
        <v>3.5174395495197084</v>
      </c>
      <c r="I37" s="247">
        <f t="shared" si="36"/>
        <v>637149</v>
      </c>
      <c r="J37" s="247">
        <f t="shared" si="36"/>
        <v>0.85774438161246425</v>
      </c>
      <c r="K37" s="247">
        <f t="shared" si="36"/>
        <v>546510.97499999998</v>
      </c>
      <c r="L37" s="247">
        <f t="shared" si="36"/>
        <v>545747.97499999998</v>
      </c>
      <c r="M37" s="247">
        <f t="shared" si="36"/>
        <v>0</v>
      </c>
      <c r="N37" s="247">
        <f t="shared" ref="N37" si="37">N30</f>
        <v>763</v>
      </c>
      <c r="O37" s="247">
        <f>O30</f>
        <v>763</v>
      </c>
      <c r="P37" s="65">
        <f t="shared" ref="P37:R37" si="38">P30</f>
        <v>598753.63199999998</v>
      </c>
      <c r="Q37" s="65">
        <f t="shared" si="38"/>
        <v>-53005.656999999999</v>
      </c>
      <c r="R37" s="65">
        <f t="shared" si="38"/>
        <v>0</v>
      </c>
      <c r="S37" s="65">
        <f>S30</f>
        <v>-53005.656999999999</v>
      </c>
    </row>
    <row r="38" spans="5:19" x14ac:dyDescent="0.35">
      <c r="E38" s="122"/>
      <c r="F38" s="248" t="s">
        <v>340</v>
      </c>
      <c r="G38" s="249">
        <f>SUM(G36:G37)</f>
        <v>184987</v>
      </c>
      <c r="H38" s="250">
        <f>I38/G38</f>
        <v>3.5900738970846602</v>
      </c>
      <c r="I38" s="251">
        <f>SUM(I36:I37)</f>
        <v>664117</v>
      </c>
      <c r="J38" s="250">
        <f>K38/I38</f>
        <v>0.85342590236358962</v>
      </c>
      <c r="K38" s="251">
        <f t="shared" ref="K38:S38" si="39">SUM(K36:K37)</f>
        <v>566774.65</v>
      </c>
      <c r="L38" s="251">
        <f t="shared" si="39"/>
        <v>566011.65</v>
      </c>
      <c r="M38" s="251">
        <f t="shared" si="39"/>
        <v>0</v>
      </c>
      <c r="N38" s="251">
        <f t="shared" si="39"/>
        <v>763</v>
      </c>
      <c r="O38" s="251">
        <f t="shared" si="39"/>
        <v>763</v>
      </c>
      <c r="P38" s="67">
        <f t="shared" si="39"/>
        <v>610724</v>
      </c>
      <c r="Q38" s="67">
        <f t="shared" si="39"/>
        <v>-50088.35</v>
      </c>
      <c r="R38" s="67">
        <f t="shared" si="39"/>
        <v>5376</v>
      </c>
      <c r="S38" s="67">
        <f t="shared" si="39"/>
        <v>-44712.35</v>
      </c>
    </row>
    <row r="39" spans="5:19" x14ac:dyDescent="0.35">
      <c r="E39" s="122"/>
    </row>
    <row r="40" spans="5:19" x14ac:dyDescent="0.35">
      <c r="E40" s="122"/>
    </row>
    <row r="41" spans="5:19" x14ac:dyDescent="0.35">
      <c r="E41" s="122"/>
    </row>
    <row r="42" spans="5:19" x14ac:dyDescent="0.35">
      <c r="E42" s="122"/>
      <c r="F42"/>
      <c r="G42"/>
      <c r="H42"/>
      <c r="I42"/>
      <c r="J42"/>
      <c r="K42"/>
      <c r="L42"/>
      <c r="M42"/>
      <c r="N42"/>
      <c r="O42"/>
      <c r="P42"/>
      <c r="Q42"/>
      <c r="R42"/>
      <c r="S42"/>
    </row>
    <row r="43" spans="5:19" x14ac:dyDescent="0.35">
      <c r="E43" s="122"/>
      <c r="F43"/>
      <c r="G43"/>
      <c r="H43"/>
      <c r="I43"/>
      <c r="J43"/>
      <c r="K43"/>
      <c r="L43"/>
      <c r="M43"/>
      <c r="N43"/>
      <c r="O43"/>
      <c r="P43"/>
      <c r="Q43"/>
      <c r="R43"/>
      <c r="S43"/>
    </row>
    <row r="44" spans="5:19" x14ac:dyDescent="0.35">
      <c r="E44" s="122"/>
      <c r="F44"/>
      <c r="G44"/>
      <c r="H44"/>
      <c r="I44"/>
      <c r="J44"/>
      <c r="K44"/>
      <c r="L44"/>
      <c r="M44"/>
      <c r="N44"/>
      <c r="O44"/>
      <c r="P44"/>
      <c r="Q44"/>
      <c r="R44"/>
      <c r="S44"/>
    </row>
    <row r="45" spans="5:19" x14ac:dyDescent="0.35">
      <c r="E45" s="122"/>
      <c r="F45"/>
      <c r="G45"/>
      <c r="H45"/>
      <c r="I45"/>
      <c r="J45"/>
      <c r="K45"/>
      <c r="L45"/>
      <c r="M45"/>
      <c r="N45"/>
      <c r="O45"/>
      <c r="P45"/>
      <c r="Q45"/>
      <c r="R45"/>
      <c r="S45"/>
    </row>
    <row r="46" spans="5:19" x14ac:dyDescent="0.35">
      <c r="E46" s="122"/>
      <c r="F46"/>
      <c r="G46"/>
      <c r="H46"/>
      <c r="I46"/>
      <c r="J46"/>
      <c r="K46"/>
      <c r="L46"/>
      <c r="M46"/>
      <c r="N46"/>
      <c r="O46"/>
      <c r="P46"/>
      <c r="Q46"/>
      <c r="R46"/>
      <c r="S46"/>
    </row>
    <row r="47" spans="5:19" x14ac:dyDescent="0.35">
      <c r="E47" s="122"/>
      <c r="F47"/>
      <c r="G47"/>
      <c r="H47"/>
      <c r="I47"/>
      <c r="J47"/>
      <c r="K47"/>
      <c r="L47"/>
      <c r="M47"/>
      <c r="N47"/>
      <c r="O47"/>
      <c r="P47"/>
      <c r="Q47"/>
      <c r="R47"/>
      <c r="S47"/>
    </row>
    <row r="48" spans="5:19" x14ac:dyDescent="0.35">
      <c r="E48" s="122"/>
      <c r="F48"/>
      <c r="G48"/>
      <c r="H48"/>
      <c r="I48"/>
      <c r="J48"/>
      <c r="K48"/>
      <c r="L48"/>
      <c r="M48"/>
      <c r="N48"/>
      <c r="O48"/>
      <c r="P48"/>
      <c r="Q48"/>
      <c r="R48"/>
      <c r="S48"/>
    </row>
    <row r="49" spans="5:19" x14ac:dyDescent="0.35">
      <c r="E49" s="122"/>
      <c r="F49"/>
      <c r="G49"/>
      <c r="H49"/>
      <c r="I49"/>
      <c r="J49"/>
      <c r="K49"/>
      <c r="L49"/>
      <c r="M49"/>
      <c r="N49"/>
      <c r="O49"/>
      <c r="P49"/>
      <c r="Q49"/>
      <c r="R49"/>
      <c r="S49"/>
    </row>
    <row r="50" spans="5:19" x14ac:dyDescent="0.35">
      <c r="E50" s="122"/>
      <c r="F50"/>
      <c r="G50"/>
      <c r="H50"/>
      <c r="I50"/>
      <c r="J50"/>
      <c r="K50"/>
      <c r="L50"/>
      <c r="M50"/>
      <c r="N50"/>
      <c r="O50"/>
      <c r="P50"/>
      <c r="Q50"/>
      <c r="R50"/>
      <c r="S50"/>
    </row>
    <row r="51" spans="5:19" x14ac:dyDescent="0.35">
      <c r="E51" s="122"/>
      <c r="F51"/>
      <c r="G51"/>
      <c r="H51"/>
      <c r="I51"/>
      <c r="J51"/>
      <c r="K51"/>
      <c r="L51"/>
      <c r="M51"/>
      <c r="N51"/>
      <c r="O51"/>
      <c r="P51"/>
      <c r="Q51"/>
      <c r="R51"/>
      <c r="S51"/>
    </row>
  </sheetData>
  <mergeCells count="27">
    <mergeCell ref="C1:N1"/>
    <mergeCell ref="E12:F12"/>
    <mergeCell ref="E17:F17"/>
    <mergeCell ref="E29:F29"/>
    <mergeCell ref="E25:F25"/>
    <mergeCell ref="C6:D6"/>
    <mergeCell ref="C13:D13"/>
    <mergeCell ref="C7:D7"/>
    <mergeCell ref="E7:S7"/>
    <mergeCell ref="E13:S13"/>
    <mergeCell ref="C3:D3"/>
    <mergeCell ref="E3:F3"/>
    <mergeCell ref="L3:O3"/>
    <mergeCell ref="P3:S3"/>
    <mergeCell ref="T4:T5"/>
    <mergeCell ref="F34:F35"/>
    <mergeCell ref="C30:F30"/>
    <mergeCell ref="C18:F18"/>
    <mergeCell ref="C19:D19"/>
    <mergeCell ref="C26:D26"/>
    <mergeCell ref="C20:D20"/>
    <mergeCell ref="E19:S19"/>
    <mergeCell ref="E20:S20"/>
    <mergeCell ref="E26:S26"/>
    <mergeCell ref="E6:S6"/>
    <mergeCell ref="L33:O33"/>
    <mergeCell ref="P33:S33"/>
  </mergeCells>
  <printOptions horizontalCentered="1"/>
  <pageMargins left="0.2" right="0.2" top="0.75" bottom="0.5" header="0.3" footer="0.3"/>
  <pageSetup paperSize="5" scale="34" fitToHeight="0" orientation="landscape" r:id="rId1"/>
  <headerFooter>
    <oddHeader>&amp;C&amp;"-,Bold"&amp;14Appendix I: Estimates of the Hour Burden of the Collection of Information Reporting – OMB Control Number 0584-0055
RECORDKEEPING</oddHeader>
    <oddFooter>&amp;CPage &amp;P</oddFooter>
  </headerFooter>
  <ignoredErrors>
    <ignoredError sqref="K38 I38:J38 H38 J25 J17:K17 K18 I17:I18 H18 H29:H30 J29:J30 K30 I12:K12 I30"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C1:T24"/>
  <sheetViews>
    <sheetView showGridLines="0" zoomScale="70" zoomScaleNormal="70" zoomScalePageLayoutView="75" workbookViewId="0">
      <selection activeCell="I18" sqref="I18"/>
    </sheetView>
  </sheetViews>
  <sheetFormatPr defaultColWidth="9.453125" defaultRowHeight="14.5" x14ac:dyDescent="0.35"/>
  <cols>
    <col min="2" max="2" width="7.54296875" customWidth="1"/>
    <col min="3" max="3" width="28.453125" customWidth="1"/>
    <col min="4" max="4" width="40" customWidth="1"/>
    <col min="5" max="5" width="26.81640625" bestFit="1" customWidth="1"/>
    <col min="6" max="6" width="49" customWidth="1"/>
    <col min="7" max="7" width="17.81640625" style="4" customWidth="1"/>
    <col min="8" max="9" width="17.1796875" style="4" customWidth="1"/>
    <col min="10" max="10" width="23.453125" style="16" customWidth="1"/>
    <col min="11" max="11" width="17.1796875" style="16" customWidth="1"/>
    <col min="12" max="12" width="19" style="16" customWidth="1"/>
    <col min="13" max="13" width="22.26953125" style="16" customWidth="1"/>
    <col min="14" max="14" width="23" style="16" customWidth="1"/>
    <col min="15" max="15" width="17.1796875" style="16" customWidth="1"/>
    <col min="16" max="16" width="19" style="16" customWidth="1"/>
    <col min="17" max="17" width="22.26953125" style="16" customWidth="1"/>
    <col min="18" max="18" width="23" style="16" customWidth="1"/>
    <col min="19" max="19" width="17.1796875" style="16" customWidth="1"/>
    <col min="20" max="20" width="39.453125" customWidth="1"/>
  </cols>
  <sheetData>
    <row r="1" spans="3:20" ht="50.15" customHeight="1" x14ac:dyDescent="0.35">
      <c r="C1" s="274" t="s">
        <v>1</v>
      </c>
      <c r="D1" s="274"/>
      <c r="E1" s="274"/>
      <c r="F1" s="274"/>
      <c r="G1" s="274"/>
      <c r="H1" s="274"/>
      <c r="I1" s="274"/>
      <c r="J1" s="274"/>
      <c r="K1" s="274"/>
      <c r="L1" s="274"/>
      <c r="M1" s="274"/>
      <c r="N1" s="274"/>
      <c r="O1" s="274"/>
      <c r="P1" s="226"/>
      <c r="Q1" s="226"/>
      <c r="R1" s="226"/>
      <c r="S1" s="226"/>
    </row>
    <row r="4" spans="3:20" x14ac:dyDescent="0.35">
      <c r="C4" s="288" t="s">
        <v>2</v>
      </c>
      <c r="D4" s="275"/>
      <c r="E4" s="289" t="s">
        <v>3</v>
      </c>
      <c r="F4" s="289"/>
      <c r="L4" s="271" t="s">
        <v>4</v>
      </c>
      <c r="M4" s="271"/>
      <c r="N4" s="271"/>
      <c r="O4" s="271"/>
      <c r="P4" s="272" t="s">
        <v>5</v>
      </c>
      <c r="Q4" s="272"/>
      <c r="R4" s="272"/>
      <c r="S4" s="272"/>
    </row>
    <row r="5" spans="3:20" s="2" customFormat="1" ht="56.15" customHeight="1" x14ac:dyDescent="0.35">
      <c r="C5" s="223" t="s">
        <v>307</v>
      </c>
      <c r="D5" s="223" t="s">
        <v>7</v>
      </c>
      <c r="E5" s="223" t="s">
        <v>6</v>
      </c>
      <c r="F5" s="60" t="s">
        <v>7</v>
      </c>
      <c r="G5" s="6" t="s">
        <v>8</v>
      </c>
      <c r="H5" s="7" t="s">
        <v>9</v>
      </c>
      <c r="I5" s="10" t="s">
        <v>10</v>
      </c>
      <c r="J5" s="21" t="s">
        <v>11</v>
      </c>
      <c r="K5" s="21" t="s">
        <v>12</v>
      </c>
      <c r="L5" s="21" t="s">
        <v>13</v>
      </c>
      <c r="M5" s="21" t="s">
        <v>14</v>
      </c>
      <c r="N5" s="21" t="s">
        <v>15</v>
      </c>
      <c r="O5" s="21" t="s">
        <v>16</v>
      </c>
      <c r="P5" s="21" t="s">
        <v>13</v>
      </c>
      <c r="Q5" s="21" t="s">
        <v>14</v>
      </c>
      <c r="R5" s="21" t="s">
        <v>15</v>
      </c>
      <c r="S5" s="21" t="s">
        <v>16</v>
      </c>
      <c r="T5" s="258" t="s">
        <v>17</v>
      </c>
    </row>
    <row r="6" spans="3:20" s="2" customFormat="1" ht="21" customHeight="1" x14ac:dyDescent="0.35">
      <c r="C6" s="27"/>
      <c r="D6" s="224"/>
      <c r="E6" s="27" t="s">
        <v>18</v>
      </c>
      <c r="F6" s="27" t="s">
        <v>19</v>
      </c>
      <c r="G6" s="224" t="s">
        <v>20</v>
      </c>
      <c r="H6" s="8" t="s">
        <v>21</v>
      </c>
      <c r="I6" s="11" t="s">
        <v>22</v>
      </c>
      <c r="J6" s="22" t="s">
        <v>23</v>
      </c>
      <c r="K6" s="22" t="s">
        <v>24</v>
      </c>
      <c r="L6" s="22" t="s">
        <v>25</v>
      </c>
      <c r="M6" s="22" t="s">
        <v>26</v>
      </c>
      <c r="N6" s="22" t="s">
        <v>308</v>
      </c>
      <c r="O6" s="22" t="s">
        <v>309</v>
      </c>
      <c r="P6" s="22" t="s">
        <v>310</v>
      </c>
      <c r="Q6" s="22" t="s">
        <v>311</v>
      </c>
      <c r="R6" s="22" t="s">
        <v>312</v>
      </c>
      <c r="S6" s="22" t="s">
        <v>313</v>
      </c>
      <c r="T6" s="258"/>
    </row>
    <row r="7" spans="3:20" ht="35.25" customHeight="1" x14ac:dyDescent="0.35">
      <c r="C7" s="287" t="s">
        <v>29</v>
      </c>
      <c r="D7" s="287"/>
      <c r="E7" s="287" t="s">
        <v>29</v>
      </c>
      <c r="F7" s="287"/>
      <c r="G7" s="287"/>
      <c r="H7" s="287"/>
      <c r="I7" s="287"/>
      <c r="J7" s="287"/>
      <c r="K7" s="287"/>
      <c r="L7" s="287"/>
      <c r="M7" s="287"/>
      <c r="N7" s="287"/>
      <c r="O7" s="287"/>
      <c r="P7" s="225"/>
      <c r="Q7" s="225"/>
      <c r="R7" s="225"/>
      <c r="S7" s="225"/>
      <c r="T7" s="72"/>
    </row>
    <row r="8" spans="3:20" ht="35.25" customHeight="1" x14ac:dyDescent="0.35">
      <c r="C8" s="287" t="s">
        <v>30</v>
      </c>
      <c r="D8" s="287"/>
      <c r="E8" s="287" t="s">
        <v>30</v>
      </c>
      <c r="F8" s="287"/>
      <c r="G8" s="287"/>
      <c r="H8" s="287"/>
      <c r="I8" s="287"/>
      <c r="J8" s="287"/>
      <c r="K8" s="287"/>
      <c r="L8" s="287"/>
      <c r="M8" s="287"/>
      <c r="N8" s="287"/>
      <c r="O8" s="287"/>
      <c r="P8" s="225"/>
      <c r="Q8" s="225"/>
      <c r="R8" s="225"/>
      <c r="S8" s="225"/>
      <c r="T8" s="72"/>
    </row>
    <row r="9" spans="3:20" s="1" customFormat="1" ht="108.65" customHeight="1" x14ac:dyDescent="0.35">
      <c r="C9" s="176"/>
      <c r="D9" s="176"/>
      <c r="E9" s="166" t="s">
        <v>341</v>
      </c>
      <c r="F9" s="166" t="s">
        <v>342</v>
      </c>
      <c r="G9" s="168">
        <f>ROUND(Assumptions!D10*0.5,0)</f>
        <v>28</v>
      </c>
      <c r="H9" s="168">
        <v>1</v>
      </c>
      <c r="I9" s="168">
        <f>G9*H9</f>
        <v>28</v>
      </c>
      <c r="J9" s="172">
        <v>0.25</v>
      </c>
      <c r="K9" s="168">
        <f>I9*J9</f>
        <v>7</v>
      </c>
      <c r="L9" s="168">
        <f>K9</f>
        <v>7</v>
      </c>
      <c r="M9" s="168"/>
      <c r="N9" s="168">
        <f>K9-L9</f>
        <v>0</v>
      </c>
      <c r="O9" s="168">
        <f>M9+N9</f>
        <v>0</v>
      </c>
      <c r="P9" s="168">
        <v>0</v>
      </c>
      <c r="Q9" s="168"/>
      <c r="R9" s="168">
        <f>K9-P9</f>
        <v>7</v>
      </c>
      <c r="S9" s="168">
        <f>Q9+R9</f>
        <v>7</v>
      </c>
      <c r="T9" s="175"/>
    </row>
    <row r="10" spans="3:20" ht="35.25" customHeight="1" x14ac:dyDescent="0.35">
      <c r="C10" s="287" t="s">
        <v>185</v>
      </c>
      <c r="D10" s="287"/>
      <c r="E10" s="287" t="s">
        <v>185</v>
      </c>
      <c r="F10" s="287"/>
      <c r="G10" s="287"/>
      <c r="H10" s="287"/>
      <c r="I10" s="287"/>
      <c r="J10" s="287"/>
      <c r="K10" s="287"/>
      <c r="L10" s="287"/>
      <c r="M10" s="287"/>
      <c r="N10" s="287"/>
      <c r="O10" s="287"/>
      <c r="P10" s="225"/>
      <c r="Q10" s="225"/>
      <c r="R10" s="225"/>
      <c r="S10" s="225"/>
      <c r="T10" s="72"/>
    </row>
    <row r="11" spans="3:20" s="1" customFormat="1" ht="101.5" customHeight="1" x14ac:dyDescent="0.35">
      <c r="C11" s="176"/>
      <c r="D11" s="176"/>
      <c r="E11" s="166" t="s">
        <v>341</v>
      </c>
      <c r="F11" s="166" t="s">
        <v>343</v>
      </c>
      <c r="G11" s="168">
        <f>ROUND(ROUND(Assumptions!$D$25*Assumptions!D21,0)*0.5,0)</f>
        <v>1629</v>
      </c>
      <c r="H11" s="168">
        <v>1</v>
      </c>
      <c r="I11" s="168">
        <f>G11*H11</f>
        <v>1629</v>
      </c>
      <c r="J11" s="172">
        <v>0.25</v>
      </c>
      <c r="K11" s="172">
        <f>I11*J11</f>
        <v>407.25</v>
      </c>
      <c r="L11" s="168">
        <f>K11</f>
        <v>407.25</v>
      </c>
      <c r="M11" s="168"/>
      <c r="N11" s="172">
        <f>K11-L11</f>
        <v>0</v>
      </c>
      <c r="O11" s="172">
        <f>M11+N11</f>
        <v>0</v>
      </c>
      <c r="P11" s="168">
        <v>0</v>
      </c>
      <c r="Q11" s="172"/>
      <c r="R11" s="172">
        <f>K11-P11</f>
        <v>407.25</v>
      </c>
      <c r="S11" s="172">
        <f>Q11+R11</f>
        <v>407.25</v>
      </c>
      <c r="T11" s="175"/>
    </row>
    <row r="12" spans="3:20" ht="22.5" customHeight="1" x14ac:dyDescent="0.35">
      <c r="C12" s="290" t="s">
        <v>248</v>
      </c>
      <c r="D12" s="290"/>
      <c r="E12" s="290"/>
      <c r="F12" s="290"/>
      <c r="G12" s="13">
        <f>G9+G11</f>
        <v>1657</v>
      </c>
      <c r="H12" s="17">
        <f>I12/G12</f>
        <v>1</v>
      </c>
      <c r="I12" s="17">
        <f>I9+I11</f>
        <v>1657</v>
      </c>
      <c r="J12" s="133">
        <f>K12/I12</f>
        <v>0.25</v>
      </c>
      <c r="K12" s="17">
        <f t="shared" ref="K12:S12" si="0">K9+K11</f>
        <v>414.25</v>
      </c>
      <c r="L12" s="17">
        <f t="shared" si="0"/>
        <v>414.25</v>
      </c>
      <c r="M12" s="17">
        <f t="shared" si="0"/>
        <v>0</v>
      </c>
      <c r="N12" s="17">
        <f t="shared" si="0"/>
        <v>0</v>
      </c>
      <c r="O12" s="17">
        <f t="shared" si="0"/>
        <v>0</v>
      </c>
      <c r="P12" s="17">
        <f t="shared" si="0"/>
        <v>0</v>
      </c>
      <c r="Q12" s="17">
        <f t="shared" si="0"/>
        <v>0</v>
      </c>
      <c r="R12" s="17">
        <f t="shared" si="0"/>
        <v>414.25</v>
      </c>
      <c r="S12" s="17">
        <f t="shared" si="0"/>
        <v>414.25</v>
      </c>
      <c r="T12" s="14"/>
    </row>
    <row r="13" spans="3:20" ht="35.25" customHeight="1" x14ac:dyDescent="0.35">
      <c r="C13" s="287" t="s">
        <v>249</v>
      </c>
      <c r="D13" s="287"/>
      <c r="E13" s="287" t="s">
        <v>249</v>
      </c>
      <c r="F13" s="287"/>
      <c r="G13" s="287"/>
      <c r="H13" s="287"/>
      <c r="I13" s="287"/>
      <c r="J13" s="287"/>
      <c r="K13" s="287"/>
      <c r="L13" s="287"/>
      <c r="M13" s="287"/>
      <c r="N13" s="287"/>
      <c r="O13" s="287"/>
      <c r="P13" s="225"/>
      <c r="Q13" s="225"/>
      <c r="R13" s="225"/>
      <c r="S13" s="225"/>
      <c r="T13" s="72"/>
    </row>
    <row r="14" spans="3:20" ht="35.25" customHeight="1" x14ac:dyDescent="0.35">
      <c r="C14" s="287" t="s">
        <v>250</v>
      </c>
      <c r="D14" s="287"/>
      <c r="E14" s="287" t="s">
        <v>250</v>
      </c>
      <c r="F14" s="287"/>
      <c r="G14" s="287"/>
      <c r="H14" s="287"/>
      <c r="I14" s="287"/>
      <c r="J14" s="287"/>
      <c r="K14" s="287"/>
      <c r="L14" s="287"/>
      <c r="M14" s="287"/>
      <c r="N14" s="287"/>
      <c r="O14" s="287"/>
      <c r="P14" s="225"/>
      <c r="Q14" s="225"/>
      <c r="R14" s="225"/>
      <c r="S14" s="225"/>
      <c r="T14" s="72"/>
    </row>
    <row r="15" spans="3:20" s="1" customFormat="1" ht="100.5" customHeight="1" x14ac:dyDescent="0.35">
      <c r="C15" s="176"/>
      <c r="D15" s="176"/>
      <c r="E15" s="166" t="s">
        <v>341</v>
      </c>
      <c r="F15" s="166" t="s">
        <v>343</v>
      </c>
      <c r="G15" s="168">
        <f>ROUND(ROUND(Assumptions!$D$25*Assumptions!D22,0)*0.5,0)</f>
        <v>9301</v>
      </c>
      <c r="H15" s="168">
        <v>1</v>
      </c>
      <c r="I15" s="168">
        <f>G15*H15</f>
        <v>9301</v>
      </c>
      <c r="J15" s="172">
        <v>0.25</v>
      </c>
      <c r="K15" s="172">
        <f>I15*J15</f>
        <v>2325.25</v>
      </c>
      <c r="L15" s="168">
        <f>K15</f>
        <v>2325.25</v>
      </c>
      <c r="M15" s="168"/>
      <c r="N15" s="168">
        <f>K15-L15</f>
        <v>0</v>
      </c>
      <c r="O15" s="172">
        <f>M15+N15</f>
        <v>0</v>
      </c>
      <c r="P15" s="168">
        <v>0</v>
      </c>
      <c r="Q15" s="172"/>
      <c r="R15" s="172">
        <f>K15-P15</f>
        <v>2325.25</v>
      </c>
      <c r="S15" s="172">
        <f>Q15+R15</f>
        <v>2325.25</v>
      </c>
      <c r="T15" s="175"/>
    </row>
    <row r="16" spans="3:20" ht="21" customHeight="1" x14ac:dyDescent="0.35">
      <c r="C16" s="290" t="s">
        <v>279</v>
      </c>
      <c r="D16" s="290"/>
      <c r="E16" s="290"/>
      <c r="F16" s="290"/>
      <c r="G16" s="13">
        <f>G15</f>
        <v>9301</v>
      </c>
      <c r="H16" s="17">
        <f>I16/G16</f>
        <v>1</v>
      </c>
      <c r="I16" s="13">
        <f>I15</f>
        <v>9301</v>
      </c>
      <c r="J16" s="133">
        <f>K16/I16</f>
        <v>0.25</v>
      </c>
      <c r="K16" s="17">
        <f>K15</f>
        <v>2325.25</v>
      </c>
      <c r="L16" s="17">
        <f>L15</f>
        <v>2325.25</v>
      </c>
      <c r="M16" s="17">
        <f t="shared" ref="M16:O16" si="1">M15</f>
        <v>0</v>
      </c>
      <c r="N16" s="17">
        <f t="shared" si="1"/>
        <v>0</v>
      </c>
      <c r="O16" s="17">
        <f t="shared" si="1"/>
        <v>0</v>
      </c>
      <c r="P16" s="17">
        <f>P15</f>
        <v>0</v>
      </c>
      <c r="Q16" s="17">
        <f t="shared" ref="Q16:S16" si="2">Q15</f>
        <v>0</v>
      </c>
      <c r="R16" s="17">
        <f t="shared" si="2"/>
        <v>2325.25</v>
      </c>
      <c r="S16" s="17">
        <f t="shared" si="2"/>
        <v>2325.25</v>
      </c>
      <c r="T16" s="14"/>
    </row>
    <row r="19" spans="6:19" x14ac:dyDescent="0.35">
      <c r="L19" s="271" t="s">
        <v>4</v>
      </c>
      <c r="M19" s="271"/>
      <c r="N19" s="271"/>
      <c r="O19" s="271"/>
      <c r="P19" s="272" t="s">
        <v>5</v>
      </c>
      <c r="Q19" s="272"/>
      <c r="R19" s="272"/>
      <c r="S19" s="272"/>
    </row>
    <row r="20" spans="6:19" ht="43.5" x14ac:dyDescent="0.35">
      <c r="F20" s="259" t="s">
        <v>344</v>
      </c>
      <c r="G20" s="6" t="s">
        <v>8</v>
      </c>
      <c r="H20" s="7" t="s">
        <v>9</v>
      </c>
      <c r="I20" s="10" t="s">
        <v>10</v>
      </c>
      <c r="J20" s="21" t="s">
        <v>11</v>
      </c>
      <c r="K20" s="21" t="s">
        <v>12</v>
      </c>
      <c r="L20" s="21" t="s">
        <v>13</v>
      </c>
      <c r="M20" s="21" t="s">
        <v>14</v>
      </c>
      <c r="N20" s="21" t="s">
        <v>15</v>
      </c>
      <c r="O20" s="21" t="s">
        <v>16</v>
      </c>
      <c r="P20" s="21" t="s">
        <v>13</v>
      </c>
      <c r="Q20" s="21" t="s">
        <v>14</v>
      </c>
      <c r="R20" s="21" t="s">
        <v>15</v>
      </c>
      <c r="S20" s="21" t="s">
        <v>16</v>
      </c>
    </row>
    <row r="21" spans="6:19" x14ac:dyDescent="0.35">
      <c r="F21" s="259"/>
      <c r="G21" s="224" t="s">
        <v>18</v>
      </c>
      <c r="H21" s="8" t="s">
        <v>19</v>
      </c>
      <c r="I21" s="11" t="s">
        <v>296</v>
      </c>
      <c r="J21" s="22" t="s">
        <v>21</v>
      </c>
      <c r="K21" s="22" t="s">
        <v>22</v>
      </c>
      <c r="L21" s="22" t="s">
        <v>23</v>
      </c>
      <c r="M21" s="22" t="s">
        <v>297</v>
      </c>
      <c r="N21" s="22" t="s">
        <v>298</v>
      </c>
      <c r="O21" s="22" t="s">
        <v>299</v>
      </c>
      <c r="P21" s="22" t="s">
        <v>27</v>
      </c>
      <c r="Q21" s="22" t="s">
        <v>300</v>
      </c>
      <c r="R21" s="22" t="s">
        <v>301</v>
      </c>
      <c r="S21" s="22" t="s">
        <v>302</v>
      </c>
    </row>
    <row r="22" spans="6:19" x14ac:dyDescent="0.35">
      <c r="F22" s="12" t="s">
        <v>303</v>
      </c>
      <c r="G22" s="24">
        <f>G12</f>
        <v>1657</v>
      </c>
      <c r="H22" s="18">
        <f t="shared" ref="H22:O22" si="3">H12</f>
        <v>1</v>
      </c>
      <c r="I22" s="28">
        <f t="shared" si="3"/>
        <v>1657</v>
      </c>
      <c r="J22" s="18">
        <f t="shared" si="3"/>
        <v>0.25</v>
      </c>
      <c r="K22" s="18">
        <f t="shared" si="3"/>
        <v>414.25</v>
      </c>
      <c r="L22" s="28">
        <f t="shared" si="3"/>
        <v>414.25</v>
      </c>
      <c r="M22" s="28">
        <f t="shared" ref="M22" si="4">M12</f>
        <v>0</v>
      </c>
      <c r="N22" s="28">
        <f t="shared" si="3"/>
        <v>0</v>
      </c>
      <c r="O22" s="28">
        <f t="shared" si="3"/>
        <v>0</v>
      </c>
      <c r="P22" s="28">
        <f t="shared" ref="P22:S22" si="5">P12</f>
        <v>0</v>
      </c>
      <c r="Q22" s="28">
        <f t="shared" si="5"/>
        <v>0</v>
      </c>
      <c r="R22" s="28">
        <f t="shared" si="5"/>
        <v>414.25</v>
      </c>
      <c r="S22" s="28">
        <f t="shared" si="5"/>
        <v>414.25</v>
      </c>
    </row>
    <row r="23" spans="6:19" x14ac:dyDescent="0.35">
      <c r="F23" s="12" t="s">
        <v>304</v>
      </c>
      <c r="G23" s="24">
        <f>G16</f>
        <v>9301</v>
      </c>
      <c r="H23" s="18">
        <f t="shared" ref="H23:O23" si="6">H16</f>
        <v>1</v>
      </c>
      <c r="I23" s="28">
        <f t="shared" si="6"/>
        <v>9301</v>
      </c>
      <c r="J23" s="18">
        <f t="shared" si="6"/>
        <v>0.25</v>
      </c>
      <c r="K23" s="18">
        <f t="shared" si="6"/>
        <v>2325.25</v>
      </c>
      <c r="L23" s="28">
        <f t="shared" si="6"/>
        <v>2325.25</v>
      </c>
      <c r="M23" s="28">
        <f t="shared" ref="M23" si="7">M16</f>
        <v>0</v>
      </c>
      <c r="N23" s="28">
        <f t="shared" si="6"/>
        <v>0</v>
      </c>
      <c r="O23" s="28">
        <f t="shared" si="6"/>
        <v>0</v>
      </c>
      <c r="P23" s="28">
        <f t="shared" ref="P23:S23" si="8">P16</f>
        <v>0</v>
      </c>
      <c r="Q23" s="28">
        <f t="shared" si="8"/>
        <v>0</v>
      </c>
      <c r="R23" s="28">
        <f t="shared" si="8"/>
        <v>2325.25</v>
      </c>
      <c r="S23" s="28">
        <f t="shared" si="8"/>
        <v>2325.25</v>
      </c>
    </row>
    <row r="24" spans="6:19" x14ac:dyDescent="0.35">
      <c r="F24" s="12" t="s">
        <v>345</v>
      </c>
      <c r="G24" s="23">
        <f>SUM(G22:G23)</f>
        <v>10958</v>
      </c>
      <c r="H24" s="25">
        <f>I24/G24</f>
        <v>1</v>
      </c>
      <c r="I24" s="19">
        <f>SUM(I22:I23)</f>
        <v>10958</v>
      </c>
      <c r="J24" s="25">
        <f>K24/I24</f>
        <v>0.25</v>
      </c>
      <c r="K24" s="19">
        <f t="shared" ref="K24:O24" si="9">SUM(K22:K23)</f>
        <v>2739.5</v>
      </c>
      <c r="L24" s="19">
        <f t="shared" si="9"/>
        <v>2739.5</v>
      </c>
      <c r="M24" s="19">
        <f t="shared" si="9"/>
        <v>0</v>
      </c>
      <c r="N24" s="19">
        <f t="shared" si="9"/>
        <v>0</v>
      </c>
      <c r="O24" s="19">
        <f t="shared" si="9"/>
        <v>0</v>
      </c>
      <c r="P24" s="19">
        <f t="shared" ref="P24:S24" si="10">SUM(P22:P23)</f>
        <v>0</v>
      </c>
      <c r="Q24" s="19">
        <f t="shared" si="10"/>
        <v>0</v>
      </c>
      <c r="R24" s="19">
        <f t="shared" si="10"/>
        <v>2739.5</v>
      </c>
      <c r="S24" s="19">
        <f t="shared" si="10"/>
        <v>2739.5</v>
      </c>
    </row>
  </sheetData>
  <mergeCells count="21">
    <mergeCell ref="C1:O1"/>
    <mergeCell ref="L4:O4"/>
    <mergeCell ref="T5:T6"/>
    <mergeCell ref="C12:F12"/>
    <mergeCell ref="P4:S4"/>
    <mergeCell ref="P19:S19"/>
    <mergeCell ref="C7:D7"/>
    <mergeCell ref="C4:D4"/>
    <mergeCell ref="E4:F4"/>
    <mergeCell ref="F20:F21"/>
    <mergeCell ref="C16:F16"/>
    <mergeCell ref="E7:O7"/>
    <mergeCell ref="E13:O13"/>
    <mergeCell ref="C13:D13"/>
    <mergeCell ref="C8:D8"/>
    <mergeCell ref="E8:O8"/>
    <mergeCell ref="C10:D10"/>
    <mergeCell ref="E10:O10"/>
    <mergeCell ref="C14:D14"/>
    <mergeCell ref="E14:O14"/>
    <mergeCell ref="L19:O19"/>
  </mergeCells>
  <printOptions horizontalCentered="1"/>
  <pageMargins left="0" right="0" top="0.75" bottom="0.5" header="0.3" footer="0.3"/>
  <pageSetup paperSize="5" scale="39" fitToHeight="0" orientation="landscape" r:id="rId1"/>
  <headerFooter>
    <oddHeader>&amp;C&amp;"-,Bold"&amp;14Appendix I: Estimates of the Hour Burden of the Collection of Information Reporting – OMB Control Number 0584-0055
PUBLIC DISCLOSURE</oddHeader>
    <oddFooter>&amp;CPage &amp;P</oddFooter>
  </headerFooter>
  <ignoredErrors>
    <ignoredError sqref="J16:K16 J12 K24 I24:J24 H24"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B1:O17"/>
  <sheetViews>
    <sheetView showGridLines="0" topLeftCell="B4" zoomScale="70" zoomScaleNormal="70" workbookViewId="0">
      <selection activeCell="G15" sqref="G15"/>
    </sheetView>
  </sheetViews>
  <sheetFormatPr defaultColWidth="8.7265625" defaultRowHeight="14.5" x14ac:dyDescent="0.35"/>
  <cols>
    <col min="1" max="1" width="4.26953125" customWidth="1"/>
    <col min="2" max="2" width="35.7265625" customWidth="1"/>
    <col min="3" max="4" width="14.54296875" customWidth="1"/>
    <col min="5" max="5" width="18.1796875" customWidth="1"/>
    <col min="6" max="6" width="14.26953125" customWidth="1"/>
    <col min="7" max="7" width="20.81640625" customWidth="1"/>
    <col min="8" max="15" width="18" customWidth="1"/>
  </cols>
  <sheetData>
    <row r="1" spans="2:15" hidden="1" x14ac:dyDescent="0.35"/>
    <row r="2" spans="2:15" hidden="1" x14ac:dyDescent="0.35"/>
    <row r="3" spans="2:15" hidden="1" x14ac:dyDescent="0.35"/>
    <row r="4" spans="2:15" ht="15" thickBot="1" x14ac:dyDescent="0.4"/>
    <row r="5" spans="2:15" ht="25" customHeight="1" thickBot="1" x14ac:dyDescent="0.4">
      <c r="B5" s="296" t="s">
        <v>346</v>
      </c>
      <c r="C5" s="294"/>
      <c r="D5" s="294"/>
      <c r="E5" s="294"/>
      <c r="F5" s="294"/>
      <c r="G5" s="294"/>
      <c r="H5" s="294"/>
      <c r="I5" s="294"/>
      <c r="J5" s="294"/>
      <c r="K5" s="294"/>
      <c r="L5" s="294"/>
      <c r="M5" s="294"/>
      <c r="N5" s="294"/>
      <c r="O5" s="295"/>
    </row>
    <row r="6" spans="2:15" ht="25" customHeight="1" thickBot="1" x14ac:dyDescent="0.4">
      <c r="B6" s="297" t="s">
        <v>347</v>
      </c>
      <c r="C6" s="291" t="s">
        <v>8</v>
      </c>
      <c r="D6" s="291" t="s">
        <v>9</v>
      </c>
      <c r="E6" s="291" t="s">
        <v>10</v>
      </c>
      <c r="F6" s="291" t="s">
        <v>11</v>
      </c>
      <c r="G6" s="291" t="s">
        <v>12</v>
      </c>
      <c r="H6" s="293" t="s">
        <v>4</v>
      </c>
      <c r="I6" s="294"/>
      <c r="J6" s="294"/>
      <c r="K6" s="295"/>
      <c r="L6" s="296" t="s">
        <v>5</v>
      </c>
      <c r="M6" s="294"/>
      <c r="N6" s="294"/>
      <c r="O6" s="295"/>
    </row>
    <row r="7" spans="2:15" ht="73" customHeight="1" x14ac:dyDescent="0.35">
      <c r="B7" s="298"/>
      <c r="C7" s="292"/>
      <c r="D7" s="292"/>
      <c r="E7" s="292"/>
      <c r="F7" s="292"/>
      <c r="G7" s="292"/>
      <c r="H7" s="227" t="s">
        <v>13</v>
      </c>
      <c r="I7" s="103" t="s">
        <v>14</v>
      </c>
      <c r="J7" s="103" t="s">
        <v>15</v>
      </c>
      <c r="K7" s="104" t="s">
        <v>16</v>
      </c>
      <c r="L7" s="227" t="s">
        <v>13</v>
      </c>
      <c r="M7" s="103" t="s">
        <v>14</v>
      </c>
      <c r="N7" s="103" t="s">
        <v>15</v>
      </c>
      <c r="O7" s="104" t="s">
        <v>16</v>
      </c>
    </row>
    <row r="8" spans="2:15" ht="17.149999999999999" customHeight="1" x14ac:dyDescent="0.35">
      <c r="B8" s="299"/>
      <c r="C8" s="8" t="s">
        <v>18</v>
      </c>
      <c r="D8" s="8" t="s">
        <v>19</v>
      </c>
      <c r="E8" s="8" t="s">
        <v>338</v>
      </c>
      <c r="F8" s="75" t="s">
        <v>21</v>
      </c>
      <c r="G8" s="75" t="s">
        <v>22</v>
      </c>
      <c r="H8" s="75" t="s">
        <v>23</v>
      </c>
      <c r="I8" s="75" t="s">
        <v>297</v>
      </c>
      <c r="J8" s="75" t="s">
        <v>25</v>
      </c>
      <c r="K8" s="105" t="s">
        <v>339</v>
      </c>
      <c r="L8" s="75" t="s">
        <v>23</v>
      </c>
      <c r="M8" s="75" t="s">
        <v>297</v>
      </c>
      <c r="N8" s="75" t="s">
        <v>25</v>
      </c>
      <c r="O8" s="105" t="s">
        <v>339</v>
      </c>
    </row>
    <row r="9" spans="2:15" x14ac:dyDescent="0.35">
      <c r="B9" s="88" t="s">
        <v>306</v>
      </c>
      <c r="C9" s="76">
        <f>Reporting!G139</f>
        <v>3783991</v>
      </c>
      <c r="D9" s="65">
        <f>Reporting!H139</f>
        <v>4.1064124412558067</v>
      </c>
      <c r="E9" s="76">
        <f>Reporting!I139</f>
        <v>15538627.720000001</v>
      </c>
      <c r="F9" s="65">
        <f>Reporting!J139</f>
        <v>0.23454193007849472</v>
      </c>
      <c r="G9" s="65">
        <f>Reporting!K139</f>
        <v>3644459.7362199998</v>
      </c>
      <c r="H9" s="65">
        <f>Reporting!L139</f>
        <v>3644459.7362199998</v>
      </c>
      <c r="I9" s="65">
        <f>Reporting!M139</f>
        <v>0</v>
      </c>
      <c r="J9" s="65">
        <f>Reporting!N139</f>
        <v>0</v>
      </c>
      <c r="K9" s="89">
        <f>Reporting!O139</f>
        <v>0</v>
      </c>
      <c r="L9" s="65">
        <f>Reporting!P139</f>
        <v>1870411.7507399812</v>
      </c>
      <c r="M9" s="65">
        <f>Reporting!Q139</f>
        <v>-37941.30857998089</v>
      </c>
      <c r="N9" s="65">
        <f>Reporting!R139</f>
        <v>1811989.29406</v>
      </c>
      <c r="O9" s="89">
        <f>Reporting!S139</f>
        <v>1774047.9854800194</v>
      </c>
    </row>
    <row r="10" spans="2:15" x14ac:dyDescent="0.35">
      <c r="B10" s="88" t="s">
        <v>340</v>
      </c>
      <c r="C10" s="76">
        <f>Recordkeeping!G38</f>
        <v>184987</v>
      </c>
      <c r="D10" s="65">
        <f>Recordkeeping!H38</f>
        <v>3.5900738970846602</v>
      </c>
      <c r="E10" s="76">
        <f>Recordkeeping!I38</f>
        <v>664117</v>
      </c>
      <c r="F10" s="65">
        <f>Recordkeeping!J38</f>
        <v>0.85342590236358962</v>
      </c>
      <c r="G10" s="65">
        <f>Recordkeeping!K38</f>
        <v>566774.65</v>
      </c>
      <c r="H10" s="65">
        <f>Recordkeeping!L38</f>
        <v>566011.65</v>
      </c>
      <c r="I10" s="65">
        <f>Recordkeeping!M38</f>
        <v>0</v>
      </c>
      <c r="J10" s="65">
        <f>Recordkeeping!N38</f>
        <v>763</v>
      </c>
      <c r="K10" s="89">
        <f>Recordkeeping!O38</f>
        <v>763</v>
      </c>
      <c r="L10" s="65">
        <f>Recordkeeping!P38</f>
        <v>610724</v>
      </c>
      <c r="M10" s="65">
        <f>Recordkeeping!Q38</f>
        <v>-50088.35</v>
      </c>
      <c r="N10" s="65">
        <f>Recordkeeping!R38</f>
        <v>5376</v>
      </c>
      <c r="O10" s="89">
        <f>Recordkeeping!S38</f>
        <v>-44712.35</v>
      </c>
    </row>
    <row r="11" spans="2:15" x14ac:dyDescent="0.35">
      <c r="B11" s="88" t="s">
        <v>345</v>
      </c>
      <c r="C11" s="76">
        <f>'Public Disclosure'!G24</f>
        <v>10958</v>
      </c>
      <c r="D11" s="65">
        <f>'Public Disclosure'!H24</f>
        <v>1</v>
      </c>
      <c r="E11" s="76">
        <f>'Public Disclosure'!I24</f>
        <v>10958</v>
      </c>
      <c r="F11" s="65">
        <f>'Public Disclosure'!J24</f>
        <v>0.25</v>
      </c>
      <c r="G11" s="65">
        <f>'Public Disclosure'!K24</f>
        <v>2739.5</v>
      </c>
      <c r="H11" s="65">
        <f>'Public Disclosure'!L24</f>
        <v>2739.5</v>
      </c>
      <c r="I11" s="65">
        <f>'Public Disclosure'!M24</f>
        <v>0</v>
      </c>
      <c r="J11" s="65">
        <f>'Public Disclosure'!N24</f>
        <v>0</v>
      </c>
      <c r="K11" s="89">
        <f>'Public Disclosure'!O24</f>
        <v>0</v>
      </c>
      <c r="L11" s="65">
        <f>'Public Disclosure'!P24</f>
        <v>0</v>
      </c>
      <c r="M11" s="65">
        <f>'Public Disclosure'!Q24</f>
        <v>0</v>
      </c>
      <c r="N11" s="65">
        <f>'Public Disclosure'!R24</f>
        <v>2739.5</v>
      </c>
      <c r="O11" s="89">
        <f>'Public Disclosure'!S24</f>
        <v>2739.5</v>
      </c>
    </row>
    <row r="12" spans="2:15" ht="15" thickBot="1" x14ac:dyDescent="0.4">
      <c r="B12" s="90" t="s">
        <v>348</v>
      </c>
      <c r="C12" s="91">
        <f>C9+C11</f>
        <v>3794949</v>
      </c>
      <c r="D12" s="92">
        <f>E12/C12</f>
        <v>4.2724428496931051</v>
      </c>
      <c r="E12" s="91">
        <f>SUM(E9:E11)</f>
        <v>16213702.720000001</v>
      </c>
      <c r="F12" s="92">
        <f>G12/E12</f>
        <v>0.25990200751750303</v>
      </c>
      <c r="G12" s="92">
        <f t="shared" ref="G12:K12" si="0">SUM(G9:G11)</f>
        <v>4213973.8862199998</v>
      </c>
      <c r="H12" s="92">
        <f t="shared" si="0"/>
        <v>4213210.8862199998</v>
      </c>
      <c r="I12" s="92">
        <f t="shared" si="0"/>
        <v>0</v>
      </c>
      <c r="J12" s="92">
        <f t="shared" si="0"/>
        <v>763</v>
      </c>
      <c r="K12" s="93">
        <f t="shared" si="0"/>
        <v>763</v>
      </c>
      <c r="L12" s="92">
        <f t="shared" ref="L12:O12" si="1">SUM(L9:L11)</f>
        <v>2481135.7507399814</v>
      </c>
      <c r="M12" s="92">
        <f t="shared" si="1"/>
        <v>-88029.658579980896</v>
      </c>
      <c r="N12" s="92">
        <f t="shared" si="1"/>
        <v>1820104.79406</v>
      </c>
      <c r="O12" s="93">
        <f t="shared" si="1"/>
        <v>1732075.1354800193</v>
      </c>
    </row>
    <row r="14" spans="2:15" x14ac:dyDescent="0.35">
      <c r="E14" s="94"/>
      <c r="H14" s="158"/>
    </row>
    <row r="15" spans="2:15" ht="15.5" x14ac:dyDescent="0.35">
      <c r="E15" s="157"/>
      <c r="L15" s="158"/>
    </row>
    <row r="16" spans="2:15" x14ac:dyDescent="0.35">
      <c r="E16" s="94"/>
    </row>
    <row r="17" spans="5:5" x14ac:dyDescent="0.35">
      <c r="E17" s="94"/>
    </row>
  </sheetData>
  <mergeCells count="9">
    <mergeCell ref="G6:G7"/>
    <mergeCell ref="H6:K6"/>
    <mergeCell ref="B5:O5"/>
    <mergeCell ref="L6:O6"/>
    <mergeCell ref="B6:B8"/>
    <mergeCell ref="C6:C7"/>
    <mergeCell ref="D6:D7"/>
    <mergeCell ref="E6:E7"/>
    <mergeCell ref="F6:F7"/>
  </mergeCells>
  <pageMargins left="0.7" right="0.7" top="0.75" bottom="0.75" header="0.3" footer="0.3"/>
  <pageSetup paperSize="5" orientation="landscape" r:id="rId1"/>
  <ignoredErrors>
    <ignoredError sqref="E12 G12"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0"/>
  <sheetViews>
    <sheetView showGridLines="0" topLeftCell="A5" zoomScaleNormal="100" zoomScalePageLayoutView="80" workbookViewId="0">
      <selection activeCell="L13" sqref="L13"/>
    </sheetView>
  </sheetViews>
  <sheetFormatPr defaultColWidth="8.7265625" defaultRowHeight="14.5" x14ac:dyDescent="0.35"/>
  <cols>
    <col min="1" max="1" width="8.7265625" customWidth="1"/>
    <col min="2" max="2" width="27" customWidth="1"/>
    <col min="3" max="3" width="6.1796875" style="183" customWidth="1"/>
    <col min="4" max="4" width="13.54296875" style="184" customWidth="1"/>
    <col min="5" max="5" width="7.453125" style="183" customWidth="1"/>
    <col min="6" max="6" width="2" style="183" bestFit="1" customWidth="1"/>
    <col min="7" max="7" width="8.7265625" style="185"/>
    <col min="8" max="8" width="2.26953125" style="183" bestFit="1" customWidth="1"/>
    <col min="9" max="9" width="17.26953125" style="186" customWidth="1"/>
    <col min="12" max="12" width="19.54296875" customWidth="1"/>
  </cols>
  <sheetData>
    <row r="1" spans="2:12" hidden="1" x14ac:dyDescent="0.35"/>
    <row r="2" spans="2:12" ht="14.5" hidden="1" customHeight="1" x14ac:dyDescent="0.35">
      <c r="B2" s="300"/>
      <c r="C2" s="300"/>
      <c r="D2" s="300"/>
    </row>
    <row r="3" spans="2:12" ht="14.5" hidden="1" customHeight="1" x14ac:dyDescent="0.35">
      <c r="B3" s="300"/>
      <c r="C3" s="300"/>
      <c r="D3" s="300"/>
    </row>
    <row r="4" spans="2:12" hidden="1" x14ac:dyDescent="0.35"/>
    <row r="6" spans="2:12" s="2" customFormat="1" ht="23.15" customHeight="1" x14ac:dyDescent="0.35">
      <c r="B6" s="202" t="s">
        <v>349</v>
      </c>
      <c r="C6" s="15"/>
      <c r="D6" s="187"/>
      <c r="E6" s="4"/>
      <c r="F6" s="4"/>
      <c r="G6" s="106"/>
      <c r="H6" s="4"/>
      <c r="I6" s="188"/>
      <c r="L6" s="189"/>
    </row>
    <row r="7" spans="2:12" ht="23.15" customHeight="1" x14ac:dyDescent="0.35">
      <c r="B7" s="190" t="s">
        <v>350</v>
      </c>
      <c r="C7" s="191" t="s">
        <v>351</v>
      </c>
      <c r="D7" s="184">
        <f>Reporting!K62+Recordkeeping!K12+'Public Disclosure'!K9</f>
        <v>213678.22879999998</v>
      </c>
      <c r="E7" s="183" t="s">
        <v>352</v>
      </c>
      <c r="F7" s="183" t="s">
        <v>353</v>
      </c>
      <c r="G7" s="185">
        <f>'Labor Rates'!D5</f>
        <v>41.3</v>
      </c>
      <c r="H7" s="192" t="s">
        <v>351</v>
      </c>
      <c r="I7" s="186">
        <f>D7*G7</f>
        <v>8824910.8494399991</v>
      </c>
    </row>
    <row r="8" spans="2:12" ht="23.15" customHeight="1" x14ac:dyDescent="0.35">
      <c r="B8" s="190" t="s">
        <v>185</v>
      </c>
      <c r="C8" s="191" t="s">
        <v>351</v>
      </c>
      <c r="D8" s="184">
        <f>Reporting!K89+Recordkeeping!K17+'Public Disclosure'!K11</f>
        <v>231357.45229999998</v>
      </c>
      <c r="E8" s="183" t="s">
        <v>352</v>
      </c>
      <c r="F8" s="183" t="s">
        <v>353</v>
      </c>
      <c r="G8" s="185">
        <f>'Labor Rates'!D6</f>
        <v>30.54</v>
      </c>
      <c r="H8" s="192" t="s">
        <v>351</v>
      </c>
      <c r="I8" s="186">
        <f>D8*G8</f>
        <v>7065656.5932419989</v>
      </c>
    </row>
    <row r="9" spans="2:12" ht="23.15" customHeight="1" x14ac:dyDescent="0.35">
      <c r="B9" s="193" t="s">
        <v>184</v>
      </c>
      <c r="C9" s="191" t="s">
        <v>351</v>
      </c>
      <c r="D9" s="184">
        <f>SUM(D7:D8)</f>
        <v>445035.68109999993</v>
      </c>
      <c r="E9" s="183" t="s">
        <v>352</v>
      </c>
      <c r="I9" s="186">
        <f>SUM(I7:I8)</f>
        <v>15890567.442681998</v>
      </c>
    </row>
    <row r="10" spans="2:12" s="2" customFormat="1" ht="23.15" customHeight="1" x14ac:dyDescent="0.35">
      <c r="B10" s="202" t="s">
        <v>354</v>
      </c>
      <c r="C10" s="194"/>
      <c r="D10" s="187"/>
      <c r="E10" s="4"/>
      <c r="F10" s="4"/>
      <c r="G10" s="106"/>
      <c r="H10" s="4"/>
      <c r="I10" s="188"/>
    </row>
    <row r="11" spans="2:12" ht="23.15" customHeight="1" x14ac:dyDescent="0.35">
      <c r="B11" s="190" t="s">
        <v>250</v>
      </c>
      <c r="C11" s="191" t="s">
        <v>351</v>
      </c>
      <c r="D11" s="184">
        <f>Reporting!K118+Recordkeeping!K25+'Public Disclosure'!K15</f>
        <v>1321807.2805000001</v>
      </c>
      <c r="E11" s="183" t="s">
        <v>352</v>
      </c>
      <c r="F11" s="183" t="s">
        <v>353</v>
      </c>
      <c r="G11" s="185">
        <f>'Labor Rates'!D7</f>
        <v>24.78</v>
      </c>
      <c r="H11" s="192" t="s">
        <v>351</v>
      </c>
      <c r="I11" s="186">
        <f>D11*G11</f>
        <v>32754384.410790004</v>
      </c>
    </row>
    <row r="12" spans="2:12" ht="23.15" customHeight="1" x14ac:dyDescent="0.35">
      <c r="B12" s="190" t="s">
        <v>264</v>
      </c>
      <c r="C12" s="191" t="s">
        <v>351</v>
      </c>
      <c r="D12" s="184">
        <f>Reporting!K125+Recordkeeping!K29</f>
        <v>1469163.25</v>
      </c>
      <c r="E12" s="183" t="s">
        <v>352</v>
      </c>
      <c r="F12" s="183" t="s">
        <v>353</v>
      </c>
      <c r="G12" s="185">
        <f>'Labor Rates'!D8</f>
        <v>12.88</v>
      </c>
      <c r="H12" s="192" t="s">
        <v>351</v>
      </c>
      <c r="I12" s="186">
        <f>D12*G12</f>
        <v>18922822.66</v>
      </c>
      <c r="L12" s="113"/>
    </row>
    <row r="13" spans="2:12" ht="23.15" customHeight="1" x14ac:dyDescent="0.35">
      <c r="B13" s="193" t="s">
        <v>184</v>
      </c>
      <c r="C13" s="191" t="s">
        <v>351</v>
      </c>
      <c r="D13" s="184">
        <f>SUM(D11:D12)</f>
        <v>2790970.5305000003</v>
      </c>
      <c r="E13" s="183" t="s">
        <v>352</v>
      </c>
      <c r="I13" s="186">
        <f>SUM(I11:I12)</f>
        <v>51677207.070790008</v>
      </c>
    </row>
    <row r="14" spans="2:12" s="2" customFormat="1" ht="23.15" customHeight="1" x14ac:dyDescent="0.35">
      <c r="B14" s="202" t="s">
        <v>355</v>
      </c>
      <c r="C14" s="194"/>
      <c r="D14" s="187"/>
      <c r="E14" s="4"/>
      <c r="F14" s="4"/>
      <c r="G14" s="106"/>
      <c r="H14" s="4"/>
      <c r="I14" s="186"/>
    </row>
    <row r="15" spans="2:12" ht="23.15" customHeight="1" x14ac:dyDescent="0.35">
      <c r="B15" s="190" t="s">
        <v>356</v>
      </c>
      <c r="C15" s="191" t="s">
        <v>351</v>
      </c>
      <c r="D15" s="184">
        <f>Reporting!K131</f>
        <v>977967.67462000006</v>
      </c>
      <c r="E15" s="183" t="s">
        <v>352</v>
      </c>
      <c r="F15" s="183" t="s">
        <v>353</v>
      </c>
      <c r="G15" s="185">
        <f>'Labor Rates'!D9</f>
        <v>7.25</v>
      </c>
      <c r="H15" s="192" t="s">
        <v>351</v>
      </c>
      <c r="I15" s="186">
        <f>D15*G15</f>
        <v>7090265.6409950005</v>
      </c>
    </row>
    <row r="16" spans="2:12" ht="23.15" customHeight="1" x14ac:dyDescent="0.35">
      <c r="B16" s="193" t="s">
        <v>184</v>
      </c>
      <c r="C16" s="191" t="s">
        <v>351</v>
      </c>
      <c r="D16" s="184">
        <f>D15</f>
        <v>977967.67462000006</v>
      </c>
      <c r="E16" s="183" t="s">
        <v>352</v>
      </c>
      <c r="I16" s="186">
        <f>I15</f>
        <v>7090265.6409950005</v>
      </c>
    </row>
    <row r="17" spans="2:9" ht="23.15" customHeight="1" x14ac:dyDescent="0.35">
      <c r="B17" s="2"/>
      <c r="C17" s="195"/>
    </row>
    <row r="18" spans="2:9" ht="23.15" customHeight="1" x14ac:dyDescent="0.35">
      <c r="B18" s="196" t="s">
        <v>357</v>
      </c>
      <c r="C18" s="197" t="s">
        <v>351</v>
      </c>
      <c r="D18" s="198"/>
      <c r="E18" s="199"/>
      <c r="F18" s="196"/>
      <c r="G18" s="200"/>
      <c r="H18" s="196"/>
      <c r="I18" s="201">
        <f>I9+I13+I16</f>
        <v>74658040.154467002</v>
      </c>
    </row>
    <row r="19" spans="2:9" ht="23.15" customHeight="1" x14ac:dyDescent="0.35">
      <c r="B19" s="196" t="s">
        <v>358</v>
      </c>
      <c r="C19" s="197" t="s">
        <v>351</v>
      </c>
      <c r="D19" s="198"/>
      <c r="E19" s="196"/>
      <c r="F19" s="196"/>
      <c r="G19" s="200"/>
      <c r="H19" s="196"/>
      <c r="I19" s="201">
        <f>I18*0.33</f>
        <v>24637153.250974111</v>
      </c>
    </row>
    <row r="20" spans="2:9" ht="23.15" customHeight="1" x14ac:dyDescent="0.35">
      <c r="B20" s="196" t="s">
        <v>359</v>
      </c>
      <c r="C20" s="197" t="s">
        <v>351</v>
      </c>
      <c r="D20" s="198">
        <f>D9+D13+D16</f>
        <v>4213973.8862199998</v>
      </c>
      <c r="E20" s="196" t="s">
        <v>352</v>
      </c>
      <c r="F20" s="196"/>
      <c r="G20" s="200"/>
      <c r="H20" s="196"/>
      <c r="I20" s="201">
        <f>I18+I19</f>
        <v>99295193.405441105</v>
      </c>
    </row>
  </sheetData>
  <mergeCells count="1">
    <mergeCell ref="B2:D3"/>
  </mergeCells>
  <conditionalFormatting sqref="F7:F8 H7:H8">
    <cfRule type="dataBar" priority="7">
      <dataBar>
        <cfvo type="min"/>
        <cfvo type="max"/>
        <color rgb="FF638EC6"/>
      </dataBar>
      <extLst>
        <ext xmlns:x14="http://schemas.microsoft.com/office/spreadsheetml/2009/9/main" uri="{B025F937-C7B1-47D3-B67F-A62EFF666E3E}">
          <x14:id>{36C0E1C7-34D6-4F69-9C28-3EA708E740F9}</x14:id>
        </ext>
      </extLst>
    </cfRule>
  </conditionalFormatting>
  <conditionalFormatting sqref="F11:F12">
    <cfRule type="dataBar" priority="6">
      <dataBar>
        <cfvo type="min"/>
        <cfvo type="max"/>
        <color rgb="FF638EC6"/>
      </dataBar>
      <extLst>
        <ext xmlns:x14="http://schemas.microsoft.com/office/spreadsheetml/2009/9/main" uri="{B025F937-C7B1-47D3-B67F-A62EFF666E3E}">
          <x14:id>{F7024FDA-D056-4FA6-BDC0-AC31D0C731E7}</x14:id>
        </ext>
      </extLst>
    </cfRule>
  </conditionalFormatting>
  <conditionalFormatting sqref="F15">
    <cfRule type="dataBar" priority="5">
      <dataBar>
        <cfvo type="min"/>
        <cfvo type="max"/>
        <color rgb="FF638EC6"/>
      </dataBar>
      <extLst>
        <ext xmlns:x14="http://schemas.microsoft.com/office/spreadsheetml/2009/9/main" uri="{B025F937-C7B1-47D3-B67F-A62EFF666E3E}">
          <x14:id>{6B760739-25C7-4B47-9DE3-53A0C22AC606}</x14:id>
        </ext>
      </extLst>
    </cfRule>
  </conditionalFormatting>
  <conditionalFormatting sqref="H11:H12">
    <cfRule type="dataBar" priority="4">
      <dataBar>
        <cfvo type="min"/>
        <cfvo type="max"/>
        <color rgb="FF638EC6"/>
      </dataBar>
      <extLst>
        <ext xmlns:x14="http://schemas.microsoft.com/office/spreadsheetml/2009/9/main" uri="{B025F937-C7B1-47D3-B67F-A62EFF666E3E}">
          <x14:id>{1B908FED-277E-463E-91CA-42352D27115B}</x14:id>
        </ext>
      </extLst>
    </cfRule>
  </conditionalFormatting>
  <conditionalFormatting sqref="H15">
    <cfRule type="dataBar" priority="3">
      <dataBar>
        <cfvo type="min"/>
        <cfvo type="max"/>
        <color rgb="FF638EC6"/>
      </dataBar>
      <extLst>
        <ext xmlns:x14="http://schemas.microsoft.com/office/spreadsheetml/2009/9/main" uri="{B025F937-C7B1-47D3-B67F-A62EFF666E3E}">
          <x14:id>{9F33367B-60C4-4C49-B9D2-7FD5566E707B}</x14:id>
        </ext>
      </extLst>
    </cfRule>
  </conditionalFormatting>
  <pageMargins left="0.7" right="0.7" top="0.75" bottom="0.75" header="0.3" footer="0.3"/>
  <pageSetup paperSize="5" orientation="landscape" r:id="rId1"/>
  <extLst>
    <ext xmlns:x14="http://schemas.microsoft.com/office/spreadsheetml/2009/9/main" uri="{78C0D931-6437-407d-A8EE-F0AAD7539E65}">
      <x14:conditionalFormattings>
        <x14:conditionalFormatting xmlns:xm="http://schemas.microsoft.com/office/excel/2006/main">
          <x14:cfRule type="dataBar" id="{36C0E1C7-34D6-4F69-9C28-3EA708E740F9}">
            <x14:dataBar minLength="0" maxLength="100" gradient="0">
              <x14:cfvo type="autoMin"/>
              <x14:cfvo type="autoMax"/>
              <x14:negativeFillColor rgb="FFFF0000"/>
              <x14:axisColor rgb="FF000000"/>
            </x14:dataBar>
          </x14:cfRule>
          <xm:sqref>F7:F8 H7:H8</xm:sqref>
        </x14:conditionalFormatting>
        <x14:conditionalFormatting xmlns:xm="http://schemas.microsoft.com/office/excel/2006/main">
          <x14:cfRule type="dataBar" id="{F7024FDA-D056-4FA6-BDC0-AC31D0C731E7}">
            <x14:dataBar minLength="0" maxLength="100" gradient="0">
              <x14:cfvo type="autoMin"/>
              <x14:cfvo type="autoMax"/>
              <x14:negativeFillColor rgb="FFFF0000"/>
              <x14:axisColor rgb="FF000000"/>
            </x14:dataBar>
          </x14:cfRule>
          <xm:sqref>F11:F12</xm:sqref>
        </x14:conditionalFormatting>
        <x14:conditionalFormatting xmlns:xm="http://schemas.microsoft.com/office/excel/2006/main">
          <x14:cfRule type="dataBar" id="{6B760739-25C7-4B47-9DE3-53A0C22AC606}">
            <x14:dataBar minLength="0" maxLength="100" gradient="0">
              <x14:cfvo type="autoMin"/>
              <x14:cfvo type="autoMax"/>
              <x14:negativeFillColor rgb="FFFF0000"/>
              <x14:axisColor rgb="FF000000"/>
            </x14:dataBar>
          </x14:cfRule>
          <xm:sqref>F15</xm:sqref>
        </x14:conditionalFormatting>
        <x14:conditionalFormatting xmlns:xm="http://schemas.microsoft.com/office/excel/2006/main">
          <x14:cfRule type="dataBar" id="{1B908FED-277E-463E-91CA-42352D27115B}">
            <x14:dataBar minLength="0" maxLength="100" gradient="0">
              <x14:cfvo type="autoMin"/>
              <x14:cfvo type="autoMax"/>
              <x14:negativeFillColor rgb="FFFF0000"/>
              <x14:axisColor rgb="FF000000"/>
            </x14:dataBar>
          </x14:cfRule>
          <xm:sqref>H11:H12</xm:sqref>
        </x14:conditionalFormatting>
        <x14:conditionalFormatting xmlns:xm="http://schemas.microsoft.com/office/excel/2006/main">
          <x14:cfRule type="dataBar" id="{9F33367B-60C4-4C49-B9D2-7FD5566E707B}">
            <x14:dataBar minLength="0" maxLength="100" gradient="0">
              <x14:cfvo type="autoMin"/>
              <x14:cfvo type="autoMax"/>
              <x14:negativeFillColor rgb="FFFF0000"/>
              <x14:axisColor rgb="FF000000"/>
            </x14:dataBar>
          </x14:cfRule>
          <xm:sqref>H15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K32"/>
  <sheetViews>
    <sheetView showGridLines="0" topLeftCell="A5" zoomScale="75" zoomScaleNormal="75" zoomScalePageLayoutView="80" workbookViewId="0">
      <selection activeCell="D26" sqref="D26"/>
    </sheetView>
  </sheetViews>
  <sheetFormatPr defaultColWidth="8.7265625" defaultRowHeight="14.5" x14ac:dyDescent="0.35"/>
  <cols>
    <col min="1" max="1" width="8.7265625" customWidth="1"/>
    <col min="2" max="2" width="36.453125" customWidth="1"/>
    <col min="3" max="3" width="24.1796875" bestFit="1" customWidth="1"/>
    <col min="4" max="4" width="14.453125" customWidth="1"/>
    <col min="5" max="5" width="15.1796875" customWidth="1"/>
    <col min="6" max="6" width="18.453125" customWidth="1"/>
    <col min="7" max="7" width="16.54296875" customWidth="1"/>
    <col min="8" max="8" width="18" customWidth="1"/>
  </cols>
  <sheetData>
    <row r="1" spans="2:11" hidden="1" x14ac:dyDescent="0.35"/>
    <row r="2" spans="2:11" ht="14.5" hidden="1" customHeight="1" x14ac:dyDescent="0.35">
      <c r="B2" s="300" t="s">
        <v>360</v>
      </c>
      <c r="C2" s="300"/>
      <c r="D2" s="300"/>
      <c r="E2" s="300"/>
      <c r="F2" s="300"/>
      <c r="G2" s="300"/>
      <c r="H2" s="300"/>
    </row>
    <row r="3" spans="2:11" ht="14.5" hidden="1" customHeight="1" x14ac:dyDescent="0.35">
      <c r="B3" s="300"/>
      <c r="C3" s="300"/>
      <c r="D3" s="300"/>
      <c r="E3" s="300"/>
      <c r="F3" s="300"/>
      <c r="G3" s="300"/>
      <c r="H3" s="300"/>
    </row>
    <row r="4" spans="2:11" hidden="1" x14ac:dyDescent="0.35"/>
    <row r="5" spans="2:11" ht="15" thickBot="1" x14ac:dyDescent="0.4"/>
    <row r="6" spans="2:11" ht="21.65" customHeight="1" thickBot="1" x14ac:dyDescent="0.4">
      <c r="B6" s="296" t="s">
        <v>361</v>
      </c>
      <c r="C6" s="294"/>
      <c r="D6" s="294"/>
      <c r="E6" s="294"/>
      <c r="F6" s="294"/>
      <c r="G6" s="294"/>
      <c r="H6" s="295"/>
    </row>
    <row r="7" spans="2:11" ht="43.5" x14ac:dyDescent="0.35">
      <c r="B7" s="314" t="s">
        <v>362</v>
      </c>
      <c r="C7" s="315"/>
      <c r="D7" s="151" t="s">
        <v>363</v>
      </c>
      <c r="E7" s="151" t="s">
        <v>364</v>
      </c>
      <c r="F7" s="151" t="s">
        <v>365</v>
      </c>
      <c r="G7" s="151" t="s">
        <v>11</v>
      </c>
      <c r="H7" s="152" t="s">
        <v>366</v>
      </c>
      <c r="I7" s="77"/>
    </row>
    <row r="8" spans="2:11" x14ac:dyDescent="0.35">
      <c r="B8" s="305" t="s">
        <v>367</v>
      </c>
      <c r="C8" s="306"/>
      <c r="D8" s="306"/>
      <c r="E8" s="306"/>
      <c r="F8" s="306"/>
      <c r="G8" s="306"/>
      <c r="H8" s="307"/>
    </row>
    <row r="9" spans="2:11" x14ac:dyDescent="0.35">
      <c r="B9" s="301" t="s">
        <v>368</v>
      </c>
      <c r="C9" s="135" t="s">
        <v>369</v>
      </c>
      <c r="D9" s="136">
        <f>Reporting!G62</f>
        <v>56</v>
      </c>
      <c r="E9" s="136">
        <f>Reporting!H62</f>
        <v>1496.1607142857142</v>
      </c>
      <c r="F9" s="136">
        <f>Reporting!I62</f>
        <v>83785</v>
      </c>
      <c r="G9" s="149">
        <f>Reporting!J62</f>
        <v>2.4483049328638775</v>
      </c>
      <c r="H9" s="153">
        <f>Reporting!K62</f>
        <v>205131.22879999998</v>
      </c>
      <c r="K9" s="158"/>
    </row>
    <row r="10" spans="2:11" x14ac:dyDescent="0.35">
      <c r="B10" s="302"/>
      <c r="C10" s="47" t="s">
        <v>370</v>
      </c>
      <c r="D10" s="137">
        <f>Reporting!G89</f>
        <v>3791</v>
      </c>
      <c r="E10" s="138">
        <f>Reporting!H89</f>
        <v>33.812186758111316</v>
      </c>
      <c r="F10" s="137">
        <f>Reporting!I89</f>
        <v>128182</v>
      </c>
      <c r="G10" s="138">
        <f>Reporting!J89</f>
        <v>1.7102754466305721</v>
      </c>
      <c r="H10" s="154">
        <f>Reporting!K89</f>
        <v>219226.52729999999</v>
      </c>
      <c r="K10" s="94"/>
    </row>
    <row r="11" spans="2:11" x14ac:dyDescent="0.35">
      <c r="B11" s="313" t="s">
        <v>354</v>
      </c>
      <c r="C11" s="47" t="s">
        <v>250</v>
      </c>
      <c r="D11" s="137">
        <f>Reporting!G118</f>
        <v>21650</v>
      </c>
      <c r="E11" s="138">
        <f>Reporting!H118</f>
        <v>33.834457274826789</v>
      </c>
      <c r="F11" s="137">
        <f>Reporting!I118</f>
        <v>732516</v>
      </c>
      <c r="G11" s="138">
        <f>Reporting!J118</f>
        <v>1.7093361175728585</v>
      </c>
      <c r="H11" s="154">
        <f>Reporting!K118</f>
        <v>1252116.0555</v>
      </c>
    </row>
    <row r="12" spans="2:11" x14ac:dyDescent="0.35">
      <c r="B12" s="302"/>
      <c r="C12" s="47" t="s">
        <v>264</v>
      </c>
      <c r="D12" s="137">
        <f>Reporting!G125</f>
        <v>159490</v>
      </c>
      <c r="E12" s="138">
        <f>Reporting!H125</f>
        <v>18.069828829393693</v>
      </c>
      <c r="F12" s="137">
        <f>Reporting!I125</f>
        <v>2881957</v>
      </c>
      <c r="G12" s="138">
        <f>Reporting!J125</f>
        <v>0.34352290821826975</v>
      </c>
      <c r="H12" s="154">
        <f>Reporting!K125</f>
        <v>990018.25</v>
      </c>
    </row>
    <row r="13" spans="2:11" x14ac:dyDescent="0.35">
      <c r="B13" s="161" t="s">
        <v>356</v>
      </c>
      <c r="C13" s="162"/>
      <c r="D13" s="139">
        <f>Reporting!G131</f>
        <v>3599004</v>
      </c>
      <c r="E13" s="140">
        <f>Reporting!H131</f>
        <v>3.2542858301907973</v>
      </c>
      <c r="F13" s="139">
        <f>Reporting!I131</f>
        <v>11712187.720000001</v>
      </c>
      <c r="G13" s="160">
        <f>Reporting!J131</f>
        <v>8.3500000000000005E-2</v>
      </c>
      <c r="H13" s="155">
        <f>Reporting!K131</f>
        <v>977967.67462000006</v>
      </c>
    </row>
    <row r="14" spans="2:11" x14ac:dyDescent="0.35">
      <c r="B14" s="311" t="s">
        <v>371</v>
      </c>
      <c r="C14" s="312"/>
      <c r="D14" s="141">
        <f>Reporting!G139</f>
        <v>3783991</v>
      </c>
      <c r="E14" s="142">
        <f>Reporting!H139</f>
        <v>4.1064124412558067</v>
      </c>
      <c r="F14" s="141">
        <f>Reporting!I139</f>
        <v>15538627.720000001</v>
      </c>
      <c r="G14" s="142">
        <f>Reporting!J139</f>
        <v>0.23454193007849472</v>
      </c>
      <c r="H14" s="143">
        <f>Reporting!K139</f>
        <v>3644459.7362199998</v>
      </c>
    </row>
    <row r="15" spans="2:11" x14ac:dyDescent="0.35">
      <c r="B15" s="305" t="s">
        <v>372</v>
      </c>
      <c r="C15" s="306"/>
      <c r="D15" s="306"/>
      <c r="E15" s="306"/>
      <c r="F15" s="306"/>
      <c r="G15" s="306"/>
      <c r="H15" s="307"/>
    </row>
    <row r="16" spans="2:11" x14ac:dyDescent="0.35">
      <c r="B16" s="301" t="s">
        <v>368</v>
      </c>
      <c r="C16" s="135" t="s">
        <v>369</v>
      </c>
      <c r="D16" s="144">
        <f>Recordkeeping!G12</f>
        <v>56</v>
      </c>
      <c r="E16" s="145">
        <f>Recordkeeping!H12</f>
        <v>28</v>
      </c>
      <c r="F16" s="144">
        <f>Recordkeeping!I12</f>
        <v>1568</v>
      </c>
      <c r="G16" s="145">
        <f>Recordkeeping!J12</f>
        <v>5.4464285714285712</v>
      </c>
      <c r="H16" s="156">
        <f>Recordkeeping!K12</f>
        <v>8540</v>
      </c>
    </row>
    <row r="17" spans="2:8" x14ac:dyDescent="0.35">
      <c r="B17" s="302"/>
      <c r="C17" s="47" t="s">
        <v>370</v>
      </c>
      <c r="D17" s="144">
        <f>Recordkeeping!G17</f>
        <v>3791</v>
      </c>
      <c r="E17" s="145">
        <f>Recordkeeping!H17</f>
        <v>6.7000791347929303</v>
      </c>
      <c r="F17" s="144">
        <f>Recordkeeping!I17</f>
        <v>25400</v>
      </c>
      <c r="G17" s="145">
        <f>Recordkeeping!J17</f>
        <v>0.46156200787401575</v>
      </c>
      <c r="H17" s="156">
        <f>Recordkeeping!K17</f>
        <v>11723.674999999999</v>
      </c>
    </row>
    <row r="18" spans="2:8" x14ac:dyDescent="0.35">
      <c r="B18" s="313" t="s">
        <v>354</v>
      </c>
      <c r="C18" s="47" t="s">
        <v>250</v>
      </c>
      <c r="D18" s="144">
        <f>Recordkeeping!G25</f>
        <v>21650</v>
      </c>
      <c r="E18" s="145">
        <f>Recordkeeping!H25</f>
        <v>7.3043418013856813</v>
      </c>
      <c r="F18" s="144">
        <f>Recordkeeping!I25</f>
        <v>158139</v>
      </c>
      <c r="G18" s="145">
        <f>Recordkeeping!J25</f>
        <v>0.42599216512055854</v>
      </c>
      <c r="H18" s="156">
        <f>Recordkeeping!K25</f>
        <v>67365.975000000006</v>
      </c>
    </row>
    <row r="19" spans="2:8" x14ac:dyDescent="0.35">
      <c r="B19" s="302"/>
      <c r="C19" s="47" t="s">
        <v>264</v>
      </c>
      <c r="D19" s="144">
        <f>Recordkeeping!G29</f>
        <v>159490</v>
      </c>
      <c r="E19" s="145">
        <f>Recordkeeping!H29</f>
        <v>3.0033857922126779</v>
      </c>
      <c r="F19" s="144">
        <f>Recordkeeping!I29</f>
        <v>479010</v>
      </c>
      <c r="G19" s="145">
        <f>Recordkeeping!J29</f>
        <v>1.0002818312770088</v>
      </c>
      <c r="H19" s="156">
        <f>Recordkeeping!K29</f>
        <v>479145</v>
      </c>
    </row>
    <row r="20" spans="2:8" x14ac:dyDescent="0.35">
      <c r="B20" s="303" t="s">
        <v>373</v>
      </c>
      <c r="C20" s="304"/>
      <c r="D20" s="141">
        <f>Recordkeeping!G38</f>
        <v>184987</v>
      </c>
      <c r="E20" s="142">
        <f>Recordkeeping!H38</f>
        <v>3.5900738970846602</v>
      </c>
      <c r="F20" s="141">
        <f>Recordkeeping!I38</f>
        <v>664117</v>
      </c>
      <c r="G20" s="142">
        <f>Recordkeeping!J38</f>
        <v>0.85342590236358962</v>
      </c>
      <c r="H20" s="143">
        <f>Recordkeeping!K38</f>
        <v>566774.65</v>
      </c>
    </row>
    <row r="21" spans="2:8" x14ac:dyDescent="0.35">
      <c r="B21" s="308" t="s">
        <v>374</v>
      </c>
      <c r="C21" s="309"/>
      <c r="D21" s="309"/>
      <c r="E21" s="309"/>
      <c r="F21" s="309"/>
      <c r="G21" s="309"/>
      <c r="H21" s="310"/>
    </row>
    <row r="22" spans="2:8" x14ac:dyDescent="0.35">
      <c r="B22" s="301" t="s">
        <v>368</v>
      </c>
      <c r="C22" s="135" t="s">
        <v>369</v>
      </c>
      <c r="D22" s="137">
        <f>'Public Disclosure'!G9</f>
        <v>28</v>
      </c>
      <c r="E22" s="138">
        <f>'Public Disclosure'!H9</f>
        <v>1</v>
      </c>
      <c r="F22" s="137">
        <f>'Public Disclosure'!I9</f>
        <v>28</v>
      </c>
      <c r="G22" s="138">
        <f>'Public Disclosure'!J9</f>
        <v>0.25</v>
      </c>
      <c r="H22" s="154">
        <f>'Public Disclosure'!K9</f>
        <v>7</v>
      </c>
    </row>
    <row r="23" spans="2:8" x14ac:dyDescent="0.35">
      <c r="B23" s="302"/>
      <c r="C23" s="47" t="s">
        <v>370</v>
      </c>
      <c r="D23" s="137">
        <f>'Public Disclosure'!G11</f>
        <v>1629</v>
      </c>
      <c r="E23" s="138">
        <f>'Public Disclosure'!H11</f>
        <v>1</v>
      </c>
      <c r="F23" s="137">
        <f>'Public Disclosure'!I11</f>
        <v>1629</v>
      </c>
      <c r="G23" s="138">
        <f>'Public Disclosure'!J11</f>
        <v>0.25</v>
      </c>
      <c r="H23" s="154">
        <f>'Public Disclosure'!K11</f>
        <v>407.25</v>
      </c>
    </row>
    <row r="24" spans="2:8" x14ac:dyDescent="0.35">
      <c r="B24" s="150" t="s">
        <v>354</v>
      </c>
      <c r="C24" s="47" t="s">
        <v>250</v>
      </c>
      <c r="D24" s="137">
        <f>'Public Disclosure'!G15</f>
        <v>9301</v>
      </c>
      <c r="E24" s="138">
        <f>'Public Disclosure'!H15</f>
        <v>1</v>
      </c>
      <c r="F24" s="137">
        <f>'Public Disclosure'!I15</f>
        <v>9301</v>
      </c>
      <c r="G24" s="138">
        <f>'Public Disclosure'!J15</f>
        <v>0.25</v>
      </c>
      <c r="H24" s="154">
        <f>'Public Disclosure'!K15</f>
        <v>2325.25</v>
      </c>
    </row>
    <row r="25" spans="2:8" x14ac:dyDescent="0.35">
      <c r="B25" s="303" t="s">
        <v>375</v>
      </c>
      <c r="C25" s="304"/>
      <c r="D25" s="141">
        <f>'Public Disclosure'!G24</f>
        <v>10958</v>
      </c>
      <c r="E25" s="142">
        <f>'Public Disclosure'!H24</f>
        <v>1</v>
      </c>
      <c r="F25" s="141">
        <f>'Public Disclosure'!I24</f>
        <v>10958</v>
      </c>
      <c r="G25" s="142">
        <f>'Public Disclosure'!J24</f>
        <v>0.25</v>
      </c>
      <c r="H25" s="143">
        <f>'Public Disclosure'!K24</f>
        <v>2739.5</v>
      </c>
    </row>
    <row r="26" spans="2:8" ht="15" thickBot="1" x14ac:dyDescent="0.4">
      <c r="B26" s="99" t="s">
        <v>376</v>
      </c>
      <c r="C26" s="134"/>
      <c r="D26" s="146">
        <f>D14+D25</f>
        <v>3794949</v>
      </c>
      <c r="E26" s="147">
        <f>F26/D26</f>
        <v>4.2724428496931051</v>
      </c>
      <c r="F26" s="146">
        <f>F14+F20+F25</f>
        <v>16213702.720000001</v>
      </c>
      <c r="G26" s="147">
        <f>H26/F26</f>
        <v>0.25990200751750303</v>
      </c>
      <c r="H26" s="148">
        <f>H14+H20+H25</f>
        <v>4213973.8862199998</v>
      </c>
    </row>
    <row r="28" spans="2:8" x14ac:dyDescent="0.35">
      <c r="D28" s="94"/>
      <c r="E28" s="158"/>
      <c r="F28" s="158"/>
      <c r="G28" s="158"/>
      <c r="H28" s="158"/>
    </row>
    <row r="29" spans="2:8" x14ac:dyDescent="0.35">
      <c r="H29" s="78"/>
    </row>
    <row r="30" spans="2:8" x14ac:dyDescent="0.35">
      <c r="H30" s="78"/>
    </row>
    <row r="32" spans="2:8" x14ac:dyDescent="0.35">
      <c r="H32" s="158"/>
    </row>
  </sheetData>
  <mergeCells count="14">
    <mergeCell ref="B2:H3"/>
    <mergeCell ref="B6:H6"/>
    <mergeCell ref="B9:B10"/>
    <mergeCell ref="B11:B12"/>
    <mergeCell ref="B7:C7"/>
    <mergeCell ref="B22:B23"/>
    <mergeCell ref="B20:C20"/>
    <mergeCell ref="B25:C25"/>
    <mergeCell ref="B8:H8"/>
    <mergeCell ref="B15:H15"/>
    <mergeCell ref="B21:H21"/>
    <mergeCell ref="B14:C14"/>
    <mergeCell ref="B16:B17"/>
    <mergeCell ref="B18:B19"/>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38"/>
  <sheetViews>
    <sheetView showGridLines="0" topLeftCell="A5" zoomScale="75" zoomScaleNormal="75" zoomScalePageLayoutView="80" workbookViewId="0">
      <selection activeCell="J24" sqref="J24"/>
    </sheetView>
  </sheetViews>
  <sheetFormatPr defaultColWidth="8.7265625" defaultRowHeight="14.5" x14ac:dyDescent="0.35"/>
  <cols>
    <col min="1" max="1" width="8.7265625" customWidth="1"/>
    <col min="2" max="2" width="36.453125" customWidth="1"/>
    <col min="3" max="3" width="24.1796875" bestFit="1" customWidth="1"/>
    <col min="4" max="4" width="18.453125" customWidth="1"/>
    <col min="5" max="5" width="14.26953125" style="204" customWidth="1"/>
    <col min="6" max="6" width="18" style="183" customWidth="1"/>
    <col min="10" max="10" width="14.1796875" customWidth="1"/>
  </cols>
  <sheetData>
    <row r="1" spans="2:10" hidden="1" x14ac:dyDescent="0.35"/>
    <row r="2" spans="2:10" ht="14.5" hidden="1" customHeight="1" thickBot="1" x14ac:dyDescent="0.4">
      <c r="B2" s="300" t="s">
        <v>360</v>
      </c>
      <c r="C2" s="300"/>
      <c r="D2" s="300"/>
      <c r="E2" s="300"/>
      <c r="F2" s="300"/>
    </row>
    <row r="3" spans="2:10" ht="14.5" hidden="1" customHeight="1" thickBot="1" x14ac:dyDescent="0.4">
      <c r="B3" s="300"/>
      <c r="C3" s="300"/>
      <c r="D3" s="300"/>
      <c r="E3" s="300"/>
      <c r="F3" s="300"/>
    </row>
    <row r="4" spans="2:10" hidden="1" x14ac:dyDescent="0.35"/>
    <row r="5" spans="2:10" ht="15" thickBot="1" x14ac:dyDescent="0.4"/>
    <row r="6" spans="2:10" ht="21.65" customHeight="1" thickBot="1" x14ac:dyDescent="0.4">
      <c r="B6" s="296" t="s">
        <v>361</v>
      </c>
      <c r="C6" s="294"/>
      <c r="D6" s="294"/>
      <c r="E6" s="294"/>
      <c r="F6" s="295"/>
    </row>
    <row r="7" spans="2:10" ht="51.65" customHeight="1" x14ac:dyDescent="0.35">
      <c r="B7" s="314" t="s">
        <v>362</v>
      </c>
      <c r="C7" s="315"/>
      <c r="D7" s="151" t="s">
        <v>365</v>
      </c>
      <c r="E7" s="203" t="s">
        <v>377</v>
      </c>
      <c r="F7" s="152" t="s">
        <v>378</v>
      </c>
      <c r="G7" s="77"/>
    </row>
    <row r="8" spans="2:10" x14ac:dyDescent="0.35">
      <c r="B8" s="305" t="s">
        <v>379</v>
      </c>
      <c r="C8" s="306"/>
      <c r="D8" s="306"/>
      <c r="E8" s="306"/>
      <c r="F8" s="307"/>
    </row>
    <row r="9" spans="2:10" x14ac:dyDescent="0.35">
      <c r="B9" s="301" t="s">
        <v>368</v>
      </c>
      <c r="C9" s="135" t="s">
        <v>369</v>
      </c>
      <c r="D9" s="136">
        <f>Reporting!I62</f>
        <v>83785</v>
      </c>
      <c r="E9" s="205">
        <v>1</v>
      </c>
      <c r="F9" s="153">
        <f>ROUND(D9*E9,0)</f>
        <v>83785</v>
      </c>
      <c r="I9" s="158"/>
    </row>
    <row r="10" spans="2:10" ht="18.5" x14ac:dyDescent="0.45">
      <c r="B10" s="302"/>
      <c r="C10" s="47" t="s">
        <v>370</v>
      </c>
      <c r="D10" s="137">
        <f>Reporting!I89</f>
        <v>128182</v>
      </c>
      <c r="E10" s="206">
        <v>0.5</v>
      </c>
      <c r="F10" s="153">
        <f t="shared" ref="F10:F13" si="0">ROUND(D10*E10,0)</f>
        <v>64091</v>
      </c>
      <c r="H10" s="214" t="s">
        <v>380</v>
      </c>
      <c r="I10" s="212"/>
      <c r="J10" s="212"/>
    </row>
    <row r="11" spans="2:10" ht="15.5" x14ac:dyDescent="0.35">
      <c r="B11" s="313" t="s">
        <v>354</v>
      </c>
      <c r="C11" s="47" t="s">
        <v>250</v>
      </c>
      <c r="D11" s="137">
        <f>Reporting!I118</f>
        <v>732516</v>
      </c>
      <c r="E11" s="206">
        <v>0.5</v>
      </c>
      <c r="F11" s="153">
        <f t="shared" si="0"/>
        <v>366258</v>
      </c>
      <c r="H11" s="213" t="s">
        <v>381</v>
      </c>
      <c r="J11" s="211">
        <f>F26</f>
        <v>8149544</v>
      </c>
    </row>
    <row r="12" spans="2:10" ht="15.5" x14ac:dyDescent="0.35">
      <c r="B12" s="302"/>
      <c r="C12" s="47" t="s">
        <v>264</v>
      </c>
      <c r="D12" s="137">
        <f>Reporting!I125</f>
        <v>2881957</v>
      </c>
      <c r="E12" s="206">
        <v>0.5</v>
      </c>
      <c r="F12" s="153">
        <f t="shared" si="0"/>
        <v>1440979</v>
      </c>
      <c r="H12" s="213" t="s">
        <v>382</v>
      </c>
      <c r="J12" s="220">
        <f>J11/D26</f>
        <v>0.5026331209309356</v>
      </c>
    </row>
    <row r="13" spans="2:10" x14ac:dyDescent="0.35">
      <c r="B13" s="161" t="s">
        <v>356</v>
      </c>
      <c r="C13" s="162"/>
      <c r="D13" s="139">
        <f>Reporting!I131</f>
        <v>11712187.720000001</v>
      </c>
      <c r="E13" s="207">
        <v>0.5</v>
      </c>
      <c r="F13" s="153">
        <f t="shared" si="0"/>
        <v>5856094</v>
      </c>
    </row>
    <row r="14" spans="2:10" x14ac:dyDescent="0.35">
      <c r="B14" s="311" t="s">
        <v>371</v>
      </c>
      <c r="C14" s="312"/>
      <c r="D14" s="141">
        <f>Reporting!I139</f>
        <v>15538627.720000001</v>
      </c>
      <c r="E14" s="208"/>
      <c r="F14" s="143">
        <f>SUM(F9:F13)</f>
        <v>7811207</v>
      </c>
    </row>
    <row r="15" spans="2:10" x14ac:dyDescent="0.35">
      <c r="B15" s="305" t="s">
        <v>383</v>
      </c>
      <c r="C15" s="306"/>
      <c r="D15" s="306"/>
      <c r="E15" s="306"/>
      <c r="F15" s="307"/>
    </row>
    <row r="16" spans="2:10" x14ac:dyDescent="0.35">
      <c r="B16" s="301" t="s">
        <v>368</v>
      </c>
      <c r="C16" s="135" t="s">
        <v>369</v>
      </c>
      <c r="D16" s="144">
        <f>Recordkeeping!I12</f>
        <v>1568</v>
      </c>
      <c r="E16" s="205">
        <v>1</v>
      </c>
      <c r="F16" s="153">
        <f t="shared" ref="F16:F19" si="1">ROUND(D16*E16,0)</f>
        <v>1568</v>
      </c>
    </row>
    <row r="17" spans="2:6" x14ac:dyDescent="0.35">
      <c r="B17" s="302"/>
      <c r="C17" s="47" t="s">
        <v>370</v>
      </c>
      <c r="D17" s="144">
        <f>Recordkeeping!I17</f>
        <v>25400</v>
      </c>
      <c r="E17" s="206">
        <v>0.5</v>
      </c>
      <c r="F17" s="153">
        <f t="shared" si="1"/>
        <v>12700</v>
      </c>
    </row>
    <row r="18" spans="2:6" x14ac:dyDescent="0.35">
      <c r="B18" s="313" t="s">
        <v>354</v>
      </c>
      <c r="C18" s="47" t="s">
        <v>250</v>
      </c>
      <c r="D18" s="144">
        <f>Recordkeeping!I25</f>
        <v>158139</v>
      </c>
      <c r="E18" s="206">
        <v>0.5</v>
      </c>
      <c r="F18" s="153">
        <f t="shared" si="1"/>
        <v>79070</v>
      </c>
    </row>
    <row r="19" spans="2:6" x14ac:dyDescent="0.35">
      <c r="B19" s="302"/>
      <c r="C19" s="47" t="s">
        <v>264</v>
      </c>
      <c r="D19" s="144">
        <f>Recordkeeping!I29</f>
        <v>479010</v>
      </c>
      <c r="E19" s="206">
        <v>0.5</v>
      </c>
      <c r="F19" s="153">
        <f t="shared" si="1"/>
        <v>239505</v>
      </c>
    </row>
    <row r="20" spans="2:6" x14ac:dyDescent="0.35">
      <c r="B20" s="303" t="s">
        <v>373</v>
      </c>
      <c r="C20" s="304"/>
      <c r="D20" s="141">
        <f>Recordkeeping!I38</f>
        <v>664117</v>
      </c>
      <c r="E20" s="208"/>
      <c r="F20" s="143">
        <f>SUM(F16:F19)</f>
        <v>332843</v>
      </c>
    </row>
    <row r="21" spans="2:6" x14ac:dyDescent="0.35">
      <c r="B21" s="308" t="s">
        <v>384</v>
      </c>
      <c r="C21" s="309"/>
      <c r="D21" s="309"/>
      <c r="E21" s="309"/>
      <c r="F21" s="310"/>
    </row>
    <row r="22" spans="2:6" x14ac:dyDescent="0.35">
      <c r="B22" s="301" t="s">
        <v>368</v>
      </c>
      <c r="C22" s="135" t="s">
        <v>369</v>
      </c>
      <c r="D22" s="137">
        <f>'Public Disclosure'!I9</f>
        <v>28</v>
      </c>
      <c r="E22" s="205">
        <v>1</v>
      </c>
      <c r="F22" s="153">
        <f t="shared" ref="F22:F24" si="2">ROUND(D22*E22,0)</f>
        <v>28</v>
      </c>
    </row>
    <row r="23" spans="2:6" x14ac:dyDescent="0.35">
      <c r="B23" s="302"/>
      <c r="C23" s="47" t="s">
        <v>370</v>
      </c>
      <c r="D23" s="137">
        <f>'Public Disclosure'!I11</f>
        <v>1629</v>
      </c>
      <c r="E23" s="206">
        <v>0.5</v>
      </c>
      <c r="F23" s="153">
        <f t="shared" si="2"/>
        <v>815</v>
      </c>
    </row>
    <row r="24" spans="2:6" x14ac:dyDescent="0.35">
      <c r="B24" s="150" t="s">
        <v>354</v>
      </c>
      <c r="C24" s="47" t="s">
        <v>250</v>
      </c>
      <c r="D24" s="137">
        <f>'Public Disclosure'!I15</f>
        <v>9301</v>
      </c>
      <c r="E24" s="206">
        <v>0.5</v>
      </c>
      <c r="F24" s="153">
        <f t="shared" si="2"/>
        <v>4651</v>
      </c>
    </row>
    <row r="25" spans="2:6" x14ac:dyDescent="0.35">
      <c r="B25" s="303" t="s">
        <v>375</v>
      </c>
      <c r="C25" s="304"/>
      <c r="D25" s="141">
        <f>'Public Disclosure'!I24</f>
        <v>10958</v>
      </c>
      <c r="E25" s="208"/>
      <c r="F25" s="143">
        <f>SUM(F22:F24)</f>
        <v>5494</v>
      </c>
    </row>
    <row r="26" spans="2:6" ht="15" thickBot="1" x14ac:dyDescent="0.4">
      <c r="B26" s="99" t="s">
        <v>376</v>
      </c>
      <c r="C26" s="134"/>
      <c r="D26" s="146">
        <f>D14+D20+D25</f>
        <v>16213702.720000001</v>
      </c>
      <c r="E26" s="209"/>
      <c r="F26" s="210">
        <f>F14+F20+F25</f>
        <v>8149544</v>
      </c>
    </row>
    <row r="28" spans="2:6" x14ac:dyDescent="0.35">
      <c r="E28"/>
      <c r="F28"/>
    </row>
    <row r="29" spans="2:6" x14ac:dyDescent="0.35">
      <c r="E29"/>
      <c r="F29"/>
    </row>
    <row r="30" spans="2:6" x14ac:dyDescent="0.35">
      <c r="E30"/>
      <c r="F30"/>
    </row>
    <row r="31" spans="2:6" x14ac:dyDescent="0.35">
      <c r="E31"/>
      <c r="F31"/>
    </row>
    <row r="32" spans="2:6" x14ac:dyDescent="0.35">
      <c r="E32"/>
      <c r="F32"/>
    </row>
    <row r="33" spans="5:6" x14ac:dyDescent="0.35">
      <c r="E33"/>
      <c r="F33"/>
    </row>
    <row r="34" spans="5:6" x14ac:dyDescent="0.35">
      <c r="E34"/>
      <c r="F34"/>
    </row>
    <row r="35" spans="5:6" x14ac:dyDescent="0.35">
      <c r="E35"/>
      <c r="F35"/>
    </row>
    <row r="36" spans="5:6" x14ac:dyDescent="0.35">
      <c r="E36"/>
      <c r="F36"/>
    </row>
    <row r="37" spans="5:6" x14ac:dyDescent="0.35">
      <c r="E37"/>
      <c r="F37"/>
    </row>
    <row r="38" spans="5:6" x14ac:dyDescent="0.35">
      <c r="E38"/>
      <c r="F38"/>
    </row>
  </sheetData>
  <mergeCells count="14">
    <mergeCell ref="B11:B12"/>
    <mergeCell ref="B2:F3"/>
    <mergeCell ref="B6:F6"/>
    <mergeCell ref="B7:C7"/>
    <mergeCell ref="B8:F8"/>
    <mergeCell ref="B9:B10"/>
    <mergeCell ref="B22:B23"/>
    <mergeCell ref="B25:C25"/>
    <mergeCell ref="B14:C14"/>
    <mergeCell ref="B15:F15"/>
    <mergeCell ref="B16:B17"/>
    <mergeCell ref="B18:B19"/>
    <mergeCell ref="B20:C20"/>
    <mergeCell ref="B21:F21"/>
  </mergeCells>
  <pageMargins left="0.7" right="0.7" top="0.75" bottom="0.75" header="0.3" footer="0.3"/>
  <pageSetup paperSize="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1:T63"/>
  <sheetViews>
    <sheetView showGridLines="0" zoomScale="60" zoomScaleNormal="60" zoomScalePageLayoutView="90" workbookViewId="0">
      <pane ySplit="8" topLeftCell="A18" activePane="bottomLeft" state="frozen"/>
      <selection pane="bottomLeft" activeCell="D26" sqref="D26"/>
    </sheetView>
  </sheetViews>
  <sheetFormatPr defaultColWidth="8.81640625" defaultRowHeight="14.5" x14ac:dyDescent="0.35"/>
  <cols>
    <col min="1" max="1" width="7.1796875" customWidth="1"/>
    <col min="2" max="2" width="46.453125" style="2" customWidth="1"/>
    <col min="3" max="3" width="17.26953125" style="4" customWidth="1"/>
    <col min="4" max="4" width="15.26953125" style="4" customWidth="1"/>
    <col min="5" max="5" width="71.453125" style="2" customWidth="1"/>
    <col min="6" max="6" width="15.453125" style="2" customWidth="1"/>
    <col min="7" max="7" width="40.453125" style="2" customWidth="1"/>
    <col min="8" max="8" width="61.453125" style="2" customWidth="1"/>
    <col min="9" max="9" width="47.453125" style="2" customWidth="1"/>
    <col min="10" max="10" width="8.81640625" style="2"/>
    <col min="11" max="11" width="12.54296875" style="2" bestFit="1" customWidth="1"/>
    <col min="12" max="16384" width="8.81640625" style="2"/>
  </cols>
  <sheetData>
    <row r="1" spans="2:9" ht="23.5" x14ac:dyDescent="0.35">
      <c r="B1" s="316" t="s">
        <v>385</v>
      </c>
      <c r="C1" s="316"/>
      <c r="D1" s="316"/>
      <c r="E1" s="316"/>
      <c r="F1" s="316"/>
      <c r="G1" s="316"/>
    </row>
    <row r="4" spans="2:9" ht="20.25" customHeight="1" x14ac:dyDescent="0.35">
      <c r="C4" s="9">
        <f>D34+D35</f>
        <v>159490</v>
      </c>
      <c r="D4" s="15" t="s">
        <v>0</v>
      </c>
      <c r="E4" s="45" t="s">
        <v>386</v>
      </c>
      <c r="F4"/>
    </row>
    <row r="5" spans="2:9" ht="20.25" customHeight="1" x14ac:dyDescent="0.35">
      <c r="D5" s="2"/>
      <c r="E5" s="228" t="s">
        <v>387</v>
      </c>
      <c r="F5"/>
    </row>
    <row r="6" spans="2:9" x14ac:dyDescent="0.35">
      <c r="E6" s="15"/>
    </row>
    <row r="7" spans="2:9" ht="22.5" customHeight="1" x14ac:dyDescent="0.35">
      <c r="B7" s="317" t="s">
        <v>388</v>
      </c>
      <c r="C7" s="258" t="s">
        <v>389</v>
      </c>
      <c r="D7" s="317" t="s">
        <v>390</v>
      </c>
      <c r="E7" s="317"/>
      <c r="F7" s="258" t="s">
        <v>391</v>
      </c>
      <c r="G7" s="317" t="s">
        <v>17</v>
      </c>
    </row>
    <row r="8" spans="2:9" ht="28.5" customHeight="1" x14ac:dyDescent="0.35">
      <c r="B8" s="317"/>
      <c r="C8" s="258"/>
      <c r="D8" s="228" t="s">
        <v>392</v>
      </c>
      <c r="E8" s="228" t="s">
        <v>393</v>
      </c>
      <c r="F8" s="258"/>
      <c r="G8" s="317"/>
    </row>
    <row r="9" spans="2:9" ht="38.15" customHeight="1" x14ac:dyDescent="0.35">
      <c r="B9" s="318" t="s">
        <v>29</v>
      </c>
      <c r="C9" s="318"/>
      <c r="D9" s="318"/>
      <c r="E9" s="318"/>
      <c r="F9" s="318"/>
      <c r="G9" s="318"/>
    </row>
    <row r="10" spans="2:9" ht="72.5" x14ac:dyDescent="0.35">
      <c r="B10" s="44" t="s">
        <v>394</v>
      </c>
      <c r="C10" s="54">
        <v>56</v>
      </c>
      <c r="D10" s="57">
        <v>56</v>
      </c>
      <c r="E10" s="47" t="s">
        <v>395</v>
      </c>
      <c r="F10" s="5">
        <f t="shared" ref="F10:F16" si="0">D10-C10</f>
        <v>0</v>
      </c>
      <c r="G10" s="44" t="s">
        <v>396</v>
      </c>
      <c r="I10"/>
    </row>
    <row r="11" spans="2:9" ht="83.25" customHeight="1" x14ac:dyDescent="0.35">
      <c r="B11" s="46" t="s">
        <v>397</v>
      </c>
      <c r="C11" s="54">
        <v>10</v>
      </c>
      <c r="D11" s="57">
        <v>10</v>
      </c>
      <c r="E11" s="47" t="s">
        <v>395</v>
      </c>
      <c r="F11" s="5">
        <f t="shared" si="0"/>
        <v>0</v>
      </c>
      <c r="G11" s="44"/>
      <c r="I11"/>
    </row>
    <row r="12" spans="2:9" ht="58.5" customHeight="1" x14ac:dyDescent="0.35">
      <c r="B12" s="46" t="s">
        <v>398</v>
      </c>
      <c r="C12" s="54">
        <v>10</v>
      </c>
      <c r="D12" s="57">
        <v>10</v>
      </c>
      <c r="E12" s="47" t="s">
        <v>395</v>
      </c>
      <c r="F12" s="5">
        <f t="shared" si="0"/>
        <v>0</v>
      </c>
      <c r="G12" s="44"/>
    </row>
    <row r="13" spans="2:9" ht="60" customHeight="1" x14ac:dyDescent="0.35">
      <c r="B13" s="46" t="s">
        <v>399</v>
      </c>
      <c r="C13" s="54">
        <v>15</v>
      </c>
      <c r="D13" s="57">
        <v>15</v>
      </c>
      <c r="E13" s="47" t="s">
        <v>395</v>
      </c>
      <c r="F13" s="5">
        <f t="shared" si="0"/>
        <v>0</v>
      </c>
      <c r="G13" s="44"/>
    </row>
    <row r="14" spans="2:9" ht="115.5" customHeight="1" x14ac:dyDescent="0.35">
      <c r="B14" s="46" t="s">
        <v>400</v>
      </c>
      <c r="C14" s="54">
        <v>18</v>
      </c>
      <c r="D14" s="57">
        <v>18</v>
      </c>
      <c r="E14" s="47" t="s">
        <v>395</v>
      </c>
      <c r="F14" s="5">
        <f t="shared" si="0"/>
        <v>0</v>
      </c>
      <c r="G14" s="44"/>
    </row>
    <row r="15" spans="2:9" ht="51.75" customHeight="1" x14ac:dyDescent="0.35">
      <c r="B15" s="46" t="s">
        <v>401</v>
      </c>
      <c r="C15" s="54">
        <v>15</v>
      </c>
      <c r="D15" s="57">
        <v>15</v>
      </c>
      <c r="E15" s="47" t="s">
        <v>395</v>
      </c>
      <c r="F15" s="5">
        <f t="shared" si="0"/>
        <v>0</v>
      </c>
      <c r="G15" s="44"/>
    </row>
    <row r="16" spans="2:9" ht="48" customHeight="1" x14ac:dyDescent="0.35">
      <c r="B16" s="46" t="s">
        <v>402</v>
      </c>
      <c r="C16" s="54">
        <v>15</v>
      </c>
      <c r="D16" s="57">
        <v>15</v>
      </c>
      <c r="E16" s="47" t="s">
        <v>395</v>
      </c>
      <c r="F16" s="5">
        <f t="shared" si="0"/>
        <v>0</v>
      </c>
      <c r="G16" s="44"/>
    </row>
    <row r="17" spans="2:13" ht="49.5" customHeight="1" x14ac:dyDescent="0.35">
      <c r="B17" s="46" t="s">
        <v>403</v>
      </c>
      <c r="C17" s="54" t="s">
        <v>404</v>
      </c>
      <c r="D17" s="57">
        <v>0</v>
      </c>
      <c r="E17" s="47" t="s">
        <v>405</v>
      </c>
      <c r="F17" s="5">
        <v>0</v>
      </c>
      <c r="G17" s="44"/>
    </row>
    <row r="18" spans="2:13" ht="48" customHeight="1" x14ac:dyDescent="0.35">
      <c r="B18" s="46" t="s">
        <v>406</v>
      </c>
      <c r="C18" s="54">
        <v>10</v>
      </c>
      <c r="D18" s="57">
        <v>10</v>
      </c>
      <c r="E18" s="47" t="s">
        <v>395</v>
      </c>
      <c r="F18" s="5">
        <f>D18-C18</f>
        <v>0</v>
      </c>
      <c r="G18" s="44"/>
    </row>
    <row r="19" spans="2:13" ht="42.65" customHeight="1" x14ac:dyDescent="0.35">
      <c r="B19" s="319" t="s">
        <v>249</v>
      </c>
      <c r="C19" s="319"/>
      <c r="D19" s="319"/>
      <c r="E19" s="319"/>
      <c r="F19" s="319"/>
      <c r="G19" s="319"/>
    </row>
    <row r="20" spans="2:13" ht="41.15" customHeight="1" x14ac:dyDescent="0.35">
      <c r="B20" s="319" t="s">
        <v>407</v>
      </c>
      <c r="C20" s="319"/>
      <c r="D20" s="319"/>
      <c r="E20" s="319"/>
      <c r="F20" s="319"/>
      <c r="G20" s="319"/>
    </row>
    <row r="21" spans="2:13" ht="116" x14ac:dyDescent="0.35">
      <c r="B21" s="44" t="s">
        <v>408</v>
      </c>
      <c r="C21" s="54" t="s">
        <v>404</v>
      </c>
      <c r="D21" s="48">
        <v>0.14899999999999999</v>
      </c>
      <c r="E21" s="44" t="s">
        <v>409</v>
      </c>
      <c r="F21" s="54" t="s">
        <v>404</v>
      </c>
      <c r="G21" s="229"/>
    </row>
    <row r="22" spans="2:13" ht="31.5" customHeight="1" x14ac:dyDescent="0.35">
      <c r="B22" s="44" t="s">
        <v>410</v>
      </c>
      <c r="C22" s="54" t="s">
        <v>404</v>
      </c>
      <c r="D22" s="132">
        <f>1-D21</f>
        <v>0.85099999999999998</v>
      </c>
      <c r="E22" s="229"/>
      <c r="F22" s="54" t="s">
        <v>404</v>
      </c>
      <c r="G22" s="229"/>
    </row>
    <row r="23" spans="2:13" ht="106.5" customHeight="1" x14ac:dyDescent="0.35">
      <c r="B23" s="44" t="s">
        <v>411</v>
      </c>
      <c r="C23" s="54" t="s">
        <v>404</v>
      </c>
      <c r="D23" s="48">
        <v>0.13100000000000001</v>
      </c>
      <c r="E23" s="44" t="s">
        <v>409</v>
      </c>
      <c r="F23" s="54" t="s">
        <v>404</v>
      </c>
      <c r="G23" s="229"/>
    </row>
    <row r="24" spans="2:13" ht="51.65" customHeight="1" x14ac:dyDescent="0.35">
      <c r="B24" s="44" t="s">
        <v>412</v>
      </c>
      <c r="C24" s="54" t="s">
        <v>404</v>
      </c>
      <c r="D24" s="132">
        <f>1-D23</f>
        <v>0.86899999999999999</v>
      </c>
      <c r="E24" s="229"/>
      <c r="F24" s="54" t="s">
        <v>404</v>
      </c>
      <c r="G24" s="229"/>
    </row>
    <row r="25" spans="2:13" ht="53.25" customHeight="1" x14ac:dyDescent="0.35">
      <c r="B25" s="47" t="s">
        <v>413</v>
      </c>
      <c r="C25" s="50">
        <v>21052</v>
      </c>
      <c r="D25" s="58">
        <f>ROUND('National DB Data_20200812_2'!H5,0)</f>
        <v>21858</v>
      </c>
      <c r="E25" s="44" t="s">
        <v>414</v>
      </c>
      <c r="F25" s="50">
        <f t="shared" ref="F25:F32" si="1">D25-C25</f>
        <v>806</v>
      </c>
      <c r="G25" s="44"/>
      <c r="H25"/>
      <c r="I25"/>
    </row>
    <row r="26" spans="2:13" ht="51.75" customHeight="1" x14ac:dyDescent="0.35">
      <c r="B26" s="47" t="s">
        <v>415</v>
      </c>
      <c r="C26" s="5">
        <v>819</v>
      </c>
      <c r="D26" s="58">
        <f>'National DB Data_20200812_2'!F5</f>
        <v>634</v>
      </c>
      <c r="E26" s="44" t="s">
        <v>416</v>
      </c>
      <c r="F26" s="5">
        <f t="shared" si="1"/>
        <v>-185</v>
      </c>
      <c r="G26" s="44"/>
      <c r="H26" s="113"/>
      <c r="I26"/>
    </row>
    <row r="27" spans="2:13" ht="72.5" x14ac:dyDescent="0.35">
      <c r="B27" s="44" t="s">
        <v>417</v>
      </c>
      <c r="C27" s="54">
        <v>60</v>
      </c>
      <c r="D27" s="57">
        <v>60</v>
      </c>
      <c r="E27" s="47" t="s">
        <v>395</v>
      </c>
      <c r="F27" s="5">
        <f t="shared" si="1"/>
        <v>0</v>
      </c>
      <c r="G27" s="44"/>
      <c r="H27"/>
      <c r="I27"/>
      <c r="J27"/>
      <c r="K27"/>
      <c r="L27"/>
      <c r="M27"/>
    </row>
    <row r="28" spans="2:13" ht="29" x14ac:dyDescent="0.35">
      <c r="B28" s="44" t="s">
        <v>418</v>
      </c>
      <c r="C28" s="54">
        <v>0</v>
      </c>
      <c r="D28" s="58">
        <v>9770</v>
      </c>
      <c r="E28" s="47" t="s">
        <v>419</v>
      </c>
      <c r="F28" s="50">
        <f t="shared" si="1"/>
        <v>9770</v>
      </c>
      <c r="G28" s="44"/>
      <c r="H28"/>
      <c r="I28"/>
      <c r="J28"/>
      <c r="K28"/>
      <c r="L28"/>
      <c r="M28"/>
    </row>
    <row r="29" spans="2:13" ht="39" customHeight="1" x14ac:dyDescent="0.35">
      <c r="B29" s="44" t="s">
        <v>420</v>
      </c>
      <c r="C29" s="54">
        <v>250</v>
      </c>
      <c r="D29" s="57">
        <v>280</v>
      </c>
      <c r="E29" s="44" t="s">
        <v>421</v>
      </c>
      <c r="F29" s="5">
        <f t="shared" si="1"/>
        <v>30</v>
      </c>
      <c r="G29" s="44"/>
      <c r="H29" s="114"/>
      <c r="I29"/>
      <c r="J29"/>
      <c r="K29"/>
      <c r="L29"/>
      <c r="M29"/>
    </row>
    <row r="30" spans="2:13" ht="39" customHeight="1" x14ac:dyDescent="0.35">
      <c r="B30" s="44" t="s">
        <v>422</v>
      </c>
      <c r="C30" s="54" t="s">
        <v>423</v>
      </c>
      <c r="D30" s="58">
        <f>'National DB Data_20200812_2'!R5</f>
        <v>3784</v>
      </c>
      <c r="E30" s="44" t="s">
        <v>424</v>
      </c>
      <c r="F30" s="5" t="s">
        <v>423</v>
      </c>
      <c r="G30" s="44"/>
      <c r="H30" s="114"/>
      <c r="I30"/>
      <c r="J30"/>
      <c r="K30"/>
      <c r="L30"/>
      <c r="M30"/>
    </row>
    <row r="31" spans="2:13" ht="116" x14ac:dyDescent="0.35">
      <c r="B31" s="46" t="s">
        <v>425</v>
      </c>
      <c r="C31" s="54">
        <v>196</v>
      </c>
      <c r="D31" s="58">
        <f>ROUND('National DB Data_20200812_2'!H5+'National DB Data_20200812_2'!J5+'National DB Data_20200812_2'!L5-'National DB Data_20200812_2'!R5-'National DB Data_20200812_2'!N5-'National DB Data_20200812_2'!P5,0)</f>
        <v>25441</v>
      </c>
      <c r="E31" s="44" t="s">
        <v>426</v>
      </c>
      <c r="F31" s="50">
        <f t="shared" si="1"/>
        <v>25245</v>
      </c>
      <c r="G31" s="44" t="s">
        <v>427</v>
      </c>
      <c r="H31" s="94"/>
      <c r="I31"/>
      <c r="J31"/>
      <c r="K31"/>
      <c r="L31"/>
      <c r="M31"/>
    </row>
    <row r="32" spans="2:13" ht="43.5" x14ac:dyDescent="0.35">
      <c r="B32" s="46" t="s">
        <v>428</v>
      </c>
      <c r="C32" s="54">
        <v>196</v>
      </c>
      <c r="D32" s="57">
        <v>196</v>
      </c>
      <c r="E32" s="47" t="s">
        <v>395</v>
      </c>
      <c r="F32" s="5">
        <f t="shared" si="1"/>
        <v>0</v>
      </c>
      <c r="G32" s="43"/>
    </row>
    <row r="33" spans="2:13" ht="38.15" customHeight="1" x14ac:dyDescent="0.35">
      <c r="B33" s="319" t="s">
        <v>429</v>
      </c>
      <c r="C33" s="319"/>
      <c r="D33" s="319"/>
      <c r="E33" s="319"/>
      <c r="F33" s="319"/>
      <c r="G33" s="319"/>
      <c r="H33"/>
      <c r="I33"/>
      <c r="J33"/>
      <c r="K33"/>
      <c r="L33"/>
      <c r="M33"/>
    </row>
    <row r="34" spans="2:13" ht="69" customHeight="1" x14ac:dyDescent="0.35">
      <c r="B34" s="44" t="s">
        <v>430</v>
      </c>
      <c r="C34" s="59">
        <v>66893</v>
      </c>
      <c r="D34" s="58">
        <f>ROUND('National DB Data_20200812_2'!T5+'National DB Data_20200812_2'!X5,0)</f>
        <v>69647</v>
      </c>
      <c r="E34" s="44" t="s">
        <v>431</v>
      </c>
      <c r="F34" s="50">
        <f>D34-C34</f>
        <v>2754</v>
      </c>
      <c r="G34" s="44"/>
      <c r="H34"/>
      <c r="I34"/>
      <c r="J34"/>
      <c r="K34"/>
      <c r="L34"/>
      <c r="M34"/>
    </row>
    <row r="35" spans="2:13" ht="55.5" customHeight="1" x14ac:dyDescent="0.35">
      <c r="B35" s="44" t="s">
        <v>432</v>
      </c>
      <c r="C35" s="59">
        <v>113847</v>
      </c>
      <c r="D35" s="58">
        <f>'National DB Data_20200812_1'!J6</f>
        <v>89843</v>
      </c>
      <c r="E35" s="44" t="s">
        <v>433</v>
      </c>
      <c r="F35" s="50">
        <f>D35-C35</f>
        <v>-24004</v>
      </c>
      <c r="G35" s="44"/>
      <c r="H35"/>
      <c r="I35"/>
    </row>
    <row r="36" spans="2:13" ht="51" customHeight="1" x14ac:dyDescent="0.35">
      <c r="B36" s="44" t="s">
        <v>434</v>
      </c>
      <c r="C36" s="59">
        <v>98450</v>
      </c>
      <c r="D36" s="58">
        <f>'National DB Data_20200812_2'!AJ5</f>
        <v>80522.25</v>
      </c>
      <c r="E36" s="44" t="s">
        <v>435</v>
      </c>
      <c r="F36" s="50">
        <f>D36-C36</f>
        <v>-17927.75</v>
      </c>
      <c r="G36" s="26"/>
    </row>
    <row r="37" spans="2:13" ht="64.5" customHeight="1" x14ac:dyDescent="0.35">
      <c r="B37" s="44" t="s">
        <v>436</v>
      </c>
      <c r="C37" s="54">
        <f>ROUND(C36/C26,0)</f>
        <v>120</v>
      </c>
      <c r="D37" s="5">
        <f>ROUND(D36/D26,0)</f>
        <v>127</v>
      </c>
      <c r="E37" s="44" t="s">
        <v>437</v>
      </c>
      <c r="F37" s="50">
        <f>D37-C37</f>
        <v>7</v>
      </c>
      <c r="G37" s="26"/>
    </row>
    <row r="38" spans="2:13" ht="25.4" customHeight="1" x14ac:dyDescent="0.35">
      <c r="B38" s="318" t="s">
        <v>280</v>
      </c>
      <c r="C38" s="318"/>
      <c r="D38" s="318"/>
      <c r="E38" s="318"/>
      <c r="F38" s="318"/>
      <c r="G38" s="318"/>
    </row>
    <row r="39" spans="2:13" ht="49.5" customHeight="1" x14ac:dyDescent="0.35">
      <c r="B39" s="47" t="s">
        <v>438</v>
      </c>
      <c r="C39" s="50">
        <v>4180118</v>
      </c>
      <c r="D39" s="58">
        <f>'National DB Data_20200812_1'!B6</f>
        <v>5141434</v>
      </c>
      <c r="E39" s="44" t="s">
        <v>439</v>
      </c>
      <c r="F39" s="50">
        <f>D39-C39</f>
        <v>961316</v>
      </c>
      <c r="G39" s="44"/>
    </row>
    <row r="40" spans="2:13" ht="40.5" customHeight="1" x14ac:dyDescent="0.35">
      <c r="B40" s="44" t="s">
        <v>440</v>
      </c>
      <c r="C40" s="55">
        <v>0.62828600000000001</v>
      </c>
      <c r="D40" s="48">
        <v>0.7</v>
      </c>
      <c r="E40" s="44" t="s">
        <v>441</v>
      </c>
      <c r="F40" s="42">
        <f>D40-C40</f>
        <v>7.1713999999999944E-2</v>
      </c>
      <c r="G40" s="44" t="s">
        <v>442</v>
      </c>
    </row>
    <row r="41" spans="2:13" ht="63.75" customHeight="1" x14ac:dyDescent="0.35">
      <c r="B41" s="47" t="s">
        <v>356</v>
      </c>
      <c r="C41" s="50">
        <v>2626310</v>
      </c>
      <c r="D41" s="50">
        <f>ROUND(D39*D40,0)</f>
        <v>3599004</v>
      </c>
      <c r="E41" s="44" t="s">
        <v>443</v>
      </c>
      <c r="F41" s="50">
        <f>D41-C41</f>
        <v>972694</v>
      </c>
      <c r="G41" s="44"/>
      <c r="H41" s="53"/>
      <c r="I41" s="95"/>
    </row>
    <row r="42" spans="2:13" ht="132" customHeight="1" x14ac:dyDescent="0.35">
      <c r="B42" s="47" t="s">
        <v>444</v>
      </c>
      <c r="C42" s="56">
        <v>5.3999999999999999E-2</v>
      </c>
      <c r="D42" s="48">
        <v>5.1999999999999998E-2</v>
      </c>
      <c r="E42" s="44" t="s">
        <v>445</v>
      </c>
      <c r="F42" s="42">
        <f>D42-C42</f>
        <v>-2.0000000000000018E-3</v>
      </c>
      <c r="G42" s="26"/>
    </row>
    <row r="43" spans="2:13" ht="79.5" customHeight="1" x14ac:dyDescent="0.35">
      <c r="B43" s="47" t="s">
        <v>446</v>
      </c>
      <c r="C43" s="50">
        <v>225726</v>
      </c>
      <c r="D43" s="50">
        <f>ROUND(D39*D42,0)</f>
        <v>267355</v>
      </c>
      <c r="E43" s="44" t="s">
        <v>447</v>
      </c>
      <c r="F43" s="50">
        <f>D43-C43</f>
        <v>41629</v>
      </c>
      <c r="G43" s="44"/>
    </row>
    <row r="63" spans="20:20" x14ac:dyDescent="0.35">
      <c r="T63" s="96">
        <f>'National DB Data_20200812_2'!H5+'National DB Data_20200812_2'!J5+'National DB Data_20200812_2'!L5-'National DB Data_20200812_2'!R5-'National DB Data_20200812_2'!N5-'National DB Data_20200812_2'!P5</f>
        <v>25440.5</v>
      </c>
    </row>
  </sheetData>
  <mergeCells count="11">
    <mergeCell ref="B38:G38"/>
    <mergeCell ref="F7:F8"/>
    <mergeCell ref="B7:B8"/>
    <mergeCell ref="C7:C8"/>
    <mergeCell ref="D7:E7"/>
    <mergeCell ref="B19:G19"/>
    <mergeCell ref="B1:G1"/>
    <mergeCell ref="G7:G8"/>
    <mergeCell ref="B9:G9"/>
    <mergeCell ref="B20:G20"/>
    <mergeCell ref="B33:G33"/>
  </mergeCells>
  <pageMargins left="0.7" right="0.7" top="0.75" bottom="0.75" header="0.3" footer="0.3"/>
  <pageSetup paperSize="5"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E9"/>
  <sheetViews>
    <sheetView showGridLines="0" zoomScale="75" zoomScaleNormal="75" workbookViewId="0">
      <selection activeCell="D5" sqref="D5"/>
    </sheetView>
  </sheetViews>
  <sheetFormatPr defaultColWidth="8.7265625" defaultRowHeight="14.5" x14ac:dyDescent="0.35"/>
  <cols>
    <col min="1" max="1" width="3.54296875" customWidth="1"/>
    <col min="2" max="2" width="31.1796875" bestFit="1" customWidth="1"/>
    <col min="3" max="4" width="14.54296875" customWidth="1"/>
    <col min="5" max="5" width="73.1796875" customWidth="1"/>
  </cols>
  <sheetData>
    <row r="1" spans="2:5" ht="15" thickBot="1" x14ac:dyDescent="0.4"/>
    <row r="2" spans="2:5" ht="34.5" customHeight="1" x14ac:dyDescent="0.35">
      <c r="B2" s="320" t="s">
        <v>385</v>
      </c>
      <c r="C2" s="321"/>
      <c r="D2" s="322"/>
      <c r="E2" s="323"/>
    </row>
    <row r="3" spans="2:5" ht="24.65" customHeight="1" x14ac:dyDescent="0.35">
      <c r="B3" s="324" t="s">
        <v>448</v>
      </c>
      <c r="C3" s="258" t="s">
        <v>389</v>
      </c>
      <c r="D3" s="325" t="s">
        <v>390</v>
      </c>
      <c r="E3" s="326"/>
    </row>
    <row r="4" spans="2:5" ht="51" customHeight="1" x14ac:dyDescent="0.35">
      <c r="B4" s="324"/>
      <c r="C4" s="258"/>
      <c r="D4" s="230" t="s">
        <v>449</v>
      </c>
      <c r="E4" s="79" t="s">
        <v>393</v>
      </c>
    </row>
    <row r="5" spans="2:5" ht="78.650000000000006" customHeight="1" x14ac:dyDescent="0.35">
      <c r="B5" s="84" t="s">
        <v>369</v>
      </c>
      <c r="C5" s="83">
        <v>25.73</v>
      </c>
      <c r="D5" s="86">
        <v>41.3</v>
      </c>
      <c r="E5" s="85" t="s">
        <v>450</v>
      </c>
    </row>
    <row r="6" spans="2:5" ht="81" customHeight="1" x14ac:dyDescent="0.35">
      <c r="B6" s="84" t="s">
        <v>451</v>
      </c>
      <c r="C6" s="83" t="s">
        <v>404</v>
      </c>
      <c r="D6" s="86">
        <v>30.54</v>
      </c>
      <c r="E6" s="85" t="s">
        <v>452</v>
      </c>
    </row>
    <row r="7" spans="2:5" ht="78.650000000000006" customHeight="1" x14ac:dyDescent="0.35">
      <c r="B7" s="84" t="s">
        <v>250</v>
      </c>
      <c r="C7" s="83">
        <v>16.8</v>
      </c>
      <c r="D7" s="86">
        <v>24.78</v>
      </c>
      <c r="E7" s="85" t="s">
        <v>453</v>
      </c>
    </row>
    <row r="8" spans="2:5" ht="69.650000000000006" customHeight="1" x14ac:dyDescent="0.35">
      <c r="B8" s="84" t="s">
        <v>264</v>
      </c>
      <c r="C8" s="83">
        <v>16.02</v>
      </c>
      <c r="D8" s="86">
        <v>12.88</v>
      </c>
      <c r="E8" s="85" t="s">
        <v>454</v>
      </c>
    </row>
    <row r="9" spans="2:5" ht="36" customHeight="1" thickBot="1" x14ac:dyDescent="0.4">
      <c r="B9" s="80" t="s">
        <v>356</v>
      </c>
      <c r="C9" s="81">
        <v>7.25</v>
      </c>
      <c r="D9" s="87">
        <v>7.25</v>
      </c>
      <c r="E9" s="82" t="s">
        <v>455</v>
      </c>
    </row>
  </sheetData>
  <mergeCells count="4">
    <mergeCell ref="B2:E2"/>
    <mergeCell ref="B3:B4"/>
    <mergeCell ref="C3:C4"/>
    <mergeCell ref="D3:E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79f948-d303-46c5-90ab-cfd5cb49efd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FC6A9AD86D9B45A3738FB506616F4D" ma:contentTypeVersion="13" ma:contentTypeDescription="Create a new document." ma:contentTypeScope="" ma:versionID="690598a841bdcf62ac51b60da2f146b2">
  <xsd:schema xmlns:xsd="http://www.w3.org/2001/XMLSchema" xmlns:xs="http://www.w3.org/2001/XMLSchema" xmlns:p="http://schemas.microsoft.com/office/2006/metadata/properties" xmlns:ns2="4b79f948-d303-46c5-90ab-cfd5cb49efd5" xmlns:ns3="de2a901d-5715-4953-ad41-48e0d41e320e" targetNamespace="http://schemas.microsoft.com/office/2006/metadata/properties" ma:root="true" ma:fieldsID="fedc2b26d39e2a2ca5f90778607e88c7" ns2:_="" ns3:_="">
    <xsd:import namespace="4b79f948-d303-46c5-90ab-cfd5cb49efd5"/>
    <xsd:import namespace="de2a901d-5715-4953-ad41-48e0d41e3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79f948-d303-46c5-90ab-cfd5cb49e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2a901d-5715-4953-ad41-48e0d41e3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7C775-8582-4E09-828D-27D196C48FD1}">
  <ds:schemaRefs>
    <ds:schemaRef ds:uri="http://schemas.microsoft.com/sharepoint/v3/contenttype/forms"/>
  </ds:schemaRefs>
</ds:datastoreItem>
</file>

<file path=customXml/itemProps2.xml><?xml version="1.0" encoding="utf-8"?>
<ds:datastoreItem xmlns:ds="http://schemas.openxmlformats.org/officeDocument/2006/customXml" ds:itemID="{D913D4AE-FB44-4369-93E5-3B724F3F0507}">
  <ds:schemaRefs>
    <ds:schemaRef ds:uri="http://schemas.microsoft.com/office/2006/metadata/properties"/>
    <ds:schemaRef ds:uri="http://schemas.microsoft.com/office/infopath/2007/PartnerControls"/>
    <ds:schemaRef ds:uri="4b79f948-d303-46c5-90ab-cfd5cb49efd5"/>
  </ds:schemaRefs>
</ds:datastoreItem>
</file>

<file path=customXml/itemProps3.xml><?xml version="1.0" encoding="utf-8"?>
<ds:datastoreItem xmlns:ds="http://schemas.openxmlformats.org/officeDocument/2006/customXml" ds:itemID="{12982EFC-C4B6-41C7-B7B3-EF828CD58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79f948-d303-46c5-90ab-cfd5cb49efd5"/>
    <ds:schemaRef ds:uri="de2a901d-5715-4953-ad41-48e0d41e3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Reporting</vt:lpstr>
      <vt:lpstr>Recordkeeping</vt:lpstr>
      <vt:lpstr>Public Disclosure</vt:lpstr>
      <vt:lpstr>Burden Summary</vt:lpstr>
      <vt:lpstr>Respondent Costs</vt:lpstr>
      <vt:lpstr>60-Day FRN Burden Table</vt:lpstr>
      <vt:lpstr>Electronic Responses</vt:lpstr>
      <vt:lpstr>Assumptions</vt:lpstr>
      <vt:lpstr>Labor Rates</vt:lpstr>
      <vt:lpstr>National DB Data_20200812_1</vt:lpstr>
      <vt:lpstr>National DB Data_20200812_2</vt:lpstr>
      <vt:lpstr>'60-Day FRN Burden Table'!Print_Area</vt:lpstr>
      <vt:lpstr>Assumptions!Print_Area</vt:lpstr>
      <vt:lpstr>'Electronic Responses'!Print_Area</vt:lpstr>
      <vt:lpstr>'Public Disclosure'!Print_Area</vt:lpstr>
      <vt:lpstr>Recordkeeping!Print_Area</vt:lpstr>
      <vt:lpstr>Reporting!Print_Area</vt:lpstr>
      <vt:lpstr>'Respondent Costs'!Print_Area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ICF</dc:creator>
  <cp:keywords/>
  <dc:description/>
  <cp:lastModifiedBy>Sandberg, Christina - FNS</cp:lastModifiedBy>
  <cp:revision/>
  <dcterms:created xsi:type="dcterms:W3CDTF">2019-05-21T18:15:14Z</dcterms:created>
  <dcterms:modified xsi:type="dcterms:W3CDTF">2024-10-10T16:37:12Z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0x0101003AFC6A9AD86D9B45A3738FB506616F4D</vt:lpwstr>
  </property>
  <property fmtid="{D5CDD505-2E9C-101B-9397-08002B2CF9AE}" pid="3" name="ESRI_WORKBOOK_ID">
    <vt:lpwstr>d869151aa554455c9746ac8a7ca53afa</vt:lpwstr>
  </property>
  <property fmtid="{D5CDD505-2E9C-101B-9397-08002B2CF9AE}" pid="4" name="MediaServiceImageTags">
    <vt:lpwstr/>
  </property>
</Properties>
</file>