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66925"/>
  <mc:AlternateContent xmlns:mc="http://schemas.openxmlformats.org/markup-compatibility/2006">
    <mc:Choice Requires="x15">
      <x15ac:absPath xmlns:x15ac="http://schemas.microsoft.com/office/spreadsheetml/2010/11/ac" url="https://usdagcc-my.sharepoint.com/personal/christina_sandberg_usda_gov/Documents/Documents/Change Requuest For Proposed DGA Rule 6.10.26/"/>
    </mc:Choice>
  </mc:AlternateContent>
  <xr:revisionPtr revIDLastSave="27" documentId="13_ncr:1_{4D962296-6337-4494-B14E-DD083FE9AD15}" xr6:coauthVersionLast="47" xr6:coauthVersionMax="47" xr10:uidLastSave="{FCD0D83F-2EDE-4DE7-9420-D93302BD432D}"/>
  <bookViews>
    <workbookView xWindow="20" yWindow="0" windowWidth="19180" windowHeight="10170" tabRatio="952" xr2:uid="{00000000-000D-0000-FFFF-FFFF00000000}"/>
  </bookViews>
  <sheets>
    <sheet name="Reporting" sheetId="3" r:id="rId1"/>
    <sheet name="Recordkeeping" sheetId="8" r:id="rId2"/>
    <sheet name="Public Disclosure" sheetId="9" r:id="rId3"/>
    <sheet name="Data" sheetId="11" r:id="rId4"/>
    <sheet name="Burden Summary" sheetId="12" r:id="rId5"/>
    <sheet name="National DB Data_20200812_1" sheetId="15" state="hidden" r:id="rId6"/>
    <sheet name="National DB Data_20200812_2" sheetId="14" state="hidden" r:id="rId7"/>
    <sheet name="ESRI_MAPINFO_SHEET" sheetId="7" state="veryHidden" r:id="rId8"/>
  </sheets>
  <definedNames>
    <definedName name="Local_Educational_Agency___School_Food_Authority_Level">#REF!</definedName>
    <definedName name="_xlnm.Print_Area" localSheetId="3">Data!$B$4:$G$49</definedName>
    <definedName name="_xlnm.Print_Area" localSheetId="2">'Public Disclosure'!$A$2:$P$20</definedName>
    <definedName name="_xlnm.Print_Area" localSheetId="1">Recordkeeping!$A$2:$P$37</definedName>
    <definedName name="_xlnm.Print_Area" localSheetId="0">Reporting!$A$2:$P$158</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6" i="3" l="1"/>
  <c r="H106" i="3" l="1"/>
  <c r="J106" i="3" s="1"/>
  <c r="K106" i="3" l="1"/>
  <c r="M106" i="3" s="1"/>
  <c r="O106" i="3" l="1"/>
  <c r="N11" i="8" l="1"/>
  <c r="L11" i="8"/>
  <c r="K11" i="8"/>
  <c r="H11" i="8"/>
  <c r="I27" i="8" l="1"/>
  <c r="G27" i="8"/>
  <c r="F27" i="8"/>
  <c r="J22" i="8"/>
  <c r="I22" i="8" l="1"/>
  <c r="G22" i="8"/>
  <c r="F22" i="8"/>
  <c r="I149" i="3"/>
  <c r="G149" i="3"/>
  <c r="F149" i="3"/>
  <c r="H27" i="8"/>
  <c r="F8" i="8" l="1"/>
  <c r="H149" i="3" l="1"/>
  <c r="F133" i="3" l="1"/>
  <c r="F120" i="3"/>
  <c r="F115" i="3"/>
  <c r="F84" i="3"/>
  <c r="F70" i="3" l="1"/>
  <c r="N144" i="3" l="1"/>
  <c r="L144" i="3"/>
  <c r="N101" i="3"/>
  <c r="L101" i="3"/>
  <c r="L67" i="3"/>
  <c r="H100" i="3"/>
  <c r="F5" i="3" l="1"/>
  <c r="G7" i="3" l="1"/>
  <c r="G5" i="3" l="1"/>
  <c r="J27" i="8" l="1"/>
  <c r="H8" i="8"/>
  <c r="J8" i="8" s="1"/>
  <c r="O8" i="8" s="1"/>
  <c r="H5" i="8"/>
  <c r="J5" i="8" s="1"/>
  <c r="M5" i="8" l="1"/>
  <c r="J11" i="8"/>
  <c r="M8" i="8"/>
  <c r="O5" i="8"/>
  <c r="O11" i="8" s="1"/>
  <c r="M11" i="8" l="1"/>
  <c r="N67" i="3"/>
  <c r="H66" i="3"/>
  <c r="J66" i="3" s="1"/>
  <c r="O66" i="3" s="1"/>
  <c r="M66" i="3" l="1"/>
  <c r="F7" i="3"/>
  <c r="H8" i="3"/>
  <c r="J8" i="3" s="1"/>
  <c r="F10" i="3"/>
  <c r="J11" i="3"/>
  <c r="F12" i="3"/>
  <c r="H12" i="3" s="1"/>
  <c r="J12" i="3" s="1"/>
  <c r="F13" i="3"/>
  <c r="H13" i="3" s="1"/>
  <c r="J13" i="3" s="1"/>
  <c r="F14" i="3"/>
  <c r="H14" i="3" s="1"/>
  <c r="J14" i="3" s="1"/>
  <c r="F15" i="3"/>
  <c r="H15" i="3" s="1"/>
  <c r="J15" i="3" s="1"/>
  <c r="F16" i="3"/>
  <c r="H16" i="3" s="1"/>
  <c r="J16" i="3" s="1"/>
  <c r="F17" i="3"/>
  <c r="H17" i="3" s="1"/>
  <c r="J17" i="3" s="1"/>
  <c r="F18" i="3"/>
  <c r="H18" i="3" s="1"/>
  <c r="J18" i="3" s="1"/>
  <c r="F19" i="3"/>
  <c r="H19" i="3" s="1"/>
  <c r="J19" i="3" s="1"/>
  <c r="F20" i="3"/>
  <c r="H20" i="3" s="1"/>
  <c r="J20" i="3" s="1"/>
  <c r="F21" i="3"/>
  <c r="H21" i="3" s="1"/>
  <c r="J21" i="3" s="1"/>
  <c r="F22" i="3"/>
  <c r="H22" i="3" s="1"/>
  <c r="J22" i="3" s="1"/>
  <c r="F23" i="3"/>
  <c r="H23" i="3" s="1"/>
  <c r="J23" i="3" s="1"/>
  <c r="F24" i="3"/>
  <c r="H24" i="3" s="1"/>
  <c r="J24" i="3" s="1"/>
  <c r="F25" i="3"/>
  <c r="H25" i="3" s="1"/>
  <c r="J25" i="3" s="1"/>
  <c r="F26" i="3"/>
  <c r="F27" i="3"/>
  <c r="F28" i="3"/>
  <c r="H28" i="3" s="1"/>
  <c r="J28" i="3" s="1"/>
  <c r="F29" i="3"/>
  <c r="H29" i="3" s="1"/>
  <c r="J29" i="3" s="1"/>
  <c r="F30" i="3"/>
  <c r="F31" i="3"/>
  <c r="H31" i="3" s="1"/>
  <c r="J31" i="3" s="1"/>
  <c r="K31" i="3" s="1"/>
  <c r="O31" i="3" s="1"/>
  <c r="F32" i="3"/>
  <c r="H32" i="3" s="1"/>
  <c r="J32" i="3" s="1"/>
  <c r="F33" i="3"/>
  <c r="F34" i="3"/>
  <c r="H34" i="3" s="1"/>
  <c r="J34" i="3" s="1"/>
  <c r="F35" i="3"/>
  <c r="H35" i="3" s="1"/>
  <c r="J35" i="3" s="1"/>
  <c r="F36" i="3"/>
  <c r="H36" i="3" s="1"/>
  <c r="J36" i="3" s="1"/>
  <c r="F37" i="3"/>
  <c r="H37" i="3" s="1"/>
  <c r="J37" i="3" s="1"/>
  <c r="F38" i="3"/>
  <c r="H38" i="3" s="1"/>
  <c r="J38" i="3" s="1"/>
  <c r="F39" i="3"/>
  <c r="H39" i="3" s="1"/>
  <c r="J39" i="3" s="1"/>
  <c r="H40" i="3"/>
  <c r="J40" i="3" s="1"/>
  <c r="F41" i="3"/>
  <c r="H41" i="3" s="1"/>
  <c r="J41" i="3" s="1"/>
  <c r="G42" i="3"/>
  <c r="H42" i="3"/>
  <c r="I42" i="3"/>
  <c r="F43" i="3"/>
  <c r="H43" i="3" s="1"/>
  <c r="J43" i="3" s="1"/>
  <c r="F44" i="3"/>
  <c r="H45" i="3"/>
  <c r="J45" i="3" s="1"/>
  <c r="F46" i="3"/>
  <c r="H46" i="3" s="1"/>
  <c r="J46" i="3" s="1"/>
  <c r="H47" i="3"/>
  <c r="J47" i="3" s="1"/>
  <c r="F48" i="3"/>
  <c r="H48" i="3" s="1"/>
  <c r="J48" i="3" s="1"/>
  <c r="H49" i="3"/>
  <c r="J49" i="3" s="1"/>
  <c r="H50" i="3"/>
  <c r="J50" i="3" s="1"/>
  <c r="F51" i="3"/>
  <c r="H51" i="3" s="1"/>
  <c r="J51" i="3" s="1"/>
  <c r="F52" i="3"/>
  <c r="H52" i="3" s="1"/>
  <c r="J52" i="3" s="1"/>
  <c r="F53" i="3"/>
  <c r="H53" i="3" s="1"/>
  <c r="J53" i="3" s="1"/>
  <c r="F54" i="3"/>
  <c r="G55" i="3"/>
  <c r="H55" i="3" s="1"/>
  <c r="J55" i="3" s="1"/>
  <c r="F56" i="3"/>
  <c r="H56" i="3" s="1"/>
  <c r="J56" i="3" s="1"/>
  <c r="H57" i="3"/>
  <c r="J57" i="3" s="1"/>
  <c r="F58" i="3"/>
  <c r="H58" i="3" s="1"/>
  <c r="J58" i="3" s="1"/>
  <c r="F59" i="3"/>
  <c r="H59" i="3" s="1"/>
  <c r="J59" i="3" s="1"/>
  <c r="F60" i="3"/>
  <c r="H60" i="3" s="1"/>
  <c r="J60" i="3" s="1"/>
  <c r="G61" i="3"/>
  <c r="H61" i="3" s="1"/>
  <c r="I61" i="3"/>
  <c r="F62" i="3"/>
  <c r="H63" i="3"/>
  <c r="J63" i="3" s="1"/>
  <c r="H64" i="3"/>
  <c r="J64" i="3" s="1"/>
  <c r="K65" i="3"/>
  <c r="J143" i="3"/>
  <c r="O143" i="3" s="1"/>
  <c r="G143" i="3"/>
  <c r="H133" i="3"/>
  <c r="J133" i="3" s="1"/>
  <c r="H113" i="3"/>
  <c r="J113" i="3" s="1"/>
  <c r="H114" i="3"/>
  <c r="J114" i="3" s="1"/>
  <c r="H115" i="3"/>
  <c r="J115" i="3" s="1"/>
  <c r="J100" i="3"/>
  <c r="H97" i="3"/>
  <c r="J97" i="3" s="1"/>
  <c r="H77" i="3"/>
  <c r="J77" i="3" s="1"/>
  <c r="H79" i="3"/>
  <c r="J79" i="3" s="1"/>
  <c r="H78" i="3"/>
  <c r="J78" i="3" s="1"/>
  <c r="H7" i="3" l="1"/>
  <c r="J7" i="3" s="1"/>
  <c r="K7" i="3" s="1"/>
  <c r="M7" i="3" s="1"/>
  <c r="O65" i="3"/>
  <c r="M65" i="3"/>
  <c r="J61" i="3"/>
  <c r="O61" i="3" s="1"/>
  <c r="J42" i="3"/>
  <c r="O42" i="3" s="1"/>
  <c r="O50" i="3"/>
  <c r="M50" i="3"/>
  <c r="K41" i="3"/>
  <c r="O41" i="3" s="1"/>
  <c r="K34" i="3"/>
  <c r="M34" i="3" s="1"/>
  <c r="K59" i="3"/>
  <c r="M59" i="3" s="1"/>
  <c r="K38" i="3"/>
  <c r="O38" i="3" s="1"/>
  <c r="K29" i="3"/>
  <c r="M29" i="3" s="1"/>
  <c r="K64" i="3"/>
  <c r="M64" i="3" s="1"/>
  <c r="O57" i="3"/>
  <c r="M57" i="3"/>
  <c r="M55" i="3"/>
  <c r="O55" i="3"/>
  <c r="M47" i="3"/>
  <c r="O47" i="3"/>
  <c r="M11" i="3"/>
  <c r="O11" i="3"/>
  <c r="M40" i="3"/>
  <c r="O40" i="3"/>
  <c r="H10" i="3"/>
  <c r="J10" i="3" s="1"/>
  <c r="K10" i="3" s="1"/>
  <c r="M10" i="3" s="1"/>
  <c r="O8" i="3"/>
  <c r="M8" i="3"/>
  <c r="O49" i="3"/>
  <c r="M49" i="3"/>
  <c r="O45" i="3"/>
  <c r="M45" i="3"/>
  <c r="K24" i="3"/>
  <c r="O24" i="3" s="1"/>
  <c r="K20" i="3"/>
  <c r="O20" i="3" s="1"/>
  <c r="K16" i="3"/>
  <c r="O16" i="3" s="1"/>
  <c r="K12" i="3"/>
  <c r="M12" i="3" s="1"/>
  <c r="M143" i="3"/>
  <c r="O133" i="3"/>
  <c r="M133" i="3"/>
  <c r="O115" i="3"/>
  <c r="M115" i="3"/>
  <c r="M114" i="3"/>
  <c r="O114" i="3"/>
  <c r="O113" i="3"/>
  <c r="M113" i="3"/>
  <c r="O100" i="3"/>
  <c r="M100" i="3"/>
  <c r="M97" i="3"/>
  <c r="O97" i="3"/>
  <c r="O79" i="3"/>
  <c r="M79" i="3"/>
  <c r="M78" i="3"/>
  <c r="O78" i="3"/>
  <c r="O77" i="3"/>
  <c r="M77" i="3"/>
  <c r="K58" i="3"/>
  <c r="M58" i="3" s="1"/>
  <c r="K23" i="3"/>
  <c r="O23" i="3" s="1"/>
  <c r="K19" i="3"/>
  <c r="M19" i="3" s="1"/>
  <c r="K15" i="3"/>
  <c r="O15" i="3" s="1"/>
  <c r="K51" i="3"/>
  <c r="M51" i="3" s="1"/>
  <c r="K43" i="3"/>
  <c r="O43" i="3" s="1"/>
  <c r="K37" i="3"/>
  <c r="M37" i="3" s="1"/>
  <c r="K36" i="3"/>
  <c r="M36" i="3" s="1"/>
  <c r="K21" i="3"/>
  <c r="M21" i="3" s="1"/>
  <c r="K13" i="3"/>
  <c r="M13" i="3" s="1"/>
  <c r="K14" i="3"/>
  <c r="O14" i="3" s="1"/>
  <c r="K39" i="3"/>
  <c r="O39" i="3" s="1"/>
  <c r="K17" i="3"/>
  <c r="M17" i="3" s="1"/>
  <c r="K60" i="3"/>
  <c r="M60" i="3" s="1"/>
  <c r="K35" i="3"/>
  <c r="M35" i="3" s="1"/>
  <c r="K25" i="3"/>
  <c r="O25" i="3" s="1"/>
  <c r="K53" i="3"/>
  <c r="O53" i="3" s="1"/>
  <c r="K32" i="3"/>
  <c r="O32" i="3" s="1"/>
  <c r="K22" i="3"/>
  <c r="O22" i="3" s="1"/>
  <c r="K56" i="3"/>
  <c r="O56" i="3" s="1"/>
  <c r="K18" i="3"/>
  <c r="O18" i="3" s="1"/>
  <c r="K63" i="3"/>
  <c r="O63" i="3" s="1"/>
  <c r="K28" i="3"/>
  <c r="O28" i="3" s="1"/>
  <c r="M52" i="3"/>
  <c r="K48" i="3"/>
  <c r="M48" i="3" s="1"/>
  <c r="K46" i="3"/>
  <c r="M46" i="3" s="1"/>
  <c r="M31" i="3"/>
  <c r="H6" i="3"/>
  <c r="H22" i="8"/>
  <c r="O22" i="8" s="1"/>
  <c r="M22" i="8" l="1"/>
  <c r="J6" i="3"/>
  <c r="O6" i="3" s="1"/>
  <c r="M24" i="3"/>
  <c r="M16" i="3"/>
  <c r="M63" i="3"/>
  <c r="O64" i="3"/>
  <c r="O7" i="3"/>
  <c r="M61" i="3"/>
  <c r="M15" i="3"/>
  <c r="M42" i="3"/>
  <c r="M18" i="3"/>
  <c r="M43" i="3"/>
  <c r="O59" i="3"/>
  <c r="M20" i="3"/>
  <c r="M38" i="3"/>
  <c r="M22" i="3"/>
  <c r="M23" i="3"/>
  <c r="O29" i="3"/>
  <c r="M41" i="3"/>
  <c r="M32" i="3"/>
  <c r="M39" i="3"/>
  <c r="O34" i="3"/>
  <c r="O35" i="3"/>
  <c r="O19" i="3"/>
  <c r="O12" i="3"/>
  <c r="M53" i="3"/>
  <c r="O17" i="3"/>
  <c r="M28" i="3"/>
  <c r="M56" i="3"/>
  <c r="M25" i="3"/>
  <c r="O36" i="3"/>
  <c r="M14" i="3"/>
  <c r="O10" i="3"/>
  <c r="O21" i="3"/>
  <c r="O46" i="3"/>
  <c r="O52" i="3"/>
  <c r="O13" i="3"/>
  <c r="O51" i="3"/>
  <c r="O58" i="3"/>
  <c r="O48" i="3"/>
  <c r="O60" i="3"/>
  <c r="O37" i="3"/>
  <c r="M6" i="3" l="1"/>
  <c r="L28" i="8"/>
  <c r="O27" i="8" l="1"/>
  <c r="M27" i="8"/>
  <c r="F99" i="3" l="1"/>
  <c r="H99" i="3" s="1"/>
  <c r="J99" i="3" s="1"/>
  <c r="K99" i="3" l="1"/>
  <c r="O99" i="3" s="1"/>
  <c r="M99" i="3" l="1"/>
  <c r="D26" i="11"/>
  <c r="D33" i="11" l="1"/>
  <c r="F9" i="3"/>
  <c r="F94" i="3" l="1"/>
  <c r="H94" i="3" s="1"/>
  <c r="J94" i="3" s="1"/>
  <c r="F95" i="3"/>
  <c r="H95" i="3" s="1"/>
  <c r="J95" i="3" s="1"/>
  <c r="K94" i="3" l="1"/>
  <c r="O94" i="3" s="1"/>
  <c r="K95" i="3"/>
  <c r="M95" i="3" s="1"/>
  <c r="O95" i="3" l="1"/>
  <c r="M94" i="3"/>
  <c r="F10" i="8"/>
  <c r="H10" i="8" s="1"/>
  <c r="J10" i="8" s="1"/>
  <c r="F7" i="8"/>
  <c r="H7" i="8" s="1"/>
  <c r="J7" i="8" s="1"/>
  <c r="K7" i="8" l="1"/>
  <c r="O7" i="8" s="1"/>
  <c r="K10" i="8"/>
  <c r="M10" i="8" s="1"/>
  <c r="O10" i="8" l="1"/>
  <c r="M7" i="8"/>
  <c r="D42" i="11"/>
  <c r="D39" i="11"/>
  <c r="D38" i="11"/>
  <c r="D37" i="11"/>
  <c r="F144" i="3" s="1"/>
  <c r="D34" i="11"/>
  <c r="F101" i="3" s="1"/>
  <c r="D28" i="11"/>
  <c r="D27" i="11"/>
  <c r="F23" i="8" l="1"/>
  <c r="F73" i="3"/>
  <c r="H73" i="3" s="1"/>
  <c r="J73" i="3" s="1"/>
  <c r="F69" i="3"/>
  <c r="H69" i="3" s="1"/>
  <c r="J69" i="3" s="1"/>
  <c r="G62" i="3"/>
  <c r="H62" i="3" s="1"/>
  <c r="J62" i="3" s="1"/>
  <c r="G44" i="3"/>
  <c r="H44" i="3" s="1"/>
  <c r="J44" i="3" s="1"/>
  <c r="G33" i="3"/>
  <c r="H33" i="3" s="1"/>
  <c r="J33" i="3" s="1"/>
  <c r="G54" i="3"/>
  <c r="H54" i="3" s="1"/>
  <c r="J54" i="3" s="1"/>
  <c r="F15" i="8"/>
  <c r="F14" i="8"/>
  <c r="F92" i="3"/>
  <c r="H92" i="3" s="1"/>
  <c r="J92" i="3" s="1"/>
  <c r="F83" i="3"/>
  <c r="F74" i="3"/>
  <c r="F13" i="8"/>
  <c r="F140" i="3"/>
  <c r="H140" i="3" s="1"/>
  <c r="J140" i="3" s="1"/>
  <c r="C4" i="11"/>
  <c r="F86" i="3"/>
  <c r="F93" i="3"/>
  <c r="H93" i="3" s="1"/>
  <c r="J93" i="3" s="1"/>
  <c r="F21" i="8"/>
  <c r="F91" i="3"/>
  <c r="H91" i="3" s="1"/>
  <c r="J91" i="3" s="1"/>
  <c r="H70" i="3"/>
  <c r="F88" i="3"/>
  <c r="H88" i="3" s="1"/>
  <c r="J88" i="3" s="1"/>
  <c r="F90" i="3"/>
  <c r="H90" i="3" s="1"/>
  <c r="J90" i="3" s="1"/>
  <c r="F142" i="3"/>
  <c r="H142" i="3" s="1"/>
  <c r="J142" i="3" s="1"/>
  <c r="F141" i="3"/>
  <c r="H141" i="3" s="1"/>
  <c r="J141" i="3" s="1"/>
  <c r="O69" i="3" l="1"/>
  <c r="M69" i="3"/>
  <c r="M73" i="3"/>
  <c r="O73" i="3"/>
  <c r="J70" i="3"/>
  <c r="K33" i="3"/>
  <c r="M33" i="3" s="1"/>
  <c r="K44" i="3"/>
  <c r="M44" i="3" s="1"/>
  <c r="K62" i="3"/>
  <c r="O62" i="3" s="1"/>
  <c r="K54" i="3"/>
  <c r="O54" i="3" s="1"/>
  <c r="K91" i="3"/>
  <c r="O91" i="3" s="1"/>
  <c r="K90" i="3"/>
  <c r="O90" i="3" s="1"/>
  <c r="K88" i="3"/>
  <c r="M88" i="3" s="1"/>
  <c r="K93" i="3"/>
  <c r="M93" i="3" s="1"/>
  <c r="K92" i="3"/>
  <c r="O92" i="3" s="1"/>
  <c r="K140" i="3"/>
  <c r="O140" i="3" s="1"/>
  <c r="K141" i="3"/>
  <c r="O141" i="3" s="1"/>
  <c r="K142" i="3"/>
  <c r="M142" i="3" s="1"/>
  <c r="M54" i="3" l="1"/>
  <c r="O70" i="3"/>
  <c r="O33" i="3"/>
  <c r="M62" i="3"/>
  <c r="O44" i="3"/>
  <c r="O88" i="3"/>
  <c r="O93" i="3"/>
  <c r="M92" i="3"/>
  <c r="M70" i="3"/>
  <c r="M91" i="3"/>
  <c r="O142" i="3"/>
  <c r="M141" i="3"/>
  <c r="M140" i="3"/>
  <c r="M90" i="3"/>
  <c r="F11" i="8"/>
  <c r="F67" i="3"/>
  <c r="F102" i="3" s="1"/>
  <c r="F155" i="3" s="1"/>
  <c r="F98" i="3" l="1"/>
  <c r="F82" i="3"/>
  <c r="F76" i="3"/>
  <c r="F30" i="11"/>
  <c r="D24" i="11"/>
  <c r="F109" i="3" l="1"/>
  <c r="H109" i="3" s="1"/>
  <c r="J109" i="3" s="1"/>
  <c r="F105" i="3"/>
  <c r="H105" i="3" s="1"/>
  <c r="J105" i="3" s="1"/>
  <c r="F135" i="3"/>
  <c r="H135" i="3" s="1"/>
  <c r="J135" i="3" s="1"/>
  <c r="F134" i="3"/>
  <c r="H134" i="3" s="1"/>
  <c r="J134" i="3" s="1"/>
  <c r="F112" i="3"/>
  <c r="H112" i="3" s="1"/>
  <c r="J112" i="3" s="1"/>
  <c r="H120" i="3"/>
  <c r="J120" i="3" s="1"/>
  <c r="F118" i="3"/>
  <c r="H118" i="3" s="1"/>
  <c r="J118" i="3" s="1"/>
  <c r="F20" i="8"/>
  <c r="F107" i="3"/>
  <c r="F132" i="3"/>
  <c r="F110" i="3"/>
  <c r="F122" i="3"/>
  <c r="H122" i="3" s="1"/>
  <c r="J122" i="3" s="1"/>
  <c r="F130" i="3"/>
  <c r="H130" i="3" s="1"/>
  <c r="J130" i="3" s="1"/>
  <c r="F129" i="3"/>
  <c r="H129" i="3" s="1"/>
  <c r="J129" i="3" s="1"/>
  <c r="F128" i="3"/>
  <c r="H128" i="3" s="1"/>
  <c r="J128" i="3" s="1"/>
  <c r="F131" i="3"/>
  <c r="H131" i="3" s="1"/>
  <c r="J131" i="3" s="1"/>
  <c r="F127" i="3"/>
  <c r="H127" i="3" s="1"/>
  <c r="J127" i="3" s="1"/>
  <c r="F126" i="3"/>
  <c r="H126" i="3" s="1"/>
  <c r="J126" i="3" s="1"/>
  <c r="F124" i="3"/>
  <c r="H124" i="3" s="1"/>
  <c r="J124" i="3" s="1"/>
  <c r="F125" i="3"/>
  <c r="H125" i="3" s="1"/>
  <c r="J125" i="3" s="1"/>
  <c r="F119" i="3"/>
  <c r="H119" i="3" s="1"/>
  <c r="J119" i="3" s="1"/>
  <c r="M105" i="3" l="1"/>
  <c r="O105" i="3"/>
  <c r="O109" i="3"/>
  <c r="M109" i="3"/>
  <c r="H110" i="3"/>
  <c r="J110" i="3" s="1"/>
  <c r="G30" i="3"/>
  <c r="H30" i="3" s="1"/>
  <c r="J30" i="3" s="1"/>
  <c r="G27" i="3"/>
  <c r="H27" i="3" s="1"/>
  <c r="J27" i="3" s="1"/>
  <c r="G26" i="3"/>
  <c r="H26" i="3" s="1"/>
  <c r="J26" i="3" s="1"/>
  <c r="K128" i="3"/>
  <c r="O128" i="3" s="1"/>
  <c r="K120" i="3"/>
  <c r="M120" i="3" s="1"/>
  <c r="K127" i="3"/>
  <c r="O127" i="3" s="1"/>
  <c r="K129" i="3"/>
  <c r="M129" i="3" s="1"/>
  <c r="K125" i="3"/>
  <c r="M125" i="3" s="1"/>
  <c r="K122" i="3"/>
  <c r="O122" i="3" s="1"/>
  <c r="K112" i="3"/>
  <c r="M112" i="3" s="1"/>
  <c r="K131" i="3"/>
  <c r="M131" i="3" s="1"/>
  <c r="K130" i="3"/>
  <c r="M130" i="3" s="1"/>
  <c r="K124" i="3"/>
  <c r="M124" i="3" s="1"/>
  <c r="K134" i="3"/>
  <c r="O134" i="3" s="1"/>
  <c r="K119" i="3"/>
  <c r="O119" i="3" s="1"/>
  <c r="K126" i="3"/>
  <c r="O126" i="3" s="1"/>
  <c r="K135" i="3"/>
  <c r="M135" i="3" s="1"/>
  <c r="K118" i="3"/>
  <c r="O118" i="3" s="1"/>
  <c r="F24" i="8"/>
  <c r="K27" i="3" l="1"/>
  <c r="M27" i="3" s="1"/>
  <c r="K26" i="3"/>
  <c r="O26" i="3" s="1"/>
  <c r="K30" i="3"/>
  <c r="O30" i="3" s="1"/>
  <c r="M127" i="3"/>
  <c r="O130" i="3"/>
  <c r="O135" i="3"/>
  <c r="O125" i="3"/>
  <c r="M134" i="3"/>
  <c r="O124" i="3"/>
  <c r="M122" i="3"/>
  <c r="M119" i="3"/>
  <c r="O120" i="3"/>
  <c r="O129" i="3"/>
  <c r="M128" i="3"/>
  <c r="M126" i="3"/>
  <c r="O112" i="3"/>
  <c r="M118" i="3"/>
  <c r="K110" i="3"/>
  <c r="M110" i="3" s="1"/>
  <c r="O131" i="3"/>
  <c r="H82" i="3"/>
  <c r="J82" i="3" s="1"/>
  <c r="M26" i="3" l="1"/>
  <c r="O27" i="3"/>
  <c r="M30" i="3"/>
  <c r="O110" i="3"/>
  <c r="K82" i="3"/>
  <c r="O82" i="3" s="1"/>
  <c r="M82" i="3" l="1"/>
  <c r="H98" i="3"/>
  <c r="J98" i="3" s="1"/>
  <c r="K98" i="3" l="1"/>
  <c r="M98" i="3" s="1"/>
  <c r="D44" i="11"/>
  <c r="O98" i="3" l="1"/>
  <c r="F136" i="3"/>
  <c r="F96" i="3"/>
  <c r="H132" i="3"/>
  <c r="F16" i="8"/>
  <c r="F87" i="3"/>
  <c r="F71" i="3"/>
  <c r="F116" i="3"/>
  <c r="H116" i="3" s="1"/>
  <c r="J116" i="3" s="1"/>
  <c r="J111" i="3"/>
  <c r="F85" i="3"/>
  <c r="F81" i="3"/>
  <c r="F11" i="9"/>
  <c r="F121" i="3"/>
  <c r="H121" i="3" s="1"/>
  <c r="J121" i="3" s="1"/>
  <c r="F117" i="3"/>
  <c r="H117" i="3" s="1"/>
  <c r="J117" i="3" s="1"/>
  <c r="F108" i="3"/>
  <c r="F7" i="9"/>
  <c r="F72" i="3"/>
  <c r="F123" i="3"/>
  <c r="H123" i="3" s="1"/>
  <c r="J123" i="3" s="1"/>
  <c r="H107" i="3"/>
  <c r="F89" i="3"/>
  <c r="F80" i="3"/>
  <c r="F148" i="3"/>
  <c r="H108" i="3" l="1"/>
  <c r="J108" i="3" s="1"/>
  <c r="K108" i="3" s="1"/>
  <c r="M108" i="3" s="1"/>
  <c r="K117" i="3"/>
  <c r="O117" i="3" s="1"/>
  <c r="K116" i="3"/>
  <c r="O116" i="3" s="1"/>
  <c r="K121" i="3"/>
  <c r="M121" i="3" s="1"/>
  <c r="K123" i="3"/>
  <c r="M123" i="3" s="1"/>
  <c r="K111" i="3"/>
  <c r="O111" i="3" s="1"/>
  <c r="H7" i="9"/>
  <c r="F17" i="8"/>
  <c r="F35" i="8" s="1"/>
  <c r="J132" i="3"/>
  <c r="J107" i="3"/>
  <c r="H20" i="8"/>
  <c r="F34" i="11"/>
  <c r="T66" i="11"/>
  <c r="J7" i="9" l="1"/>
  <c r="H136" i="3"/>
  <c r="O121" i="3"/>
  <c r="M116" i="3"/>
  <c r="O123" i="3"/>
  <c r="M117" i="3"/>
  <c r="O108" i="3"/>
  <c r="K107" i="3"/>
  <c r="M107" i="3" s="1"/>
  <c r="M111" i="3"/>
  <c r="K132" i="3"/>
  <c r="O132" i="3" s="1"/>
  <c r="J136" i="3"/>
  <c r="J20" i="8"/>
  <c r="F43" i="11"/>
  <c r="G136" i="3" l="1"/>
  <c r="I136" i="3"/>
  <c r="K136" i="3"/>
  <c r="O107" i="3"/>
  <c r="O136" i="3" s="1"/>
  <c r="K7" i="9"/>
  <c r="O7" i="9" s="1"/>
  <c r="M132" i="3"/>
  <c r="M136" i="3" s="1"/>
  <c r="K20" i="8"/>
  <c r="O20" i="8" s="1"/>
  <c r="L136" i="3"/>
  <c r="H87" i="3"/>
  <c r="J87" i="3" s="1"/>
  <c r="M7" i="9" l="1"/>
  <c r="K87" i="3"/>
  <c r="M87" i="3" s="1"/>
  <c r="M20" i="8"/>
  <c r="N136" i="3"/>
  <c r="O87" i="3" l="1"/>
  <c r="H5" i="3"/>
  <c r="J5" i="3" l="1"/>
  <c r="F45" i="11"/>
  <c r="K5" i="3" l="1"/>
  <c r="H148" i="3"/>
  <c r="J148" i="3" s="1"/>
  <c r="O5" i="3" l="1"/>
  <c r="M5" i="3"/>
  <c r="K148" i="3"/>
  <c r="O148" i="3" s="1"/>
  <c r="M148" i="3" l="1"/>
  <c r="N148" i="3" s="1"/>
  <c r="F5" i="9" l="1"/>
  <c r="F8" i="9" l="1"/>
  <c r="F18" i="9" s="1"/>
  <c r="H5" i="9"/>
  <c r="J5" i="9" l="1"/>
  <c r="H8" i="9"/>
  <c r="H18" i="9" s="1"/>
  <c r="K5" i="9" l="1"/>
  <c r="K8" i="9" s="1"/>
  <c r="K18" i="9" s="1"/>
  <c r="M5" i="9"/>
  <c r="O5" i="9"/>
  <c r="O8" i="9" s="1"/>
  <c r="O18" i="9" s="1"/>
  <c r="J8" i="9"/>
  <c r="G8" i="9"/>
  <c r="G18" i="9" s="1"/>
  <c r="M8" i="9" l="1"/>
  <c r="M18" i="9" s="1"/>
  <c r="N8" i="9"/>
  <c r="N18" i="9" s="1"/>
  <c r="L8" i="9"/>
  <c r="L18" i="9" s="1"/>
  <c r="I8" i="9"/>
  <c r="I18" i="9" s="1"/>
  <c r="J18" i="9"/>
  <c r="D46" i="11" l="1"/>
  <c r="D40" i="11" l="1"/>
  <c r="G23" i="8" l="1"/>
  <c r="H23" i="8" s="1"/>
  <c r="J23" i="8" s="1"/>
  <c r="G21" i="8"/>
  <c r="H21" i="8" s="1"/>
  <c r="J21" i="8" s="1"/>
  <c r="H96" i="3"/>
  <c r="K21" i="8" l="1"/>
  <c r="O21" i="8" s="1"/>
  <c r="K23" i="8"/>
  <c r="O23" i="8" s="1"/>
  <c r="H24" i="8"/>
  <c r="G24" i="8" s="1"/>
  <c r="J96" i="3"/>
  <c r="F42" i="11"/>
  <c r="F38" i="11"/>
  <c r="F27" i="11"/>
  <c r="F28" i="11"/>
  <c r="F29" i="11"/>
  <c r="F31" i="11"/>
  <c r="F39" i="11"/>
  <c r="F10" i="11"/>
  <c r="F13" i="11"/>
  <c r="F14" i="11"/>
  <c r="F15" i="11"/>
  <c r="F16" i="11"/>
  <c r="F17" i="11"/>
  <c r="F18" i="11"/>
  <c r="F20" i="11"/>
  <c r="F35" i="11"/>
  <c r="C40" i="11"/>
  <c r="F40" i="11" s="1"/>
  <c r="H89" i="3"/>
  <c r="J89" i="3" s="1"/>
  <c r="H80" i="3"/>
  <c r="J80" i="3" s="1"/>
  <c r="F37" i="11"/>
  <c r="H86" i="3"/>
  <c r="J86" i="3" s="1"/>
  <c r="H11" i="9"/>
  <c r="H9" i="3"/>
  <c r="H67" i="3" s="1"/>
  <c r="F46" i="11"/>
  <c r="H13" i="8"/>
  <c r="F9" i="8"/>
  <c r="H9" i="8" s="1"/>
  <c r="F6" i="8"/>
  <c r="H6" i="8" s="1"/>
  <c r="F139" i="3"/>
  <c r="H76" i="3"/>
  <c r="J76" i="3" s="1"/>
  <c r="H85" i="3"/>
  <c r="J85" i="3" s="1"/>
  <c r="H84" i="3"/>
  <c r="J84" i="3" s="1"/>
  <c r="H83" i="3"/>
  <c r="J83" i="3" s="1"/>
  <c r="H81" i="3"/>
  <c r="H72" i="3"/>
  <c r="J72" i="3" s="1"/>
  <c r="H71" i="3"/>
  <c r="G14" i="8"/>
  <c r="G15" i="8"/>
  <c r="H139" i="3" l="1"/>
  <c r="J139" i="3" s="1"/>
  <c r="M23" i="8"/>
  <c r="M21" i="8"/>
  <c r="K72" i="3"/>
  <c r="O72" i="3" s="1"/>
  <c r="K83" i="3"/>
  <c r="O83" i="3" s="1"/>
  <c r="K84" i="3"/>
  <c r="O84" i="3" s="1"/>
  <c r="K86" i="3"/>
  <c r="M86" i="3" s="1"/>
  <c r="K85" i="3"/>
  <c r="M85" i="3" s="1"/>
  <c r="K76" i="3"/>
  <c r="O76" i="3" s="1"/>
  <c r="K96" i="3"/>
  <c r="O96" i="3" s="1"/>
  <c r="K89" i="3"/>
  <c r="M89" i="3" s="1"/>
  <c r="O24" i="8"/>
  <c r="K75" i="3"/>
  <c r="O75" i="3" s="1"/>
  <c r="K139" i="3"/>
  <c r="O139" i="3" s="1"/>
  <c r="K80" i="3"/>
  <c r="M80" i="3" s="1"/>
  <c r="K24" i="8"/>
  <c r="J24" i="8"/>
  <c r="J11" i="9"/>
  <c r="J13" i="8"/>
  <c r="J71" i="3"/>
  <c r="J6" i="8"/>
  <c r="J9" i="3"/>
  <c r="J67" i="3" s="1"/>
  <c r="J81" i="3"/>
  <c r="F147" i="3"/>
  <c r="H74" i="3"/>
  <c r="H101" i="3" s="1"/>
  <c r="G101" i="3" s="1"/>
  <c r="F12" i="9"/>
  <c r="F150" i="3"/>
  <c r="F44" i="11"/>
  <c r="J149" i="3"/>
  <c r="F138" i="3"/>
  <c r="F26" i="8"/>
  <c r="H14" i="8"/>
  <c r="J14" i="8" s="1"/>
  <c r="H15" i="8"/>
  <c r="J15" i="8" s="1"/>
  <c r="H12" i="9"/>
  <c r="J9" i="8"/>
  <c r="J16" i="8" l="1"/>
  <c r="H16" i="8"/>
  <c r="H17" i="8" s="1"/>
  <c r="H147" i="3"/>
  <c r="M96" i="3"/>
  <c r="O86" i="3"/>
  <c r="M84" i="3"/>
  <c r="M76" i="3"/>
  <c r="M72" i="3"/>
  <c r="O149" i="3"/>
  <c r="M139" i="3"/>
  <c r="M75" i="3"/>
  <c r="O89" i="3"/>
  <c r="K11" i="9"/>
  <c r="K12" i="9" s="1"/>
  <c r="K19" i="9" s="1"/>
  <c r="K20" i="9" s="1"/>
  <c r="M11" i="9"/>
  <c r="K71" i="3"/>
  <c r="M83" i="3"/>
  <c r="K81" i="3"/>
  <c r="M81" i="3" s="1"/>
  <c r="O80" i="3"/>
  <c r="O85" i="3"/>
  <c r="K9" i="3"/>
  <c r="K9" i="8"/>
  <c r="M9" i="8" s="1"/>
  <c r="K14" i="8"/>
  <c r="O14" i="8" s="1"/>
  <c r="K6" i="8"/>
  <c r="M6" i="8" s="1"/>
  <c r="K13" i="8"/>
  <c r="M13" i="8" s="1"/>
  <c r="K15" i="8"/>
  <c r="O15" i="8" s="1"/>
  <c r="M24" i="8"/>
  <c r="F157" i="3"/>
  <c r="I24" i="8"/>
  <c r="J74" i="3"/>
  <c r="J101" i="3" s="1"/>
  <c r="H26" i="8"/>
  <c r="F28" i="8"/>
  <c r="N24" i="8"/>
  <c r="L24" i="8"/>
  <c r="H138" i="3"/>
  <c r="H144" i="3" s="1"/>
  <c r="G11" i="8"/>
  <c r="L12" i="9"/>
  <c r="L19" i="9" s="1"/>
  <c r="L20" i="9" s="1"/>
  <c r="G12" i="9"/>
  <c r="F19" i="9"/>
  <c r="F20" i="9" s="1"/>
  <c r="H19" i="9"/>
  <c r="H20" i="9" s="1"/>
  <c r="J12" i="9"/>
  <c r="J19" i="9" s="1"/>
  <c r="O6" i="8" l="1"/>
  <c r="G20" i="9"/>
  <c r="M71" i="3"/>
  <c r="J147" i="3"/>
  <c r="H150" i="3"/>
  <c r="H157" i="3" s="1"/>
  <c r="O9" i="3"/>
  <c r="O67" i="3" s="1"/>
  <c r="K67" i="3"/>
  <c r="O9" i="8"/>
  <c r="O11" i="9"/>
  <c r="O12" i="9" s="1"/>
  <c r="O19" i="9" s="1"/>
  <c r="O20" i="9" s="1"/>
  <c r="K16" i="8"/>
  <c r="M15" i="8"/>
  <c r="O13" i="8"/>
  <c r="O16" i="8" s="1"/>
  <c r="O81" i="3"/>
  <c r="O71" i="3"/>
  <c r="M149" i="3"/>
  <c r="N149" i="3" s="1"/>
  <c r="M9" i="3"/>
  <c r="M67" i="3" s="1"/>
  <c r="K74" i="3"/>
  <c r="K101" i="3" s="1"/>
  <c r="M14" i="8"/>
  <c r="H28" i="8"/>
  <c r="N16" i="8"/>
  <c r="M12" i="9"/>
  <c r="M19" i="9" s="1"/>
  <c r="M20" i="9" s="1"/>
  <c r="F29" i="8"/>
  <c r="F36" i="8" s="1"/>
  <c r="F37" i="8" s="1"/>
  <c r="J138" i="3"/>
  <c r="J144" i="3" s="1"/>
  <c r="J26" i="8"/>
  <c r="F145" i="3"/>
  <c r="F156" i="3" s="1"/>
  <c r="G144" i="3"/>
  <c r="H145" i="3"/>
  <c r="H156" i="3" s="1"/>
  <c r="I16" i="8"/>
  <c r="G16" i="8"/>
  <c r="L16" i="8"/>
  <c r="G17" i="8"/>
  <c r="G35" i="8" s="1"/>
  <c r="I11" i="8"/>
  <c r="J17" i="8"/>
  <c r="J35" i="8" s="1"/>
  <c r="G67" i="3"/>
  <c r="H102" i="3"/>
  <c r="I67" i="3"/>
  <c r="L150" i="3"/>
  <c r="L157" i="3" s="1"/>
  <c r="J20" i="9"/>
  <c r="I20" i="9" s="1"/>
  <c r="G19" i="9"/>
  <c r="I12" i="9"/>
  <c r="I19" i="9" s="1"/>
  <c r="K17" i="8" l="1"/>
  <c r="K35" i="8" s="1"/>
  <c r="G150" i="3"/>
  <c r="G157" i="3" s="1"/>
  <c r="J150" i="3"/>
  <c r="K147" i="3"/>
  <c r="O147" i="3" s="1"/>
  <c r="O150" i="3" s="1"/>
  <c r="O157" i="3" s="1"/>
  <c r="I101" i="3"/>
  <c r="G102" i="3"/>
  <c r="G155" i="3" s="1"/>
  <c r="H155" i="3"/>
  <c r="H158" i="3" s="1"/>
  <c r="O17" i="8"/>
  <c r="O35" i="8" s="1"/>
  <c r="M16" i="8"/>
  <c r="M17" i="8" s="1"/>
  <c r="M35" i="8" s="1"/>
  <c r="K102" i="3"/>
  <c r="K155" i="3" s="1"/>
  <c r="M74" i="3"/>
  <c r="M101" i="3" s="1"/>
  <c r="O74" i="3"/>
  <c r="O101" i="3" s="1"/>
  <c r="H29" i="8"/>
  <c r="H36" i="8" s="1"/>
  <c r="G28" i="8"/>
  <c r="J102" i="3"/>
  <c r="J155" i="3" s="1"/>
  <c r="K138" i="3"/>
  <c r="K26" i="8"/>
  <c r="K28" i="8" s="1"/>
  <c r="K29" i="8" s="1"/>
  <c r="K36" i="8" s="1"/>
  <c r="J28" i="8"/>
  <c r="N12" i="9"/>
  <c r="N19" i="9" s="1"/>
  <c r="N20" i="9" s="1"/>
  <c r="L102" i="3"/>
  <c r="L155" i="3" s="1"/>
  <c r="H35" i="8"/>
  <c r="G145" i="3"/>
  <c r="G156" i="3" s="1"/>
  <c r="F158" i="3"/>
  <c r="C6" i="12" s="1"/>
  <c r="N17" i="8"/>
  <c r="N35" i="8" s="1"/>
  <c r="L17" i="8"/>
  <c r="L35" i="8" s="1"/>
  <c r="I17" i="8"/>
  <c r="I35" i="8" s="1"/>
  <c r="K37" i="8" l="1"/>
  <c r="C8" i="12"/>
  <c r="C7" i="12" s="1"/>
  <c r="K144" i="3"/>
  <c r="K145" i="3" s="1"/>
  <c r="K156" i="3" s="1"/>
  <c r="K150" i="3"/>
  <c r="K157" i="3" s="1"/>
  <c r="M147" i="3"/>
  <c r="J157" i="3"/>
  <c r="I150" i="3"/>
  <c r="I102" i="3"/>
  <c r="I155" i="3" s="1"/>
  <c r="O102" i="3"/>
  <c r="O155" i="3" s="1"/>
  <c r="M102" i="3"/>
  <c r="M155" i="3" s="1"/>
  <c r="O138" i="3"/>
  <c r="O144" i="3" s="1"/>
  <c r="O145" i="3" s="1"/>
  <c r="O156" i="3" s="1"/>
  <c r="M138" i="3"/>
  <c r="G29" i="8"/>
  <c r="G36" i="8" s="1"/>
  <c r="M26" i="8"/>
  <c r="M28" i="8" s="1"/>
  <c r="M29" i="8" s="1"/>
  <c r="M36" i="8" s="1"/>
  <c r="M37" i="8" s="1"/>
  <c r="O26" i="8"/>
  <c r="N102" i="3"/>
  <c r="N155" i="3" s="1"/>
  <c r="J29" i="8"/>
  <c r="I29" i="8" s="1"/>
  <c r="I36" i="8" s="1"/>
  <c r="I28" i="8"/>
  <c r="I144" i="3"/>
  <c r="J145" i="3"/>
  <c r="J156" i="3" s="1"/>
  <c r="L29" i="8"/>
  <c r="L36" i="8" s="1"/>
  <c r="L37" i="8" s="1"/>
  <c r="H37" i="8"/>
  <c r="L145" i="3"/>
  <c r="O28" i="8" l="1"/>
  <c r="O29" i="8" s="1"/>
  <c r="O36" i="8" s="1"/>
  <c r="O37" i="8" s="1"/>
  <c r="K158" i="3"/>
  <c r="M144" i="3"/>
  <c r="M145" i="3" s="1"/>
  <c r="M156" i="3" s="1"/>
  <c r="N147" i="3"/>
  <c r="N150" i="3" s="1"/>
  <c r="N157" i="3" s="1"/>
  <c r="M150" i="3"/>
  <c r="M157" i="3" s="1"/>
  <c r="I157" i="3"/>
  <c r="O158" i="3"/>
  <c r="N145" i="3"/>
  <c r="N28" i="8"/>
  <c r="N29" i="8" s="1"/>
  <c r="N36" i="8" s="1"/>
  <c r="N37" i="8" s="1"/>
  <c r="L156" i="3"/>
  <c r="L158" i="3" s="1"/>
  <c r="J36" i="8"/>
  <c r="J37" i="8" s="1"/>
  <c r="J158" i="3"/>
  <c r="I145" i="3"/>
  <c r="I156" i="3" s="1"/>
  <c r="G37" i="8"/>
  <c r="G158" i="3"/>
  <c r="C10" i="12" l="1"/>
  <c r="C11" i="12"/>
  <c r="M158" i="3"/>
  <c r="N156" i="3"/>
  <c r="N158" i="3" s="1"/>
  <c r="I158" i="3"/>
  <c r="I37" i="8"/>
  <c r="C12" i="12" l="1"/>
  <c r="C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tc={60DFFBD6-CDB1-48FD-BF94-7C9DCAF12870}</author>
    <author>tc={52A74A86-25DD-4F27-A18C-8123B9DAB9F7}</author>
    <author>tc={0D27372B-C37C-413E-BCFB-6062C137640B}</author>
    <author>tc={0D27372B-C37C-413F-BCFB-6062C137640B}</author>
    <author>tc={47B91E52-E573-434F-A424-635BD13076AD}</author>
    <author>tc={9C8C135F-803E-467E-9130-CE1489C6557A}</author>
    <author>tc={7B8EDE31-8F75-41A4-9434-98BB1C3BA71A}</author>
    <author>tc={2C39D737-3B60-4FDA-9516-F48DAF5EEA8A}</author>
    <author>tc={0EE4E1AA-1DEF-4D49-B859-3E6AED86DDE9}</author>
    <author>tc={C104C0E3-7776-42C0-846D-08B856C73E5F}</author>
    <author>tc={AFE4C33D-9065-41E0-AD55-7C70F74E41F0}</author>
    <author>tc={2F3512F9-AFDE-4DFC-AA15-47F9DDE9F188}</author>
    <author>tc={6A08FCCC-EFE7-48B0-8912-A395792885DC}</author>
    <author>tc={DBCB2059-340F-4017-ABCF-7E2855D4A772}</author>
    <author>tc={9B0CA8B6-B232-4DD2-970E-241ECB6EE3E8}</author>
    <author>tc={103456D0-406C-4B13-B548-6A6413E041C1}</author>
    <author>tc={63BCC381-249B-4CAA-BA0F-6E6B49E1D057}</author>
    <author>tc={45250181-A841-4BDE-9E10-9279C6709C35}</author>
    <author>tc={7673BFDA-96B7-44CD-A10A-4936AACEB029}</author>
    <author>tc={29E4E4E5-BE42-473F-BD40-896DB9D77F67}</author>
    <author>tc={C2C45033-C236-4977-A5D5-90CD55C1143D}</author>
    <author>tc={9EA04705-8E75-49AE-9FE1-3FE957387CB7}</author>
    <author>tc={4D4C1613-3F0D-4B96-82C8-E43CFD86D65E}</author>
    <author>tc={2DCEA17D-AAAE-44B2-AB4D-E806776065EE}</author>
    <author>tc={28E3CFC5-032C-4BE7-8621-C7463B4D0A5A}</author>
    <author>tc={20F926F3-0C29-4500-BB8E-B79BE6676FCA}</author>
    <author>tc={06196694-12CB-4CA4-A361-2D9A981EC57F}</author>
    <author>tc={A9CC1B6E-02E0-4465-8FCA-C2153C64DEA5}</author>
    <author>tc={130F5180-B9A8-4979-AF95-59CD75F2E4EC}</author>
    <author>tc={0CC631CA-06DC-42B1-BF65-71D8DD2D0E6E}</author>
    <author>tc={76956331-C8B2-469B-83EC-026B4E0E130C}</author>
    <author>tc={6F934147-07F2-47DE-80AE-198D3F8C1EEB}</author>
    <author>tc={29DBEABE-3819-4332-A498-02E4DC3961AC}</author>
    <author>tc={395E49B7-DCB9-4DC1-A1CA-E207B0044029}</author>
    <author>tc={2899FE9B-D8A3-4FB2-88DC-CCEC21B053AF}</author>
    <author>tc={DDF42CBE-C71B-4365-BBB2-40D16EB0F20B}</author>
    <author>Otey, Jennifer - FNS</author>
    <author>tc={48392310-1CAC-46C6-B97A-77A9BC6367F5}</author>
    <author>tc={9DDFA1FE-EAD6-44D8-9BB2-347EB26AC92C}</author>
    <author>Hoang, Thoa K. - FNS</author>
    <author>Roth, Laura - FNS</author>
    <author>tc={630757C4-61B2-4F90-87EC-06F8985CB973}</author>
    <author>tc={7478C7E7-FA1A-4DC5-ABB7-E6E09BA5C218}</author>
    <author>tc={734B945F-4D4D-4792-A150-E2C2BD76D5D1}</author>
    <author>tc={AEB64DEC-0E18-4B8E-B280-10A82B4714AC}</author>
    <author>tc={2D5C79FF-6DDC-4DE0-87D5-6F39E7E95FB9}</author>
    <author>tc={68364983-D4AF-4E4C-9489-7DD9223840DD}</author>
    <author>tc={03C4E75E-F14E-4D8C-B496-FA0CE87ADCCB}</author>
    <author>tc={CE4E0E78-C5E2-4BB3-B58A-F936DE1224B6}</author>
    <author>tc={AF1316D6-FF20-42EB-A516-18918235B5D4}</author>
    <author>tc={58FCD074-F69D-4FFB-85D6-5600C9DA3842}</author>
    <author>tc={3F7F2824-D882-49AD-9A6D-3755073F2D88}</author>
    <author>tc={BC63472A-D649-449E-8B45-79F843DB77E5}</author>
    <author>tc={D8C8A399-10BF-4CCB-9344-0EE071742F6D}</author>
    <author>tc={AC542C87-AA99-4D44-BA2C-68B84A953681}</author>
    <author>tc={FF0220F4-032C-47D7-8421-F3280F5ACC6D}</author>
    <author>tc={B10BB1BA-856C-4640-AEA0-E7BEBA603F38}</author>
    <author>tc={84B50EE7-9497-4C4C-823B-A2A9E4B518ED}</author>
    <author>tc={076F887C-8447-43FB-81C9-E530C2D0F5ED}</author>
    <author>tc={95FF7CE4-5E21-4841-82F0-DF8722F2FA11}</author>
    <author>tc={A8DF85C6-D35E-4314-ACB4-D7FE3B8B3DB3}</author>
    <author>tc={DE3ADC63-03B1-412D-85DE-E8605461EAD8}</author>
    <author>tc={99DAC8F2-0CB0-4D8F-8BAE-43D6F678541D}</author>
    <author>tc={A2C99DC0-93AB-487C-A1E8-909DC64EDE13}</author>
    <author>tc={0ACE4564-2B57-4D0C-B55E-548BEAB13FB1}</author>
    <author>tc={D5EDE9F4-8B97-435D-8724-E4DBF13E0BA3}</author>
    <author>tc={1E1E9AB3-0665-49F9-86CF-DF62D511DE65}</author>
    <author>tc={67610750-8E95-49E4-A060-8D6BA05C163A}</author>
    <author>tc={031A7D90-849F-4614-A66F-FD014350E381}</author>
    <author>tc={88357B90-9CCA-4F71-8BF0-C1C4176F42C4}</author>
  </authors>
  <commentList>
    <comment ref="J6" authorId="0" shapeId="0" xr:uid="{60DFFBD6-CDB1-48FD-BF94-7C9DCAF12870}">
      <text>
        <t>[Threaded comment]
Your version of Excel allows you to read this threaded comment; however, any edits to it will get removed if the file is opened in a newer version of Excel. Learn more: https://go.microsoft.com/fwlink/?linkid=870924
Comment:
    In this ICR, this burden is 0 hours because the burden associated with this requirement will be accounted for under the SAE Funds ICR (OMB Control Number 0584-0067), Form FNS-74.</t>
      </text>
    </comment>
    <comment ref="G8" authorId="1" shapeId="0" xr:uid="{52A74A86-25DD-4F27-A18C-8123B9DAB9F7}">
      <text>
        <t>[Threaded comment]
Your version of Excel allows you to read this threaded comment; however, any edits to it will get removed if the file is opened in a newer version of Excel. Learn more: https://go.microsoft.com/fwlink/?linkid=870924
Comment:
    Number based on currently approved ICR of number renewing.</t>
      </text>
    </comment>
    <comment ref="I9" authorId="2" shapeId="0" xr:uid="{00000000-0006-0000-0000-000008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I12" authorId="3" shapeId="0" xr:uid="{00000000-0006-0000-0000-00000C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G13" authorId="4" shapeId="0" xr:uid="{00000000-0006-0000-0000-00000E000000}">
      <text>
        <t>[Threaded comment]
Your version of Excel allows you to read this threaded comment; however, any edits to it will get removed if the file is opened in a newer version of Excel. Learn more: https://go.microsoft.com/fwlink/?linkid=870924
Comment:
    FNS assumes that 7 out of the 10 institutions with seriuosly deficient notices received this type of notification.</t>
      </text>
    </comment>
    <comment ref="I13" authorId="5" shapeId="0" xr:uid="{00000000-0006-0000-0000-00000F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G14" authorId="6" shapeId="0" xr:uid="{00000000-0006-0000-0000-000011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fail to correct serious deficiencies and will continue through the serious deficiency process, and subsequent disqualification</t>
      </text>
    </comment>
    <comment ref="I14" authorId="7" shapeId="0" xr:uid="{00000000-0006-0000-0000-000012000000}">
      <text>
        <t>[Threaded comment]
Your version of Excel allows you to read this threaded comment; however, any edits to it will get removed if the file is opened in a newer version of Excel. Learn more: https://go.microsoft.com/fwlink/?linkid=870924
Comment:
    Assumed same burden as the notice of agreement termination (if applicable) and disqualification.</t>
      </text>
    </comment>
    <comment ref="G15" authorId="8" shapeId="0" xr:uid="{00000000-0006-0000-0000-000014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fail to correct serious deficiencies and will continue through the serious deficiency process, and subsequent disqualification.
Based on program data/experience, the number of responses per respondent was reduced from 10 to 3.</t>
      </text>
    </comment>
    <comment ref="I15" authorId="9" shapeId="0" xr:uid="{00000000-0006-0000-0000-000015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G16" authorId="10" shapeId="0" xr:uid="{00000000-0006-0000-0000-000016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fail to correct serious deficiencies and will continue through the serious deficiency process, and subsequent disqualification.
Based on program data/experience, the number of responses per respondent was reduced from 5 to 3.</t>
      </text>
    </comment>
    <comment ref="G17" authorId="11" shapeId="0" xr:uid="{00000000-0006-0000-0000-000019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fail to correct serious deficiencies and will continue through the serious deficiency process, and subsequent disqualification.
Based on program data/experience, the number of responses per respondent was reduced from 5 to 3.</t>
      </text>
    </comment>
    <comment ref="I17" authorId="12" shapeId="0" xr:uid="{00000000-0006-0000-0000-00001A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I18" authorId="13" shapeId="0" xr:uid="{00000000-0006-0000-0000-00001C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G19" authorId="14" shapeId="0" xr:uid="{00000000-0006-0000-0000-00001E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fail to correct serious deficiencies and will continue through the serious deficiency process, disqualification, and have agreement terminated.</t>
      </text>
    </comment>
    <comment ref="F21" authorId="15" shapeId="0" xr:uid="{00000000-0006-0000-0000-00001F000000}">
      <text>
        <t>[Threaded comment]
Your version of Excel allows you to read this threaded comment; however, any edits to it will get removed if the file is opened in a newer version of Excel. Learn more: https://go.microsoft.com/fwlink/?linkid=870924
Comment:
    Most State agencies already have this procedure due to implementation of published guidance.</t>
      </text>
    </comment>
    <comment ref="F22" authorId="16" shapeId="0" xr:uid="{00000000-0006-0000-0000-000020000000}">
      <text>
        <t>[Threaded comment]
Your version of Excel allows you to read this threaded comment; however, any edits to it will get removed if the file is opened in a newer version of Excel. Learn more: https://go.microsoft.com/fwlink/?linkid=870924
Comment:
    Most State agencies already have this procedure due to implementation of published guidance.</t>
      </text>
    </comment>
    <comment ref="I25" authorId="17" shapeId="0" xr:uid="{00000000-0006-0000-0000-000023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G26" authorId="18" shapeId="0" xr:uid="{00000000-0006-0000-0000-000024000000}">
      <text>
        <t>[Threaded comment]
Your version of Excel allows you to read this threaded comment; however, any edits to it will get removed if the file is opened in a newer version of Excel. Learn more: https://go.microsoft.com/fwlink/?linkid=870924
Comment:
    This is the number of sponsors per State Agency.
This number is obtained through the use of a formula.
Due to reduction in number of sponsoring organizations of day care homes, the number of responses per respondent decreased from 15 to 11.</t>
      </text>
    </comment>
    <comment ref="I26" authorId="19" shapeId="0" xr:uid="{00000000-0006-0000-0000-000025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G27" authorId="20" shapeId="0" xr:uid="{00000000-0006-0000-0000-000026000000}">
      <text>
        <t>[Threaded comment]
Your version of Excel allows you to read this threaded comment; however, any edits to it will get removed if the file is opened in a newer version of Excel. Learn more: https://go.microsoft.com/fwlink/?linkid=870924
Comment:
    This is the number of sponsors per State Agency.
This number is obtained through the use of a formula.
Due to reduction in number of sponsoring organizations of day care homes, the number of responses per respondent drecreased from 15 to 11.</t>
      </text>
    </comment>
    <comment ref="I27" authorId="21" shapeId="0" xr:uid="{00000000-0006-0000-0000-000027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I29" authorId="22" shapeId="0" xr:uid="{00000000-0006-0000-0000-000028000000}">
      <text>
        <t>[Threaded comment]
Your version of Excel allows you to read this threaded comment; however, any edits to it will get removed if the file is opened in a newer version of Excel. Learn more: https://go.microsoft.com/fwlink/?linkid=870924
Comment:
    Revised hourly burden from 0.25 hours to 2 hours based on public comments received in response to 60-day Federal Register Notice.</t>
      </text>
    </comment>
    <comment ref="G30" authorId="23" shapeId="0" xr:uid="{00000000-0006-0000-0000-000029000000}">
      <text>
        <t>[Threaded comment]
Your version of Excel allows you to read this threaded comment; however, any edits to it will get removed if the file is opened in a newer version of Excel. Learn more: https://go.microsoft.com/fwlink/?linkid=870924
Comment:
    This is the number of sponsors per State Agency.
This number is obtained through the use of a formula.
Due to reduction in number of sponsoring organizations of day care homes, the number of responses per respondent decreased from 15 to 11.</t>
      </text>
    </comment>
    <comment ref="I30" authorId="24" shapeId="0" xr:uid="{00000000-0006-0000-0000-00002A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F31" authorId="25" shapeId="0" xr:uid="{00000000-0006-0000-0000-00002B000000}">
      <text>
        <t>[Threaded comment]
Your version of Excel allows you to read this threaded comment; however, any edits to it will get removed if the file is opened in a newer version of Excel. Learn more: https://go.microsoft.com/fwlink/?linkid=870924
Comment:
    CND estimates that only 15 State Agencies distribute commodities to CACFP institutions; the majority provide cash-in-lieu of commodities.</t>
      </text>
    </comment>
    <comment ref="I31" authorId="26" shapeId="0" xr:uid="{00000000-0006-0000-0000-00002C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I32" authorId="27" shapeId="0" xr:uid="{00000000-0006-0000-0000-00002D000000}">
      <text>
        <t>[Threaded comment]
Your version of Excel allows you to read this threaded comment; however, any edits to it will get removed if the file is opened in a newer version of Excel. Learn more: https://go.microsoft.com/fwlink/?linkid=870924
Comment:
    Revised hourly burden from 0.25 hours to 1 hour based on public comments received in response to 60-day Federal Register Notice.</t>
      </text>
    </comment>
    <comment ref="G33" authorId="28" shapeId="0" xr:uid="{00000000-0006-0000-0000-00002E000000}">
      <text>
        <t>[Threaded comment]
Your version of Excel allows you to read this threaded comment; however, any edits to it will get removed if the file is opened in a newer version of Excel. Learn more: https://go.microsoft.com/fwlink/?linkid=870924
Comment:
    This is the number of institutions per State Agency.
This number is obtained through the use of a formula.
Due to increase in number of sponsoring organizations of centers, the number of responses per respondent increased from 376 to 390.</t>
      </text>
    </comment>
    <comment ref="I33" authorId="29" shapeId="0" xr:uid="{00000000-0006-0000-0000-00002F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 and batch distribution.</t>
      </text>
    </comment>
    <comment ref="G35" authorId="30" shapeId="0" xr:uid="{00000000-0006-0000-0000-000031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be found seriously deficient, issued appeal rights, and hold an administrative review.</t>
      </text>
    </comment>
    <comment ref="G36" authorId="31" shapeId="0" xr:uid="{00000000-0006-0000-0000-000033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be found seriously deficient, issued appeal rights, and hold an administrative review.</t>
      </text>
    </comment>
    <comment ref="G37" authorId="32" shapeId="0" xr:uid="{00000000-0006-0000-0000-000035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be found seriously deficient, issued appeal rights, and hold an administrative review.</t>
      </text>
    </comment>
    <comment ref="G38" authorId="33" shapeId="0" xr:uid="{00000000-0006-0000-0000-000037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be found seriously deficient, issued appeal rights, and hold an administrative review.</t>
      </text>
    </comment>
    <comment ref="G39" authorId="34" shapeId="0" xr:uid="{00000000-0006-0000-0000-000039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be found seriously deficient, issued appeal rights, and hold an administrative review.</t>
      </text>
    </comment>
    <comment ref="I41" authorId="35" shapeId="0" xr:uid="{00000000-0006-0000-0000-00003A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G42" authorId="36" shapeId="0" xr:uid="{E183B644-267D-4B9E-BE5F-6BFC49951F99}">
      <text>
        <r>
          <rPr>
            <b/>
            <sz val="9"/>
            <color indexed="81"/>
            <rFont val="Tahoma"/>
            <family val="2"/>
          </rPr>
          <t>Otey, Jennifer - FNS:</t>
        </r>
        <r>
          <rPr>
            <sz val="9"/>
            <color indexed="81"/>
            <rFont val="Tahoma"/>
            <family val="2"/>
          </rPr>
          <t xml:space="preserve">
Based on the number of sponsors in the curretly approved ICR - 3257 government and 18601 businesses.</t>
        </r>
      </text>
    </comment>
    <comment ref="I43" authorId="37" shapeId="0" xr:uid="{00000000-0006-0000-0000-00003B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 ref="G44" authorId="38" shapeId="0" xr:uid="{00000000-0006-0000-0000-00003D000000}">
      <text>
        <t>[Threaded comment]
Your version of Excel allows you to read this threaded comment; however, any edits to it will get removed if the file is opened in a newer version of Excel. Learn more: https://go.microsoft.com/fwlink/?linkid=870924
Comment:
    [Sponsoring organizations (centers and homes)] / [Number of State Agencies]; rounded</t>
      </text>
    </comment>
    <comment ref="C45" authorId="39" shapeId="0" xr:uid="{DB2EB32E-A318-47F7-9238-B43228F5706F}">
      <text>
        <r>
          <rPr>
            <b/>
            <sz val="9"/>
            <color indexed="81"/>
            <rFont val="Tahoma"/>
            <family val="2"/>
          </rPr>
          <t>Hoang, Thoa K. - FNS:</t>
        </r>
        <r>
          <rPr>
            <sz val="9"/>
            <color indexed="81"/>
            <rFont val="Tahoma"/>
            <family val="2"/>
          </rPr>
          <t xml:space="preserve">
based on certain criteria, some institutions will be reviewed more frequently.</t>
        </r>
      </text>
    </comment>
    <comment ref="E45" authorId="39" shapeId="0" xr:uid="{4D0855E2-7FE6-4193-9B3A-99DDF0F918C5}">
      <text>
        <r>
          <rPr>
            <b/>
            <sz val="9"/>
            <color indexed="81"/>
            <rFont val="Tahoma"/>
            <family val="2"/>
          </rPr>
          <t>Hoang, Thoa K. - FNS:</t>
        </r>
        <r>
          <rPr>
            <sz val="9"/>
            <color indexed="81"/>
            <rFont val="Tahoma"/>
            <family val="2"/>
          </rPr>
          <t xml:space="preserve">
based on certain criteria, some institutions will be reviewed more frequently.</t>
        </r>
      </text>
    </comment>
    <comment ref="I45" authorId="40" shapeId="0" xr:uid="{5C66EBCE-0382-458D-AA4D-6806411F5066}">
      <text>
        <r>
          <rPr>
            <b/>
            <sz val="9"/>
            <color indexed="81"/>
            <rFont val="Tahoma"/>
            <family val="2"/>
          </rPr>
          <t>Roth, Laura - FNS:</t>
        </r>
        <r>
          <rPr>
            <sz val="9"/>
            <color indexed="81"/>
            <rFont val="Tahoma"/>
            <family val="2"/>
          </rPr>
          <t xml:space="preserve">
Adjsuted from the proposed rule ICR to account for the time it takes to select a sample to review
</t>
        </r>
      </text>
    </comment>
    <comment ref="I46" authorId="41" shapeId="0" xr:uid="{00000000-0006-0000-0000-00003E000000}">
      <text>
        <t>[Threaded comment]
Your version of Excel allows you to read this threaded comment; however, any edits to it will get removed if the file is opened in a newer version of Excel. Learn more: https://go.microsoft.com/fwlink/?linkid=870924
Comment:
    Revised hourly burden from 0.25 hours to 6 hours based on public comments received in response to 60-day Federal Register Notice.</t>
      </text>
    </comment>
    <comment ref="E47" authorId="39" shapeId="0" xr:uid="{EB196B8E-0E4E-472D-AF4B-DF1550B7CFA8}">
      <text>
        <r>
          <rPr>
            <b/>
            <sz val="9"/>
            <color indexed="81"/>
            <rFont val="Tahoma"/>
            <family val="2"/>
          </rPr>
          <t>Hoang, Thoa K. - FNS:</t>
        </r>
        <r>
          <rPr>
            <sz val="9"/>
            <color indexed="81"/>
            <rFont val="Tahoma"/>
            <family val="2"/>
          </rPr>
          <t xml:space="preserve">
based on certain criteria, some institutions will be reviewed more frequently.</t>
        </r>
      </text>
    </comment>
    <comment ref="G48" authorId="42" shapeId="0" xr:uid="{00000000-0006-0000-0000-000040000000}">
      <text>
        <t>[Threaded comment]
Your version of Excel allows you to read this threaded comment; however, any edits to it will get removed if the file is opened in a newer version of Excel. Learn more: https://go.microsoft.com/fwlink/?linkid=870924
Comment:
    Each State agency most likely disseminates this information as one response through a State system or through a training for all their institutions annually.</t>
      </text>
    </comment>
    <comment ref="F50" authorId="40" shapeId="0" xr:uid="{1832753A-7957-4EEF-ACFE-85E2FFB1A8BD}">
      <text>
        <r>
          <rPr>
            <b/>
            <sz val="9"/>
            <color indexed="81"/>
            <rFont val="Tahoma"/>
            <family val="2"/>
          </rPr>
          <t>Roth, Laura - FNS:</t>
        </r>
        <r>
          <rPr>
            <sz val="9"/>
            <color indexed="81"/>
            <rFont val="Tahoma"/>
            <family val="2"/>
          </rPr>
          <t xml:space="preserve">
FNS assumes that each SA has at least 1 unaffilated center under a SO in the State</t>
        </r>
      </text>
    </comment>
    <comment ref="I50" authorId="40" shapeId="0" xr:uid="{F2636D55-93B0-4F6D-BDB3-CA03C49137E7}">
      <text>
        <r>
          <rPr>
            <b/>
            <sz val="9"/>
            <color indexed="81"/>
            <rFont val="Tahoma"/>
            <family val="2"/>
          </rPr>
          <t>Roth, Laura - FNS:</t>
        </r>
        <r>
          <rPr>
            <sz val="9"/>
            <color indexed="81"/>
            <rFont val="Tahoma"/>
            <family val="2"/>
          </rPr>
          <t xml:space="preserve">
Adjusted from the proposed rule ICR to account for the time it takes to determine the sample to review.</t>
        </r>
      </text>
    </comment>
    <comment ref="F51" authorId="43" shapeId="0" xr:uid="{00000000-0006-0000-0000-000041000000}">
      <text>
        <t>[Threaded comment]
Your version of Excel allows you to read this threaded comment; however, any edits to it will get removed if the file is opened in a newer version of Excel. Learn more: https://go.microsoft.com/fwlink/?linkid=870924
Comment:
    Management Evaluations/Audits are on a 2-year cycle.</t>
      </text>
    </comment>
    <comment ref="I51" authorId="44" shapeId="0" xr:uid="{00000000-0006-0000-0000-000042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 ref="J52" authorId="45" shapeId="0" xr:uid="{2D5C79FF-6DDC-4DE0-87D5-6F39E7E95FB9}">
      <text>
        <t>[Threaded comment]
Your version of Excel allows you to read this threaded comment; however, any edits to it will get removed if the file is opened in a newer version of Excel. Learn more: https://go.microsoft.com/fwlink/?linkid=870924
Comment:
    The burden is 0 hours because the burden is already captured in the Food Programs Reporting System (FPRS) ICR, information collection with OMB Control Number 0584 0594, Form FNS-44.</t>
      </text>
    </comment>
    <comment ref="G53" authorId="46" shapeId="0" xr:uid="{00000000-0006-0000-0000-000045000000}">
      <text>
        <t>[Threaded comment]
Your version of Excel allows you to read this threaded comment; however, any edits to it will get removed if the file is opened in a newer version of Excel. Learn more: https://go.microsoft.com/fwlink/?linkid=870924
Comment:
    Annual activity</t>
      </text>
    </comment>
    <comment ref="G54" authorId="47" shapeId="0" xr:uid="{00000000-0006-0000-0000-000047000000}">
      <text>
        <t>[Threaded comment]
Your version of Excel allows you to read this threaded comment; however, any edits to it will get removed if the file is opened in a newer version of Excel. Learn more: https://go.microsoft.com/fwlink/?linkid=870924
Comment:
    [Sponsoring organizations (centers and homes)] / [Number of State Agencies]; rounded
This number is obtained through the use of a formula.</t>
      </text>
    </comment>
    <comment ref="G58" authorId="48" shapeId="0" xr:uid="{00000000-0006-0000-0000-000048000000}">
      <text>
        <t>[Threaded comment]
Your version of Excel allows you to read this threaded comment; however, any edits to it will get removed if the file is opened in a newer version of Excel. Learn more: https://go.microsoft.com/fwlink/?linkid=870924
Comment:
    Each State Agency must process claims once a month.</t>
      </text>
    </comment>
    <comment ref="I58" authorId="49" shapeId="0" xr:uid="{00000000-0006-0000-0000-000049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I60" authorId="50" shapeId="0" xr:uid="{00000000-0006-0000-0000-00004A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H61" authorId="51" shapeId="0" xr:uid="{3F7F2824-D882-49AD-9A6D-3755073F2D88}">
      <text>
        <t>[Threaded comment]
Your version of Excel allows you to read this threaded comment; however, any edits to it will get removed if the file is opened in a newer version of Excel. Learn more: https://go.microsoft.com/fwlink/?linkid=870924
Comment:
    540+83 = 623 (number of sponsors of daycare homes, in current ICR).</t>
      </text>
    </comment>
    <comment ref="G62" authorId="52" shapeId="0" xr:uid="{00000000-0006-0000-0000-00004B000000}">
      <text>
        <t>[Threaded comment]
Your version of Excel allows you to read this threaded comment; however, any edits to it will get removed if the file is opened in a newer version of Excel. Learn more: https://go.microsoft.com/fwlink/?linkid=870924
Comment:
    This is 10% of the number of institutions per State Agency.
This number is obtained through the use of a formula.
Due to increase in number of sponsoring organizations, the number of responses per respondent increased from 38 to 39.</t>
      </text>
    </comment>
    <comment ref="J63" authorId="53" shapeId="0" xr:uid="{D8C8A399-10BF-4CCB-9344-0EE071742F6D}">
      <text>
        <t>[Threaded comment]
Your version of Excel allows you to read this threaded comment; however, any edits to it will get removed if the file is opened in a newer version of Excel. Learn more: https://go.microsoft.com/fwlink/?linkid=870924
Comment:
    FNS estimates that none of the 56 SAs plan to use or disclose information about children eligible for free/reduced-price meals in ways not specified in the regulations. Therefore, the total burden hours associated with this requirement is 0.</t>
      </text>
    </comment>
    <comment ref="J64" authorId="54" shapeId="0" xr:uid="{AC542C87-AA99-4D44-BA2C-68B84A953681}">
      <text>
        <t>[Threaded comment]
Your version of Excel allows you to read this threaded comment; however, any edits to it will get removed if the file is opened in a newer version of Excel. Learn more: https://go.microsoft.com/fwlink/?linkid=870924
Comment:
    FNS estimates that all 56 SAs already have entered into written agreements with the parties requesting children’s free/reduced-price eligibility information. Therefore, the total burden hours associated with this requirement is 0.</t>
      </text>
    </comment>
    <comment ref="J65" authorId="55" shapeId="0" xr:uid="{FF0220F4-032C-47D7-8421-F3280F5ACC6D}">
      <text>
        <t>[Threaded comment]
Your version of Excel allows you to read this threaded comment; however, any edits to it will get removed if the file is opened in a newer version of Excel. Learn more: https://go.microsoft.com/fwlink/?linkid=870924
Comment:
    FNS believes that all administering agencies have already established the policies and procedures governing the use, title, and disposition of equipment. Therefore, the total burden hours associated with this requirement is 0.</t>
      </text>
    </comment>
    <comment ref="G72" authorId="56" shapeId="0" xr:uid="{00000000-0006-0000-0000-00004D000000}">
      <text>
        <t>[Threaded comment]
Your version of Excel allows you to read this threaded comment; however, any edits to it will get removed if the file is opened in a newer version of Excel. Learn more: https://go.microsoft.com/fwlink/?linkid=870924
Comment:
    Even though this is an annual requirement, institutions submit information on a monthly basis.</t>
      </text>
    </comment>
    <comment ref="F79" authorId="40" shapeId="0" xr:uid="{052EDA43-B710-4EA5-A590-02397B41F5BC}">
      <text>
        <r>
          <rPr>
            <b/>
            <sz val="9"/>
            <color indexed="81"/>
            <rFont val="Tahoma"/>
            <family val="2"/>
          </rPr>
          <t>Roth, Laura - FNS:</t>
        </r>
        <r>
          <rPr>
            <sz val="9"/>
            <color indexed="81"/>
            <rFont val="Tahoma"/>
            <family val="2"/>
          </rPr>
          <t xml:space="preserve">
This number is based on the number of large, local govt SO of sponsored centers that have unaffliated centers.
</t>
        </r>
      </text>
    </comment>
    <comment ref="G79" authorId="40" shapeId="0" xr:uid="{3669C50A-40D8-4FD1-8AFC-FC49532D158F}">
      <text>
        <r>
          <rPr>
            <b/>
            <sz val="9"/>
            <color indexed="81"/>
            <rFont val="Tahoma"/>
            <family val="2"/>
          </rPr>
          <t>Roth, Laura - FNS:</t>
        </r>
        <r>
          <rPr>
            <sz val="9"/>
            <color indexed="81"/>
            <rFont val="Tahoma"/>
            <family val="2"/>
          </rPr>
          <t xml:space="preserve">
The SO will provide the SA 1 record for all of it's unaffiliated centers.</t>
        </r>
      </text>
    </comment>
    <comment ref="C80" authorId="57" shapeId="0" xr:uid="{84B50EE7-9497-4C4C-823B-A2A9E4B518ED}">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81" authorId="58" shapeId="0" xr:uid="{00000000-0006-0000-0000-000052000000}">
      <text>
        <t>[Threaded comment]
Your version of Excel allows you to read this threaded comment; however, any edits to it will get removed if the file is opened in a newer version of Excel. Learn more: https://go.microsoft.com/fwlink/?linkid=870924
Comment:
    Estimate used in currently approved ICR. 
Burden assumption takes into account electronic transmission.</t>
      </text>
    </comment>
    <comment ref="I87" authorId="59" shapeId="0" xr:uid="{00000000-0006-0000-0000-000059000000}">
      <text>
        <t>[Threaded comment]
Your version of Excel allows you to read this threaded comment; however, any edits to it will get removed if the file is opened in a newer version of Excel. Learn more: https://go.microsoft.com/fwlink/?linkid=870924
Comment:
    Assumes that institutions spend 3 hours a month reviewing materials. Thus, in a year, institutions spend 36 hours reviewing FNS materials.</t>
      </text>
    </comment>
    <comment ref="G111" authorId="60" shapeId="0" xr:uid="{00000000-0006-0000-0000-000067000000}">
      <text>
        <t>[Threaded comment]
Your version of Excel allows you to read this threaded comment; however, any edits to it will get removed if the file is opened in a newer version of Excel. Learn more: https://go.microsoft.com/fwlink/?linkid=870924
Comment:
    Assumed to be an annual requirement</t>
      </text>
    </comment>
    <comment ref="F114" authorId="40" shapeId="0" xr:uid="{507D7312-64FC-4EC5-976C-C780BB45C726}">
      <text>
        <r>
          <rPr>
            <b/>
            <sz val="9"/>
            <color indexed="81"/>
            <rFont val="Tahoma"/>
            <family val="2"/>
          </rPr>
          <t>Roth, Laura - FNS:</t>
        </r>
        <r>
          <rPr>
            <sz val="9"/>
            <color indexed="81"/>
            <rFont val="Tahoma"/>
            <family val="2"/>
          </rPr>
          <t xml:space="preserve">
This the estimate of large, business SO of sponsored centers that have unaffiliated centers.
</t>
        </r>
      </text>
    </comment>
    <comment ref="F115" authorId="61" shapeId="0" xr:uid="{DE3ADC63-03B1-412D-85DE-E8605461EAD8}">
      <text>
        <t>[Threaded comment]
Your version of Excel allows you to read this threaded comment; however, any edits to it will get removed if the file is opened in a newer version of Excel. Learn more: https://go.microsoft.com/fwlink/?linkid=870924
Comment:
    This is the number of buisness institutions from the most recently approved  CACFP ICR.</t>
      </text>
    </comment>
    <comment ref="I121" authorId="62" shapeId="0" xr:uid="{00000000-0006-0000-0000-00006B000000}">
      <text>
        <t>[Threaded comment]
Your version of Excel allows you to read this threaded comment; however, any edits to it will get removed if the file is opened in a newer version of Excel. Learn more: https://go.microsoft.com/fwlink/?linkid=870924
Comment:
    Estimate used in currently approved ICR. 
Burden assumption takes into account use of advanced technology/automation.</t>
      </text>
    </comment>
    <comment ref="I122" authorId="63" shapeId="0" xr:uid="{00000000-0006-0000-0000-00006D000000}">
      <text>
        <t>[Threaded comment]
Your version of Excel allows you to read this threaded comment; however, any edits to it will get removed if the file is opened in a newer version of Excel. Learn more: https://go.microsoft.com/fwlink/?linkid=870924
Comment:
    Based on estimates for other requirements in the currently approved ICR. 
Burden assumption takes into account use of advanced technology.</t>
      </text>
    </comment>
    <comment ref="I123" authorId="64" shapeId="0" xr:uid="{00000000-0006-0000-0000-00006F000000}">
      <text>
        <t>[Threaded comment]
Your version of Excel allows you to read this threaded comment; however, any edits to it will get removed if the file is opened in a newer version of Excel. Learn more: https://go.microsoft.com/fwlink/?linkid=870924
Comment:
    Assumes that institutions spend 3 hours a month reviewing materials. Thus, in a year, institutions spend 36 hours reviewing FNS materials.</t>
      </text>
    </comment>
    <comment ref="F127" authorId="65" shapeId="0" xr:uid="{00000000-0006-0000-0000-000074000000}">
      <text>
        <t>[Threaded comment]
Your version of Excel allows you to read this threaded comment; however, any edits to it will get removed if the file is opened in a newer version of Excel. Learn more: https://go.microsoft.com/fwlink/?linkid=870924
Comment:
    Imminent threat to health or safety does not occur often. FNS assumes that ¼ (25%) of sponsoring organizations may need to notify the State agency or local authorities and take action.</t>
      </text>
    </comment>
    <comment ref="F129" authorId="66" shapeId="0" xr:uid="{00000000-0006-0000-0000-000077000000}">
      <text>
        <t>[Threaded comment]
Your version of Excel allows you to read this threaded comment; however, any edits to it will get removed if the file is opened in a newer version of Excel. Learn more: https://go.microsoft.com/fwlink/?linkid=870924
Comment:
    Imminent threat to health or safety does not occur often. FNS assumes that ¼ (25%) of Sponsoring organizations of day care homes may need to take action due to health or safety violations at day care homes.</t>
      </text>
    </comment>
    <comment ref="I138" authorId="67" shapeId="0" xr:uid="{00000000-0006-0000-0000-00007C000000}">
      <text>
        <t>[Threaded comment]
Your version of Excel allows you to read this threaded comment; however, any edits to it will get removed if the file is opened in a newer version of Excel. Learn more: https://go.microsoft.com/fwlink/?linkid=870924
Comment:
    Estimate used in previously approved ICR. 
Burden assumption takes into account use of advanced technology/automation.</t>
      </text>
    </comment>
    <comment ref="F143" authorId="68" shapeId="0" xr:uid="{031A7D90-849F-4614-A66F-FD014350E381}">
      <text>
        <t>[Threaded comment]
Your version of Excel allows you to read this threaded comment; however, any edits to it will get removed if the file is opened in a newer version of Excel. Learn more: https://go.microsoft.com/fwlink/?linkid=870924
Comment:
    Based on current approved ICR.</t>
      </text>
    </comment>
    <comment ref="G143" authorId="69" shapeId="0" xr:uid="{88357B90-9CCA-4F71-8BF0-C1C4176F42C4}">
      <text>
        <t>[Threaded comment]
Your version of Excel allows you to read this threaded comment; however, any edits to it will get removed if the file is opened in a newer version of Excel. Learn more: https://go.microsoft.com/fwlink/?linkid=870924
Comment:
    Per currently approved ICR, 10.37% of homes are tier II; using logic of 10.37% of households being in tier II, 10.37% x 528,479 total daycare home ADA (per NDB, KD11 - Child and Adult Care Food Program -- Child Care Homes and Centers) =  54,804 potentially completing meal benefit forms in tier II homes.</t>
      </text>
    </comment>
    <comment ref="G147" authorId="40" shapeId="0" xr:uid="{00000000-0006-0000-0000-000082000000}">
      <text>
        <r>
          <rPr>
            <b/>
            <sz val="9"/>
            <color indexed="81"/>
            <rFont val="Tahoma"/>
            <family val="2"/>
          </rPr>
          <t>Roth, Laura - FNS:</t>
        </r>
        <r>
          <rPr>
            <sz val="9"/>
            <color indexed="81"/>
            <rFont val="Tahoma"/>
            <family val="2"/>
          </rPr>
          <t xml:space="preserve">
From previously approved ICR dated 092819: This estimate is 1.59 because parents have to fill out/sign a form for EACH child, same as with the enrollment forms. The number of parents was calculated from the # of children, and this was adjusted up by the same amount.</t>
        </r>
      </text>
    </comment>
    <comment ref="G148" authorId="40" shapeId="0" xr:uid="{00000000-0006-0000-0000-000084000000}">
      <text>
        <r>
          <rPr>
            <b/>
            <sz val="9"/>
            <color indexed="81"/>
            <rFont val="Tahoma"/>
            <family val="2"/>
          </rPr>
          <t>Roth, Laura - FNS:</t>
        </r>
        <r>
          <rPr>
            <sz val="9"/>
            <color indexed="81"/>
            <rFont val="Tahoma"/>
            <family val="2"/>
          </rPr>
          <t xml:space="preserve">
This estimate is 1.59 because parents have to fill out/sign a form for EACH child, same as with the enrollment forms. From the previously approved ICR dated 092816, The number of parents was calculated from the # of children, and this was adjusted up by the same amount.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Hoang, Thoa K. - FNS</author>
    <author>tc={AAD57113-FA12-41D7-95C4-F3445EEA7F2B}</author>
  </authors>
  <commentList>
    <comment ref="C8" authorId="0" shapeId="0" xr:uid="{29FFF8C1-9ECC-4D6B-A376-4E18DE3507FE}">
      <text>
        <r>
          <rPr>
            <b/>
            <sz val="9"/>
            <color indexed="81"/>
            <rFont val="Tahoma"/>
            <family val="2"/>
          </rPr>
          <t>Hoang, Thoa K. - FNS:</t>
        </r>
        <r>
          <rPr>
            <sz val="9"/>
            <color indexed="81"/>
            <rFont val="Tahoma"/>
            <family val="2"/>
          </rPr>
          <t xml:space="preserve">
based on certain criteria, some institutions will be reviewed more frequently.</t>
        </r>
      </text>
    </comment>
    <comment ref="E8" authorId="0" shapeId="0" xr:uid="{BF95F206-2B42-4996-BE45-CAA127E27B13}">
      <text>
        <r>
          <rPr>
            <b/>
            <sz val="9"/>
            <color indexed="81"/>
            <rFont val="Tahoma"/>
            <family val="2"/>
          </rPr>
          <t>Hoang, Thoa K. - FNS:</t>
        </r>
        <r>
          <rPr>
            <sz val="9"/>
            <color indexed="81"/>
            <rFont val="Tahoma"/>
            <family val="2"/>
          </rPr>
          <t xml:space="preserve">
based on certain criteria, some institutions will be reviewed more frequently.</t>
        </r>
      </text>
    </comment>
    <comment ref="I9"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tc={32919CF0-1B6F-45E0-B31C-6405044854BC}</author>
    <author>tc={F8FF9605-C4DF-43CB-BF16-ABCB352C27C1}</author>
    <author>tc={41343DFF-750E-409E-88BE-B359579B4855}</author>
    <author>tc={F8FF9605-C4DF-43CC-BF16-ABCB352C27C1}</author>
    <author>tc={D0F8695C-CC6A-4135-A0AA-74F3DC7D2F97}</author>
    <author>tc={F55BF6F2-60C8-4FC0-8EAB-98BCBE5E8E45}</author>
    <author>tc={F8FF9605-C4DF-43CD-BF16-ABCB352C27C1}</author>
  </authors>
  <commentList>
    <comment ref="F5" authorId="0"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It is assumed that 50% of State agencies do this media release.</t>
      </text>
    </comment>
    <comment ref="I5" authorId="1" shapeId="0" xr:uid="{00000000-0006-0000-0200-000004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 ref="F7" authorId="2" shapeId="0" xr:uid="{00000000-0006-0000-0200-000006000000}">
      <text>
        <t>[Threaded comment]
Your version of Excel allows you to read this threaded comment; however, any edits to it will get removed if the file is opened in a newer version of Excel. Learn more: https://go.microsoft.com/fwlink/?linkid=870924
Comment:
    It is assumed that 50% of local government agencies do this media release.</t>
      </text>
    </comment>
    <comment ref="I7" authorId="3" shapeId="0" xr:uid="{00000000-0006-0000-0200-000008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 ref="F11" authorId="4" shapeId="0" xr:uid="{00000000-0006-0000-0200-00000A000000}">
      <text>
        <t>[Threaded comment]
Your version of Excel allows you to read this threaded comment; however, any edits to it will get removed if the file is opened in a newer version of Excel. Learn more: https://go.microsoft.com/fwlink/?linkid=870924
Comment:
    It is assumed that 50% of institutions do this media release.</t>
      </text>
    </comment>
    <comment ref="G11" authorId="5" shapeId="0" xr:uid="{00000000-0006-0000-0200-00000B000000}">
      <text>
        <t>[Threaded comment]
Your version of Excel allows you to read this threaded comment; however, any edits to it will get removed if the file is opened in a newer version of Excel. Learn more: https://go.microsoft.com/fwlink/?linkid=870924
Comment:
    This is an annual requirement.</t>
      </text>
    </comment>
    <comment ref="I11" authorId="6" shapeId="0" xr:uid="{00000000-0006-0000-0200-00000C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List>
</comments>
</file>

<file path=xl/sharedStrings.xml><?xml version="1.0" encoding="utf-8"?>
<sst xmlns="http://schemas.openxmlformats.org/spreadsheetml/2006/main" count="1119" uniqueCount="497">
  <si>
    <t>Legend</t>
  </si>
  <si>
    <t>Previously Approved ICR</t>
  </si>
  <si>
    <t>Review of Regulations</t>
  </si>
  <si>
    <t>Comparison with Current OMB Inventory</t>
  </si>
  <si>
    <t>Comparison with OMB Inventory Prior to Expiration</t>
  </si>
  <si>
    <t>Title</t>
  </si>
  <si>
    <t>Estimated Number of Respondents</t>
  </si>
  <si>
    <t>Responses Per Respondent</t>
  </si>
  <si>
    <t>Total Annual Responses</t>
  </si>
  <si>
    <t>Estimated Average Number of Hours Per Response</t>
  </si>
  <si>
    <t>Estimated Total Burden Hours</t>
  </si>
  <si>
    <t>Previously Approved Burden Hours</t>
  </si>
  <si>
    <t>Change in Burden Hours Due to an Adjustment</t>
  </si>
  <si>
    <t>Change in Burden Hours Due to Program Change</t>
  </si>
  <si>
    <t>Total Difference in Burden Hours</t>
  </si>
  <si>
    <t>Notes</t>
  </si>
  <si>
    <t>A</t>
  </si>
  <si>
    <t>B</t>
  </si>
  <si>
    <t>D</t>
  </si>
  <si>
    <t>E = C x D</t>
  </si>
  <si>
    <t>F</t>
  </si>
  <si>
    <t>H</t>
  </si>
  <si>
    <t>J</t>
  </si>
  <si>
    <t>STATE/LOCAL/TRIBAL GOVERNMENT LEVEL</t>
  </si>
  <si>
    <t>226.3(c)</t>
  </si>
  <si>
    <t xml:space="preserve">Federal/State agreement </t>
  </si>
  <si>
    <t>In this ICR, this burden is 0 hours because the burden for completing the FNS-74 form will be captured under the upcoming renewal of the SAE Funds ICR, OMB #0584-0067.</t>
  </si>
  <si>
    <t>226.6(b)(1)</t>
  </si>
  <si>
    <t>SAs must review applications submitted by new institutions.</t>
  </si>
  <si>
    <t>226.6(b)(2)</t>
  </si>
  <si>
    <t>226.6(b)</t>
  </si>
  <si>
    <t>226.6(b)(3)</t>
  </si>
  <si>
    <t>226.6(b)(4)</t>
  </si>
  <si>
    <t>SAs must enter into written agreement with an institution that has been approved for participation in the Program (State/Institution agreement).</t>
  </si>
  <si>
    <t>226.6(c)</t>
  </si>
  <si>
    <t>226.6(c)(1)(iii)(A)
226.6(c)(2)(iii)(A)
226.6(c)(3)(iii)(A)
226.6(c)(6)(ii)(A)</t>
  </si>
  <si>
    <t>SAs must notify an institution’s executive director and chairman of the board of directors that the institution has been determined to be seriously deficient. At the same time the notice is issued, the SAs must add the institution to the SA list, along with the basis for the serious deficiency determination, and provide a copy of the notice to the appropriate FNS Regional Office (FNSRO).</t>
  </si>
  <si>
    <t>226.6(c)(1)(iii)(B)
226.6(c)(2)(iii)(B)
226.6(c)(3)(iii)(B)
226.6(c)(6)(ii)(C)</t>
  </si>
  <si>
    <t>SAs must submit a copy of successful corrective action (temporary deferment or serious deficiency determination) notices to FNSRO for new, renewing, and participating institutions.</t>
  </si>
  <si>
    <t>226.6(c)(1)(iii)(C)
226.6(c)(2)(iii)(C)
226.6(c)(3)(iii)(C)
226.6(c)(6)(ii)(D)</t>
  </si>
  <si>
    <t>SAs must submit a copy of application denial and proposed disqualification notice to FNSRO.</t>
  </si>
  <si>
    <t>Notice of serious deficiency (decision to disapprove new application or renew existing agreement) to institution</t>
  </si>
  <si>
    <t>226.6(c)(1)(iii)(E)
226.6(c)(2)(iii)(D)
226.6(c)(3)(iii)(E)
226.6(c)(5)(i)(C)</t>
  </si>
  <si>
    <t>226.6(c)(3)(i)</t>
  </si>
  <si>
    <t xml:space="preserve">If a SA holds an agreement with an institution operating in more than one State that has been disqualified from the Program by another SA and has been placed on the National Disqualified List, the SA must terminate the institution’s agreement effective no later than 45 days from the date of the institution’s disqualification by the other SA. </t>
  </si>
  <si>
    <t>Submit copy disqualification notice and supportive documentation to FNSRO</t>
  </si>
  <si>
    <t>226.6(c)(1)(iii)(E)
226.6(c)(2)(iii)(D)
226.6(c)(3)(i)
226.6(c)(3)(iii)(E)
226.6(c)(5)(i)(C)
226.6(c)(6)(ii)(E)</t>
  </si>
  <si>
    <t>226.6(c)(5)(i)(A)-(B)
226.6(c)(5)(ii)(A)-(B)
226.6(c)(5)(ii)(B)
226.6(c)(5)(ii)(D)
226.6(c)(6)(ii)(B)</t>
  </si>
  <si>
    <t>SAs must submit copies of proposed suspension of participation notices to the FNSRO.</t>
  </si>
  <si>
    <t>226.6(c)(6)(ii)(G)</t>
  </si>
  <si>
    <t>SAs must terminate an institution's agreement no later than 45 days after the date of the institution’s disqualification if FNS determines that institution to be seriously deficient and subsequently disqualifies the institution. At the same time the notice of termination is issued, the SA must add the institution to the State agency list and provide a copy of the notice to the appropriate FNSRO.</t>
  </si>
  <si>
    <t>Provide FNSRO the required information of each day care home provider terminated for cause</t>
  </si>
  <si>
    <t>226.6(c)(8)(C)(ii)</t>
  </si>
  <si>
    <t>226.6(d)(1) &amp; 226.6(e)</t>
  </si>
  <si>
    <t xml:space="preserve">Establish licensing/compliance review procedures for child care centers, day care homes, outside-school hours care centers and adult day centers </t>
  </si>
  <si>
    <t>226.6(d)(1)
226.6(e)</t>
  </si>
  <si>
    <t>SAs must establish licensing/compliance review procedures for child care centers, at-risk afterschool care centers, day care homes, outside-school hours care centers, and adult day centers. Because SAs currently administer the Program in accordance with licensing/compliance review procedures, now the burden associated with this requirement is to revise/update the established procedures, as necessary.</t>
  </si>
  <si>
    <t>226.6(d)(3)</t>
  </si>
  <si>
    <t>Establish alternate procedures for review of institutions for which licensing or approval is not available -</t>
  </si>
  <si>
    <t xml:space="preserve">226.6(d)(3) </t>
  </si>
  <si>
    <t>SAs must establish alternate procedures for review of institutions for which licensing or approval is not available.</t>
  </si>
  <si>
    <t>2226.6(e)(1)(ix)(A)</t>
  </si>
  <si>
    <t>SAs must coordinate with the NSLP State agency to ensure the receipt of a list of schools in the State in which at least one-half of the children enrolled are certified eligible to receive free or reduced-price meals.</t>
  </si>
  <si>
    <t>226.6(f)(1)(i)</t>
  </si>
  <si>
    <t xml:space="preserve">SAs must annually inform institutions that are pricing programs of their responsibility to ensure that free and reduced-price meals are served to participants unable to pay the full price. </t>
  </si>
  <si>
    <t>226.6(f)(1)(ii)</t>
  </si>
  <si>
    <t>Provide all institutions a copy of the income standards to be used by institutions for determining the eligibility of participants for free and reduced-price meals under the Program</t>
  </si>
  <si>
    <t>SAs must annually provide all institutions a copy of the income standards to be used by institutions for determining the eligibility of participants for free and reduced-price meals under the Program. These standards are provided in Appendix E5. Child Nutrition Programs Income Eligibility Guidelines.</t>
  </si>
  <si>
    <t>226.6(f)(1)(viii) (A)</t>
  </si>
  <si>
    <t>Provide day home sponsoring organizations a list of elementary schools in which at least one-half of the children enrolled receive f/rp meals</t>
  </si>
  <si>
    <t>226.6(f)(1)(viii)(A)</t>
  </si>
  <si>
    <t>SAs must provide day care home sponsoring organizations a list of elementary schools in which at least one-half of the children enrolled receive free/reduced-price meals on an annual basis.</t>
  </si>
  <si>
    <t>226.6(f) (1) (viii) (D)</t>
  </si>
  <si>
    <t>Provide day care home sponsors a listing of State-funded programs, participation in which by a parent or child will qualify a meal served to a child in a tier II home for the tier I rate of reimbursement.</t>
  </si>
  <si>
    <t>226.6(f)(1)(viii)(D)</t>
  </si>
  <si>
    <t>SAs must provide day care home sponsors a listing of State-funded programs, participation in which a parent or child will qualify for a meal served to a child in a tier II home for the tier I rate of reimbursement on an annual basis.</t>
  </si>
  <si>
    <t>226.6(f)(1)   (viii)(E)</t>
  </si>
  <si>
    <t>Submit to SNAP SA list of providers receiving Tier I benefits based on SNAP participation</t>
  </si>
  <si>
    <t>226.6(f)(1)(viii)(E)</t>
  </si>
  <si>
    <t>SAs must submit to the SNAP SA a list of family day care home providers receiving Tier I benefits on an annual basis.</t>
  </si>
  <si>
    <t>226.6(f)(1) (ix)(A)</t>
  </si>
  <si>
    <t>Provide at-risk-afterschool care centers and sponsoring organizations the list of schools in which one-half of children enrolled are eligible for f/rp meals</t>
  </si>
  <si>
    <t>226.6(f)(1)(ix)(A)</t>
  </si>
  <si>
    <t>SAs must provide at-risk-afterschool care centers and sponsoring organizations the list of schools in which one-half of children enrolled are eligible for free/reduced-price meals on an annual basis.</t>
  </si>
  <si>
    <t>226.6(f)(3)(iii)</t>
  </si>
  <si>
    <t>Provide census data to day care home sponsoring organizations</t>
  </si>
  <si>
    <t>SAs must provide census data to day care home sponsoring organizations.</t>
  </si>
  <si>
    <t>226.6 (h)</t>
  </si>
  <si>
    <t>Submit to State commodity distribution agency list of institutions receiving commodities by June 1</t>
  </si>
  <si>
    <t>226.6(h)</t>
  </si>
  <si>
    <t>SAs must submit, to the State commodity distribution agency, a list of institutions receiving commodities, by June 1 of each year.</t>
  </si>
  <si>
    <t>226.6 ( i )</t>
  </si>
  <si>
    <t>Develop standard contract for use between institutions and food service management companies</t>
  </si>
  <si>
    <t>226.6(i)</t>
  </si>
  <si>
    <t>SAs must develop a standard contract in accordance with section 226.21 for use between institutions and food service management companies. The contract must stipulate the requirements under 226.6(i), as well as adherence to procurement provisions.</t>
  </si>
  <si>
    <t>226.6(k)(4)(i)</t>
  </si>
  <si>
    <t>Annually submit admin review (appeal) procedures to all institutions</t>
  </si>
  <si>
    <t>SAs must annually submit administrative review (appeal) procedures to all institutions.</t>
  </si>
  <si>
    <t>226.6(k)(4)(ii)</t>
  </si>
  <si>
    <t>Submit admin review procedures when applicable action taken</t>
  </si>
  <si>
    <t>Each SA must submit administrative review (appeal) procedures when applicable action is taken.</t>
  </si>
  <si>
    <t>226.6(k)(5)(i)</t>
  </si>
  <si>
    <t>SAs must notify the institution's executive director and chairman of the board of directors, and the responsible principals and responsible individuals, of the action being taken or proposed, the basis for the action, and the procedures under which the institution and the responsible principals or responsible individuals may request an administrative review (appeal) of the action.</t>
  </si>
  <si>
    <t>226.6(k)(5)(ii)</t>
  </si>
  <si>
    <t xml:space="preserve">The Administrative Review Official must acknowledge the receipt of the request for an administrative review (appeal) within 10 days of its receipt of the request. </t>
  </si>
  <si>
    <t>226.6(k)(5)(v)</t>
  </si>
  <si>
    <t xml:space="preserve">The Administrative Review Official must review documentation submitted to refute the findings contained in the notice of action. </t>
  </si>
  <si>
    <t>226.6(k)(5)(vi)</t>
  </si>
  <si>
    <t xml:space="preserve">The Administrative Review Official must hold a hearing if requested in the written request for an administrative review (appeal). </t>
  </si>
  <si>
    <t>226.6(k)(5)(ix)
226.6(k)(9)</t>
  </si>
  <si>
    <t xml:space="preserve">The Administrative Review Official must inform the SA, the institution's executive director, and chairman of the board of directors, and the responsible principals and responsible individuals, of the administrative review's outcome within 60 days of the State agency's receipt of the request for an administrative review. </t>
  </si>
  <si>
    <t>226.6 (l)</t>
  </si>
  <si>
    <r>
      <rPr>
        <sz val="11"/>
        <rFont val="Calibri"/>
        <family val="2"/>
        <scheme val="minor"/>
      </rPr>
      <t>Establish/revise admin review (appeal) procedures for day care home providers</t>
    </r>
    <r>
      <rPr>
        <sz val="11"/>
        <color indexed="8"/>
        <rFont val="Calibri"/>
        <family val="2"/>
        <scheme val="minor"/>
      </rPr>
      <t>- SA must notify the appropriate FNSRO of any change or option to offer an administrative review</t>
    </r>
  </si>
  <si>
    <t>226.6(l)</t>
  </si>
  <si>
    <t>226.6(m)(5)</t>
  </si>
  <si>
    <t>Revise/edit household contact procedures - submit changes to FNSRO.</t>
  </si>
  <si>
    <t>226.6(m)(6)</t>
  </si>
  <si>
    <t>SAs must annually review at least 33.3 percent of all institutions. As part of its conduct of reviews, the SA must assess each institution's compliance with the requirements of 7 CFR 226 pertaining to: recordkeeping; meal counts; administrative costs; FNS instructions and handbooks; facility licensing and approval (if sponsoring organization); participant enrollment and eligibility; Civil Rights requirements; meal service; training and monitoring of facilities (if sponsoring organization); serious deficiency and termination procedures (if sponsoring organization); classification of Tier I and Tier II day care homes (if sponsoring organization); agreements; procurement standards, policies and actions; and all other Program requirements.</t>
  </si>
  <si>
    <t>226.6 (p)</t>
  </si>
  <si>
    <t>Develop/revise and provide sponsoring organization agreement between sponsor and facilities</t>
  </si>
  <si>
    <t>226.6(p)</t>
  </si>
  <si>
    <t>SAs must develop/revise and provide sponsoring organization agreement between sponsor and facilities.</t>
  </si>
  <si>
    <t xml:space="preserve">226.6(r) </t>
  </si>
  <si>
    <t xml:space="preserve">SAs must provide information on the importance and benefits of the Special Supplemental Nutrition Program for Women, Infants, and Children (WIC) and WIC income eligibility guidelines to participating institutions. </t>
  </si>
  <si>
    <t>226.7 (c)</t>
  </si>
  <si>
    <t>Submit to FNSRO a written plan for correcting serious deficiencies noted in Management Evaluation/Audit</t>
  </si>
  <si>
    <t xml:space="preserve">226.7(c) </t>
  </si>
  <si>
    <t>226.7(d) 
(Form FNS-44)</t>
  </si>
  <si>
    <t xml:space="preserve">Submit CACFP Report to FNS 30 and 90 days following the month being reported </t>
  </si>
  <si>
    <t>The burden is 0 hours because the burden is already captured in the Food Programs Reporting System (FPRS) ICR, information collection with OMB Control Number 0584 0594, Form FNS-44.</t>
  </si>
  <si>
    <t xml:space="preserve">226.7(e) </t>
  </si>
  <si>
    <t>SAs must submit an annual plan for the use of State administrative expense funds.</t>
  </si>
  <si>
    <t xml:space="preserve">226.7(g) </t>
  </si>
  <si>
    <t xml:space="preserve">SAs must review institutions’ budgets on an annual basis. </t>
  </si>
  <si>
    <t>226.7 (h), (i) &amp; (j)</t>
  </si>
  <si>
    <t>Establish procedures for start ups, advances, and recovery of over-payments</t>
  </si>
  <si>
    <t>226.7(h)
226.7(i) 
226.7(j)</t>
  </si>
  <si>
    <t>226.7 (k)</t>
  </si>
  <si>
    <t>Claims processing</t>
  </si>
  <si>
    <t>226.7(k)</t>
  </si>
  <si>
    <t>226.9 (a)</t>
  </si>
  <si>
    <t>Assign rates of reimbursement for all institutions not less than annually</t>
  </si>
  <si>
    <t>226.9(a)</t>
  </si>
  <si>
    <t>226.10(e)</t>
  </si>
  <si>
    <t>Final Claim for Reimbursement postmarked and/or submitted to the State agency not later than 60 days following the last day of the full month covered by the claim.</t>
  </si>
  <si>
    <t>226.14 (a)</t>
  </si>
  <si>
    <t>Notify institution of disallowed claim and demand repayment</t>
  </si>
  <si>
    <t>226.14(a)</t>
  </si>
  <si>
    <t>226.23(l)</t>
  </si>
  <si>
    <t>Obtain written consent from the child's parents or guardians prior to use or disclose if using or disclosing information in ways not permitted by statute</t>
  </si>
  <si>
    <t>226.23(m) (1)</t>
  </si>
  <si>
    <t>Enter into a written agreement with the party requesting children's free and reduced price eligibility information.</t>
  </si>
  <si>
    <t>226.23(m)(1)
226.23(m)(2)</t>
  </si>
  <si>
    <t>Property management</t>
  </si>
  <si>
    <t>Subtotal</t>
  </si>
  <si>
    <t>Local Government Agencies</t>
  </si>
  <si>
    <t>An institution that has been approved for participation in the Program must enter into written agreement with the SA (State/Institution agreement).</t>
  </si>
  <si>
    <t>226.6 (d)-(e) and    226.6(f)(1)(vi)</t>
  </si>
  <si>
    <t>Submit documentation to demonstrate that child care centers, outside-school-hours care centers, at-risk afterschool care centers, day care homes, and adult day care centers are in compliance with licensing/approval criteria.</t>
  </si>
  <si>
    <t>226.6(d)
226.6(e)
226.6(f)(1)(vi)</t>
  </si>
  <si>
    <t>Sponsors and institutions must submit documentation to SAs to demonstrate that facilities are in compliance with licensing/approval criteria.</t>
  </si>
  <si>
    <t>226.6(f)(1)(iii)</t>
  </si>
  <si>
    <t>Submit current eligibility information on enrolled participants to be used to calculate  reimbursement rate</t>
  </si>
  <si>
    <t>Centers must submit current eligibility information on enrolled participants, in order to calculate a blended rate or claiming percentage in accordance with section 226.9(b).</t>
  </si>
  <si>
    <t>Sponsoring organizations of day care homes must submit a list of family daycare home providers receiving Tier I benefits based on SNAP participation</t>
  </si>
  <si>
    <t>Sponsoring organizations of day care homes must submit annually to the State agency a list of family daycare home providers receiving Tier I benefits based on SNAP participation.</t>
  </si>
  <si>
    <t>226.6(f)(2)(i)</t>
  </si>
  <si>
    <t>Each participating institution must re-apply to continue its participation at intervals that cannot exceed 36 months.</t>
  </si>
  <si>
    <t>CACFP Tiering Assessment:  FNS and OIG may make investigations at the request of the State agency, or whenever FNS or OIG determines that investigations are appropriate.</t>
  </si>
  <si>
    <t>226.6(n)</t>
  </si>
  <si>
    <t>Sponsoring organizations must participate and provide necessary documentation requested as part of investigations.</t>
  </si>
  <si>
    <t>226.7(g)</t>
  </si>
  <si>
    <t xml:space="preserve">Sponsoring organizations must submit an administrative budget to the State agency annually, and independent centers must submit budgets as frequently as required by the State agency. </t>
  </si>
  <si>
    <t>226.10 and    226.15(i)
226. 13 (b)</t>
  </si>
  <si>
    <t>Report to SA number of meals claimed for reimbursement</t>
  </si>
  <si>
    <r>
      <t>226.10</t>
    </r>
    <r>
      <rPr>
        <sz val="11"/>
        <color theme="1"/>
        <rFont val="Calibri"/>
        <family val="2"/>
        <scheme val="minor"/>
      </rPr>
      <t xml:space="preserve">
226.13(b)
226.15(i)</t>
    </r>
  </si>
  <si>
    <t>Sponsors/institutions must report the number of meals claimed for reimbursement to the SA.</t>
  </si>
  <si>
    <t>226.10(c)</t>
  </si>
  <si>
    <t xml:space="preserve">Sponsoring organizations must submit documentation to verify for profit center eligibility. 
</t>
  </si>
  <si>
    <t xml:space="preserve"> 226.13 (d)(3)(i) thru (iii)</t>
  </si>
  <si>
    <t>Establish reimbursement rates for Tier 2 providers with income-eligible children</t>
  </si>
  <si>
    <t>226.13(d)(3)(i)-(iii)</t>
  </si>
  <si>
    <t>Sponsoring organizations of family day care homes must establish and provide reimbursement rates for Tier 2 providers with income-eligible children.</t>
  </si>
  <si>
    <t>226.15(b)</t>
  </si>
  <si>
    <t>New institutions submit application for participation</t>
  </si>
  <si>
    <t>New and participating institutions must submit to the SA, with its application, all information required for its approval. The application must demonstrate that the institution has the administrative and financial capability to operate the Program in accordance with the Program regulations.</t>
  </si>
  <si>
    <t>Participating institutions submit documentation required for renewal</t>
  </si>
  <si>
    <t>Participating institutions must submit documentation required for renewal to the SA.</t>
  </si>
  <si>
    <t>226.15(g)</t>
  </si>
  <si>
    <t>Sponsoring organizations of at-risk afterschool care centers must provide information that permits SA to determine eligibility of at-risk afterschool care centers.</t>
  </si>
  <si>
    <t>226.15(n)</t>
  </si>
  <si>
    <t>Each institution must comply with all regulations issued by FNS and the Department, all instructions and handbooks issued by FNS and the Department to clarify or explain existing regulations, and all regulations, instructions and handbooks issued by the SA that are consistent with the provisions established in Program regulations.</t>
  </si>
  <si>
    <t xml:space="preserve"> Handbooks are provided as a reference in Appendix E and include: Appendix E1. 2017 Edition of the Eligibility Manual for School Meals; Appendix E2. At-Risk Handbook; Appendix E3. CACFP Adult Day Care Handbook; Appendix E4. CACFP Duration of Income Eligibility Determinations; Appendix E6. Independent Child Care Centers Handbook; Appendix E8. Crediting Handbook for the CACFP; Appendix E9. Guidance for Management Plans and Budgets – A CACFP Handbook; Appendix E10. Monitoring Handbook for State Agencies – A CACFP Handbook; Appendix E11. Serious Deficiency, Suspension, &amp; Appeals for State Agencies &amp; Sponsoring Organizations – A CACFP Handbook; Appendix E12. Family Day Care Homes Monitor Handbook; and Appendix E13. Collection of Race and Ethnicity Data by Visual Observation and Identification in the CACFP and Summer Food Service Program – Policy Rescission.</t>
  </si>
  <si>
    <t>226.15(o)</t>
  </si>
  <si>
    <t xml:space="preserve">Institutions must ensure that parents of enrolled children are provided with current information on the benefits and importance of the Special Supplemental Nutrition Program for Women, Infants, and Children (WIC) and the eligibility requirements for WIC participation. (Each institution other than outside-school-hours care centers, at-risk afterschool care centers, emergency shelters, and adult day care centers.) </t>
  </si>
  <si>
    <t>226.16(b)</t>
  </si>
  <si>
    <t>Each sponsoring organization must submit to the SA, with its application, all information required for its approval, and the approval of the facilities under its jurisdiction. The application must demonstrate that the institution has the administrative and financial capability to operate the Program in accordance with the Program regulations.</t>
  </si>
  <si>
    <t>226.16(d)(4)(vi)</t>
  </si>
  <si>
    <t>Sponsoring organizations must provide each center with written notification of the right of the sponsoring organizations, the SA, the Department, and other State and Federal officials to make announced or unannounced reviews of its operations during the center's normal hours of operation, and must also notify sponsored centers that anyone making such reviews must show photo identification that demonstrates that they are employees of one of these entities.</t>
  </si>
  <si>
    <t>226.16(d)(4)(viii)</t>
  </si>
  <si>
    <t>Sponsoring organizations that discover in a facility conduct or conditions that pose an imminent threat to the health or safety of participating children or the public must immediately notify the appropriate State or local licensing or health authorities and take action that is consistent with the recommendations and requirements of those authorities.</t>
  </si>
  <si>
    <t>226.16(l)(3)(i)</t>
  </si>
  <si>
    <t xml:space="preserve">Sponsoring organizations must notify the day care home that it has been found to be seriously deficient. </t>
  </si>
  <si>
    <t>226.16(l)(4)</t>
  </si>
  <si>
    <t xml:space="preserve">Sponsoring organizations must conduct the following activities if State or local health or licensing officials have cited a day care home for serious health or safety violations: (1) immediately suspend the home's CACFP participation prior to any formal action to revoke the home's licensure or approval; (2) notify the day care home that its participation has been suspended, that the day care home has been determined seriously deficient, and that the sponsoring organization proposes to terminate the day care home's agreement for cause; (3) provide a copy of the notice to the State agency.   </t>
  </si>
  <si>
    <t xml:space="preserve">226.17a(e) </t>
  </si>
  <si>
    <t>Sponsoring organizations must make written application to the SA for any afterschool care program that it wants to operate as an at-risk afterschool care center.</t>
  </si>
  <si>
    <t>226.17a(h)</t>
  </si>
  <si>
    <t>Independent at-risk afterschool care centers or sponsors of at-risk afterschool care centers must advise the SA of any substantive changes to the afterschool care program. Sponsoring organizations that want to add new at-risk afterschool care centers must provide the SA with the information sufficient to demonstrate that the new centers meet the requirements of this section.</t>
  </si>
  <si>
    <t>Free and reduced price meal requirements</t>
  </si>
  <si>
    <t>Free/reduced-price meal requirements applicable to independent centers and sponsoring organizations.</t>
  </si>
  <si>
    <t>The respondents for this section should only include: 1) independent child care centers, 2) sponsors of centers affiliated and unaffiliated, and 3) Sponsors of tier II day care homes. 226.23: The State agency must not enter into a Program agreement with a new institution until the institution has submitted, and the State agency has approved, a written policy statement concerning free and reduced-price meals to be used in all child and adult day care facilities under its jurisdiction.</t>
  </si>
  <si>
    <t>Obtain written consent from the child's parents or guardians prior to use or disclosure if using or disclosing information in ways not permitted by statute</t>
  </si>
  <si>
    <t>Child care institutions that plan to use or disclose information about children eligible for free/reduced-price meals in ways not specified in the regulations must obtain written consent from children’s parents or guardians prior to the use or disclosure.</t>
  </si>
  <si>
    <t>226.23(m)</t>
  </si>
  <si>
    <t>A child care institution should have a written agreement or Memorandum of Understanding (MOU) with programs or individuals receiving eligibility information, prior to disclosing children’s free and reduced-price meal eligibility information.</t>
  </si>
  <si>
    <t>STATE/LOCAL/TRIBAL GOVERNMENT LEVEL TOTAL</t>
  </si>
  <si>
    <t>BUSINESS LEVEL</t>
  </si>
  <si>
    <t>Institutions</t>
  </si>
  <si>
    <t>SA must enter into written agreement with an institution that has been approved for participation in the Program (State/Institution agreement).</t>
  </si>
  <si>
    <t>Sponsoring organizations and institutions must submit documentation to SAs in order to demonstrate that facilities are in compliance with licensing/approval criteria.</t>
  </si>
  <si>
    <t xml:space="preserve">Sponsoring organizations of day care homes must submit annually a list of family day care home providers receiving tier I benefits based on SNAP participation. </t>
  </si>
  <si>
    <t>Sponsoring organizations must submit an administrative budget to the SA annually, and independent centers must submit budgets as frequently as required by the SA.</t>
  </si>
  <si>
    <t>Sponsoring organizations and institutions must report to the SA the number of meals claimed for reimbursement.</t>
  </si>
  <si>
    <t xml:space="preserve">Sponsoring organizations must submit documentation to verify for profit center eligibility. </t>
  </si>
  <si>
    <t>Sponsoring organizations of family day care homes must establish reimbursement rates for Tier 2 providers with income-eligible children.</t>
  </si>
  <si>
    <t>New institutions submit application for participation. The application procedures include pre-approval visits and training.</t>
  </si>
  <si>
    <t xml:space="preserve">Participating institutions must submit documentation required for renewal to the SA. </t>
  </si>
  <si>
    <t>Sponsoring organizations of centers must provide each center with written notification of the right of the sponsoring organization, the State agency, the Department, and other State and Federal officials to make announced or unannounced reviews of its operations during the center's normal hours of operation, and must also notify sponsored centers that anyone making such reviews must show photo identification that demonstrates that they are employees of one of these entities.</t>
  </si>
  <si>
    <t>Sponsoring organizations must conduct the following activities if State or local health or licensing officials have cited a day care home for serious health or safety violations: (1) immediately suspend the home's CACFP participation prior to any formal action to revoke the home's licensure or approval; (2) notify the day care home that its participation has been suspended, that the day care home has been determined seriously deficient, and that the sponsoring organization proposes to terminate the day care home's agreement for cause; (3) provide a copy of the notice to the State agency.</t>
  </si>
  <si>
    <t>Sponsoring organizations must make a written application to the SA for any afterschool care program that it wants to operate as an at-risk afterschool care center.</t>
  </si>
  <si>
    <t>Independent at-risk afterschool care centers or sponsoring organizations of at-risk afterschool care centers must advise the SA of any substantive changes to the afterschool care program. Sponsoring organizations that want to add new at-risk afterschool care centers must provide the SA with the information sufficient to demonstrate that the new centers meet the requirements of this section.</t>
  </si>
  <si>
    <t>Facilities</t>
  </si>
  <si>
    <t>Submit daily meal count records to sponsoring organizations monthly</t>
  </si>
  <si>
    <t>226.11(b)(2)
226.17a(p)</t>
  </si>
  <si>
    <t>Centers must report each month to the SA the total number of Program meals.</t>
  </si>
  <si>
    <t>226.13 (d)(1) thru (3) &amp; 226.18 (e)</t>
  </si>
  <si>
    <t>Day care home providers submit daily meal counts to sponsors monthly</t>
  </si>
  <si>
    <t>226.13(d)(1)
226.13(d)(2)
226.13(d)(3)
226.18(e )</t>
  </si>
  <si>
    <t>Day care home providers must submit daily meal counts to sponsors monthly.</t>
  </si>
  <si>
    <t>226.17(d)</t>
  </si>
  <si>
    <t>A sponsored center must distribute to parents a copy of the sponsoring organization's notice to parents, if so instructed by its sponsoring organization.</t>
  </si>
  <si>
    <t>226.18(a)(5)</t>
  </si>
  <si>
    <t>A day care home must promptly inform the sponsoring organization about any change in the number of children enrolled for care or in its licensing or approval status.</t>
  </si>
  <si>
    <t>226.18(a)(14)</t>
  </si>
  <si>
    <t>A day care home must notify their sponsoring organization in advance whenever they are planning to be out of their home during the meal service period.</t>
  </si>
  <si>
    <t>BUSINESS LEVEL TOTAL</t>
  </si>
  <si>
    <t>HOUSEHOLD LEVEL</t>
  </si>
  <si>
    <t>226.15(e)(2) &amp; 
226.17(8) &amp;
226.18 ( e)</t>
  </si>
  <si>
    <t>Enrollment documentation shall be updated annually, signed by a parent or legal guardian, and include information on child's normal days &amp; hours of care and the meals normally received while in care</t>
  </si>
  <si>
    <t>226.15(e)(2)
226.17(b)(8)
226.18(e)</t>
  </si>
  <si>
    <t xml:space="preserve">Households must annually update enrollment documentation, signed by a parent or legal guardian, and include information on enrolled children’s normal days and hours of care and the meals normally received while in care. </t>
  </si>
  <si>
    <t xml:space="preserve">Enrollment forms and free and reduced price documentation are different. This number does not include at-risk and emergency shelters. Those centers don't need enrollment forms. 
</t>
  </si>
  <si>
    <t>226.23(e)(1)</t>
  </si>
  <si>
    <t xml:space="preserve">Households of participants enrolled in institutions, day care home providers  who wish to enroll their own eligible children in the Program, and households of all children enrolled in the day care home, as applicable, must apply for free/reduced-price meals. The application must include information on household income </t>
  </si>
  <si>
    <t>Appendix D includes a Household Income Statement Template.</t>
  </si>
  <si>
    <t>226.20(g)(3)</t>
  </si>
  <si>
    <t>226.20(g)</t>
  </si>
  <si>
    <t xml:space="preserve">Households must provide a written statement to support the need for substitutions, on a case-by-case basis, for foods and meals for individual participants. </t>
  </si>
  <si>
    <t>HOUSEHOLD LEVEL TOTAL</t>
  </si>
  <si>
    <t xml:space="preserve"> SUMMARY OF REPORTING BURDEN</t>
  </si>
  <si>
    <t>C =  A x B</t>
  </si>
  <si>
    <t>G = E - F</t>
  </si>
  <si>
    <t>H = E - F</t>
  </si>
  <si>
    <t>I = G + H</t>
  </si>
  <si>
    <t>State/Local/Tribal Government Burden</t>
  </si>
  <si>
    <t>Business Burden</t>
  </si>
  <si>
    <t>Household Burden</t>
  </si>
  <si>
    <t>Total Reporting Burden</t>
  </si>
  <si>
    <t>Collect and maintain on file CACFP agreements, records received from applicant and participating institutions and documentation of administrative review and Program assistance activities, results, and corrective actions.</t>
  </si>
  <si>
    <t>SAs must collect and maintain on file CACFP agreements (Federal/State and State/Institutions), records received from applicant and participating institutions, National Disqualified List/State Agency Lists, and documentation of administrative review (appeals) and Program assistance activities, results, and corrective actions.</t>
  </si>
  <si>
    <t>226.6(b)
226.6(d)
226.6(m)(5)
226.7(h)
226.7(i), 226.7(j)
226.7(k)
226.7(l) 
226.8</t>
  </si>
  <si>
    <t>SAs must establish and maintain Program procedures, such as procedures to determine the eligibility of institutions, including to conduct pre-approval visits; for monitoring institutions and conduction household contacts; for bid and contracts; to annually review information submitted by institutions; for claims processing and payments; for serious deficiencies; for administrative reviews; and to audit institutions.</t>
  </si>
  <si>
    <t>226.6 (n)</t>
  </si>
  <si>
    <t xml:space="preserve">Maintain record of findings of irregularities investigations </t>
  </si>
  <si>
    <t>Each SA must maintain on file evidence of complaints received or irregularities noted in connection with the operation of the program.</t>
  </si>
  <si>
    <t>226.7(b)
226.7(m)</t>
  </si>
  <si>
    <t>SAs must establish and maintain an acceptable financial management system, adhere to financial management standards and otherwise carry out financial management policies in accordance with 2 CFR part 200, subpart D and USDA implementing regulations 2 CFR part 400, part 415, and part 416, as applicable; and FNS guidance to identify allowable Program costs and set standards for institutional recordkeeping and reporting.</t>
  </si>
  <si>
    <t xml:space="preserve">226.10(d)
226.11(e)
226.15(e),226.15(e)(1), 226.15(e)(2)
226.17(b)(8)
226.18(e)
226.22(d)
226.22(k)
</t>
  </si>
  <si>
    <t xml:space="preserve">Sponsors/institutions must collect and maintain for a period of 3 years and the current year Program applications, enrollment documents, income eligibility forms, attendance records, menus, meal counts, invoices and receipts, all accounts and records to support the claims, licenses, administrative and operating costs records, training documentation, financial management systems records, written code of standards of conduct, procurement history, and any other records required by the SA. All copies of documents and supporting documents submitted to the State must be maintained.  </t>
  </si>
  <si>
    <t>226.15(e)(3)</t>
  </si>
  <si>
    <t>Maintain documentation used to classify homes as Tier 1</t>
  </si>
  <si>
    <t>Sponsoring organizations must maintain documentation used to classify homes as Tier 1.</t>
  </si>
  <si>
    <t>226.23(h)(6)</t>
  </si>
  <si>
    <t>Maintain information to verify homes that qualify as Tier 1 based on provider's income.</t>
  </si>
  <si>
    <t>Sponsoring organizations must maintain information to verify homes that qualify as Tier 1 based on provider’s income.</t>
  </si>
  <si>
    <t xml:space="preserve">Sponsors/institutions must collect and maintain for a period of 3 years and the current year Program applications, enrollment documents, income eligibility forms, attendance records, menus, meal counts, invoices and receipts, all accounts and records to support the claim, licenses, administrative and operating costs records, training documentation, financial management systems records, written code of standards of conduct, procurement history, and any other records required by the SA.  All copies of documents and supporting documents submitted to the State must be maintained.  </t>
  </si>
  <si>
    <t>226.10(d), 226.11(b)(2), 226.15(e), 226.17(b)(8), 226.17(b)(9), 226.17a(o), 226.17a(p), 226.18(b)(4), 226.18(e), 226.18(g), 226.19a(b)(8), 226.19a(b)(9), and 226.19a(b)(10)</t>
  </si>
  <si>
    <t>Facilities must collect and maintain for a period of 3 years and the current year Program applications, enrollment documents, income eligibility forms, attendance records, menu planning records, time of service, snacks and meal counts invoices and receipts, claims for reimbursement, licenses, administrative and operating costs records, training documentation, and any other records required by the SA. Adult day care centers must maintain records on the age of each enrolled person, functional impairment eligibilities are meant if under 60, and that qualified participants resides in their homes.</t>
  </si>
  <si>
    <t>SUMMARY OF RECORDKEEPING BURDEN</t>
  </si>
  <si>
    <t>C = A x B</t>
  </si>
  <si>
    <t>I</t>
  </si>
  <si>
    <t>Total Recordkeeping Burden</t>
  </si>
  <si>
    <t>226.23(d)</t>
  </si>
  <si>
    <t>Institutions must annually provide the information media serving the area from which the institution draws its attendance with a public release, unless the SA has issued a Statewide media release on behalf of all institutions. The public release includes information about the availability of free and reduced-price meals or free milk.</t>
  </si>
  <si>
    <t xml:space="preserve">Institutions must annually provide the information media serving the area from which the institution draws its attendance with a public release, unless, the SA has issued a Statewide media release on behalf of all institutions. The public release includes information about the availability of free and reduced-price meals or free milk.
</t>
  </si>
  <si>
    <t>SUMMARY OF PUBLIC DISCLOSURE BURDEN</t>
  </si>
  <si>
    <t>Total Public Disclosure Burden</t>
  </si>
  <si>
    <t>Households</t>
  </si>
  <si>
    <t>Child and Adult Food Care Program (CAFCP) ICR Labor Rates (OMB Control No. 0584-0055)</t>
  </si>
  <si>
    <t>Enter Data</t>
  </si>
  <si>
    <t>Calculation; Do not enter data</t>
  </si>
  <si>
    <t>Item</t>
  </si>
  <si>
    <t>Estimate in Previously Approved ICR</t>
  </si>
  <si>
    <t>Updated Estimate</t>
  </si>
  <si>
    <t>Difference in Estimate</t>
  </si>
  <si>
    <t>Number</t>
  </si>
  <si>
    <t>Data Source</t>
  </si>
  <si>
    <t>State Agencies that currently administer the Program in their State</t>
  </si>
  <si>
    <t>Previously approved ICR, dated 092816</t>
  </si>
  <si>
    <t>All 50 States, District of Columbia, Guam, Puerto Rico, and the U.S. Virgin Islands administer the CACFP. The child and adult components of CACFP are administered by two separate SAs in Florida and Illinois.</t>
  </si>
  <si>
    <t>Number of State Agencies that will establish licensing/compliance review procedures for child care centers, at-risk afterschool care centers, outside-school-hours care centers, day care homes, and adult day care centers</t>
  </si>
  <si>
    <t>Number of State Agencies that will establish alternate procedures for review of institutions for which licensing or approval is not available</t>
  </si>
  <si>
    <t>Number of State Agencies that will submit to State commodity distribution agency list of institutions receiving commodities by June 1</t>
  </si>
  <si>
    <t>Number of State Agencies that will establish/revise administrative review (appeal) procedures for day care home providers AND notify the appropriate FNSRO of any change to the procedures or the selected option for offering an administrative review (appeal) to day care home providers</t>
  </si>
  <si>
    <t>Number of State Agencies that will revise/edit household contact procedures and submit changes to FNSRO</t>
  </si>
  <si>
    <t>Number of State Agencies that will develop/revise and provide sponsoring organization agreement between sponsor and facilities</t>
  </si>
  <si>
    <t>Number of State Agencies that will receive a request from a sponsoring organization for an administrative costs limit waiver</t>
  </si>
  <si>
    <t>Not Applicable</t>
  </si>
  <si>
    <t>Assumption</t>
  </si>
  <si>
    <t>Number of State Agencies that will establish procedures for start ups, advances, and recovery of over-payments</t>
  </si>
  <si>
    <r>
      <t xml:space="preserve">Institutions (includes local government and business entities)
</t>
    </r>
    <r>
      <rPr>
        <sz val="12"/>
        <color theme="1"/>
        <rFont val="Calibri"/>
        <family val="2"/>
        <scheme val="minor"/>
      </rPr>
      <t>(An institution is either a sponsoring organization or an independent child care center.)</t>
    </r>
  </si>
  <si>
    <t>Sponsoring organizations that are local governments</t>
  </si>
  <si>
    <r>
      <t xml:space="preserve">Data provided in August 31, 2020 email from Laura Roth, FNS. Based on data collected in </t>
    </r>
    <r>
      <rPr>
        <i/>
        <sz val="11"/>
        <color theme="1"/>
        <rFont val="Calibri"/>
        <family val="2"/>
        <scheme val="minor"/>
      </rPr>
      <t>CACFP Sponsor and Provider Characteristics Study (https://www.fns.usda.gov/child-and-adult-care-food-program-cacfp-sponsor-and-provider-characteristics-study#:~:text=The%20CACFP%20Sponsor%20and%20Provider,afterschool%20care%20programs%2C%20emergency%20shelters%2C). For reference, Exhibit 1.6 in Volume II of the report details the distribution of CACFP sponsors by private non-profit, private for-profit, or public agency.</t>
    </r>
  </si>
  <si>
    <t>Sponsoring organizations that are businesses</t>
  </si>
  <si>
    <r>
      <t xml:space="preserve">Sponsoring organizations that are local governments - </t>
    </r>
    <r>
      <rPr>
        <sz val="11"/>
        <color rgb="FFFF0000"/>
        <rFont val="Calibri"/>
        <family val="2"/>
        <scheme val="minor"/>
      </rPr>
      <t>Requirements specific to sponsors of family day care homes</t>
    </r>
  </si>
  <si>
    <r>
      <t xml:space="preserve">Sponsoring organizations that are businesses - </t>
    </r>
    <r>
      <rPr>
        <sz val="11"/>
        <color rgb="FFFF0000"/>
        <rFont val="Calibri"/>
        <family val="2"/>
        <scheme val="minor"/>
      </rPr>
      <t>Requirements specific to sponsors of family day care homes</t>
    </r>
  </si>
  <si>
    <t>Sponsoring organizations (centers and homes)</t>
  </si>
  <si>
    <t>National Database, “Calc: CACFP Total Sponsors (CENTERS+HOMES)” data field, FY2019. Data current as of August 12, 2020. (Refer to "National DB Data_20200812_2" worksheet in this file.)</t>
  </si>
  <si>
    <t>Sponsoring organizations (all homes)</t>
  </si>
  <si>
    <t>National Database, “Calc: CACFP Total Sponsors of All Homes” data field, FY2019.  Data current as of August 12, 2020. (Refer to "National DB Data_20200812_2" worksheet in this file.) worksheet in this file.)</t>
  </si>
  <si>
    <t>Annual number of investigations conducted by the State or by the Food and Nutrition Service (FNS) and the Office of the Inspector General (OIG) on irregularities noted in connection with the operation of the Program</t>
  </si>
  <si>
    <t xml:space="preserve">Annual number of institutions that submit documentation to verify for profit center eligibility. </t>
  </si>
  <si>
    <t>Data provided by FNS.</t>
  </si>
  <si>
    <t>Annual number of new institutions that submit an application for participation in the Program</t>
  </si>
  <si>
    <t>Number of at-risk after school centers</t>
  </si>
  <si>
    <t>Not Available</t>
  </si>
  <si>
    <t>[National Database, “At-Risk After School Centers” data field, FY2019]. Data current as of August 12, 2020. (Refer to "National DB Data_20200812_2" worksheet in this file.)</t>
  </si>
  <si>
    <t xml:space="preserve">Number of institutions that will offer free and reduced-price meals. </t>
  </si>
  <si>
    <t>Calculation:  [National Database, “Calc: CACFP Total Sponsors (CENTERS+HOMES)” data field, FY2019] + [National Database, “Proprietary Title XX Centers” data field, FY2019] + [National Database, “Outside Sch Hr Centers” data field, FY2019] - [National Database, “At-Risk After School Centers” data field, FY2019] - [National Database, “Headstart Centers” data field, FY2019] - [National Database, “Homeless Centers” data field, FY2019]. Data current as of August 12, 2020. (Refer to "National DB Data_20200812_2" worksheet in this file.)</t>
  </si>
  <si>
    <t xml:space="preserve">FNS calculated this by taking the total number of all CACFP sponsors/all homes and centers adding Proprietary Total XX centers and adding outside school hour centers, then subtracting out at risk sponsors, and head start, homeless centers because these homes are automatically eligible and no forms are necessary. </t>
  </si>
  <si>
    <t xml:space="preserve">Number of institutions that will obtain written consent from the child's parents or guardians prior to use or disclose </t>
  </si>
  <si>
    <r>
      <t xml:space="preserve">Facilities
</t>
    </r>
    <r>
      <rPr>
        <sz val="12"/>
        <color theme="1"/>
        <rFont val="Calibri"/>
        <family val="2"/>
        <scheme val="minor"/>
      </rPr>
      <t>(Facilities means a sponsored center or a day care home provider.)</t>
    </r>
  </si>
  <si>
    <t>Sponsored center facilities</t>
  </si>
  <si>
    <t>Calculation:  [National Database, “Outlets All Child Care Centers” data field, FY2019] + [National Database, “Outlets Adult Care Centers” data field, FY2019].  Data current as of August 12, 2020. (Refer to "National DB Data_20200812_2" worksheet in this file.)</t>
  </si>
  <si>
    <t>Family day care homes</t>
  </si>
  <si>
    <t>National Database, “Calc: CACFP Total Number of Homes” data field, FY2019.  Data current as of August 12, 2020. (Refer to "National DB Data_20200812_1" worksheet in this file.)</t>
  </si>
  <si>
    <t>Total Homes Tier 1</t>
  </si>
  <si>
    <t>National Database, “Calc: CACFP Total Homes Tier I” data field, FY2019.  Data current as of August 12, 2020. (Refer to "National DB Data_20200812_2" worksheet in this file.)</t>
  </si>
  <si>
    <t>Average Number of Tier 1 providers</t>
  </si>
  <si>
    <t>Calculation:  [“Calc: CACFP Total Homes Tier I” data field, FY2019] / ["Calc: CACFP Total Sponsors of All Homes” data field, FY2019].  Data current as of August 12, 2020. (Refer to "National DB Data_20200812_2" worksheet in this file.)</t>
  </si>
  <si>
    <t>Number of participants</t>
  </si>
  <si>
    <t>National Database, “Calc: CACFP Total Avg. Daily Attendance” data field, FY2019.  Data current as of August 12, 2020. (Refer to "National DB Data_20200812_1" worksheet in this file.)</t>
  </si>
  <si>
    <t>Percent of free meals served at CACFP child care centers</t>
  </si>
  <si>
    <t>Based on program data, around 69.31% of meals served at CACFP child care centers are free meals. Percentage rounded to 70 %.</t>
  </si>
  <si>
    <t xml:space="preserve">Around 70% of meals served at CACFP child care centers are free meals. </t>
  </si>
  <si>
    <t>Calculation: [National Database, “Calc: CACFP Total Avg. Daily Attendance” data field, FY2019.  Data current as of August 12, 2020. (Refer to "National DB Data_20200812_1" worksheet in this file.)] * [Percent of free meals served at CACFP child care centers]</t>
  </si>
  <si>
    <t>% poor participants (ages 0 to 17) with food allergies</t>
  </si>
  <si>
    <t>"Poor" children live in families defined as below the poverty threshold. 
Source: CDC. "Table C-2a. Age-adjusted percentages (with standard errors) of hay fever, respiratory allergies, food allergies, and skin allergies in the past 12 months for children under age 18 years, by selected characteristics: United States, 2018." Food Allergies. Available at https://ftp.cdc.gov/pub/Health_Statistics/NCHS/NHIS/SHS/2018_SHS_Table_C-2.pdf, last accessed on August 16, 2020.</t>
  </si>
  <si>
    <t>Number participants with food allergies</t>
  </si>
  <si>
    <t>Calculation: [National Database, “Calc: CACFP Total Avg. Daily Attendance” data field, FY2019] * [% poor participants (ages 0 to 17) with food allergies].  National Database data current as of August 12, 2020. (Refer to "National DB Data_20200812_1" worksheet in this file.)</t>
  </si>
  <si>
    <t>NATIONAL DATA BANK VERSION 8.2 PRELOAD</t>
  </si>
  <si>
    <t/>
  </si>
  <si>
    <t>Value used in "Assumptions" Worksheet</t>
  </si>
  <si>
    <t>SC2s - UP TO 50 VARIABLES - MONTHLY/ANNUAL DATA</t>
  </si>
  <si>
    <t>U.S. SUMMARY</t>
  </si>
  <si>
    <t>Calc: CACFP Total Avg. Daily Attendance</t>
  </si>
  <si>
    <t>Calc: CACFP Total Sponsors (CENTERS+HOMES)</t>
  </si>
  <si>
    <t>Calc: CACFP Total Outlets (CENTERS+HOMES)</t>
  </si>
  <si>
    <t>Calc: CACFP Total Sponsors of All Homes</t>
  </si>
  <si>
    <t>Calc: CACFP Total Number of Homes</t>
  </si>
  <si>
    <t>Calc: CACFP Total Homes Tier I</t>
  </si>
  <si>
    <t>Outlets All Child Care Centers</t>
  </si>
  <si>
    <t>Outlets Adult Care Centers</t>
  </si>
  <si>
    <t>Value used in Burden Calculations</t>
  </si>
  <si>
    <t>FY 2020</t>
  </si>
  <si>
    <t>FY 2019</t>
  </si>
  <si>
    <t>FY 2018</t>
  </si>
  <si>
    <t>NATIONAL DATA BANK VERSION 8.2 PUBLIC USE</t>
  </si>
  <si>
    <t>SC2 - UP TO 99 VARIABLES - MONTHLY/ANNUAL DATA</t>
  </si>
  <si>
    <t>Sponsors/Instit of Child Care Centers Only</t>
  </si>
  <si>
    <t>Sponsors Child Care &amp; Day Care</t>
  </si>
  <si>
    <t>Proprietary Title XX Centers</t>
  </si>
  <si>
    <t>Outside Sch Hr Centers</t>
  </si>
  <si>
    <t>Headstart Centers</t>
  </si>
  <si>
    <t>Homeless Centers</t>
  </si>
  <si>
    <t>At-Risk After School Centers</t>
  </si>
  <si>
    <t>Outlets Outside Sch Hour Centers</t>
  </si>
  <si>
    <t>Outlets Headstart Centers</t>
  </si>
  <si>
    <t>Outlets Homeless</t>
  </si>
  <si>
    <t>Outlets After Sch At-Risk</t>
  </si>
  <si>
    <t>Calc: CACFP Sponsors Centers Only</t>
  </si>
  <si>
    <t>Tier II High Homes</t>
  </si>
  <si>
    <t>Tier II Lower Homes</t>
  </si>
  <si>
    <t>Tier II Mixed Homes</t>
  </si>
  <si>
    <t>226.20(f)</t>
  </si>
  <si>
    <t>Child and Adult Care Food Program Operators (institutions) maintain documentation demonstrating that service sites qualify for the menu planning option to serve vegetables to meet the grains requirement by serving primarily American Indian and Alaska Native children.</t>
  </si>
  <si>
    <t>Child and Adult Care Food Program Operators (facilities) maintain documentation demonstrating that service sites qualify for the menu planning option to serve vegetables to meet the grains requirement by serving primarily American Indian and Alaska Native children.</t>
  </si>
  <si>
    <t>State Agency Level</t>
  </si>
  <si>
    <t>C = (A*B)</t>
  </si>
  <si>
    <t>E= (C*D)</t>
  </si>
  <si>
    <t>G =E-F</t>
  </si>
  <si>
    <t>CFR Citation</t>
  </si>
  <si>
    <t>Program Rule</t>
  </si>
  <si>
    <t>``</t>
  </si>
  <si>
    <t>Current OMB Approved Burden Hrs</t>
  </si>
  <si>
    <t>Existing Requirements in Use without OMB approval</t>
  </si>
  <si>
    <t>Due to Program Change Due to Authorizing Statute</t>
  </si>
  <si>
    <t>Due to an Adjustment</t>
  </si>
  <si>
    <t>Total Difference</t>
  </si>
  <si>
    <t>226.4(j)</t>
  </si>
  <si>
    <t>SAs may submit plan to FNS for additional audit funding.</t>
  </si>
  <si>
    <t>Most recent change to this line item is from the 2023 CN Integrity Final Rule (RIN 0584-AE08).</t>
  </si>
  <si>
    <t xml:space="preserve">226.6(k)(11)(iii) </t>
  </si>
  <si>
    <t>SA to submit, for FNS review, information supporting a request for a reduction in the State’s liability, a reconsideration of the State’s liability, or an exception to the 60-day deadline, for exceptional circumstances.</t>
  </si>
  <si>
    <t>226.6 (b)(4)(ii)</t>
  </si>
  <si>
    <t xml:space="preserve">State agency must consult with FNS prior to any taking action to terminate for convenience. </t>
  </si>
  <si>
    <t>SAs to conduct reviews every two years for sponsoring organizations with less than 100 facilities and conduct activities other than the CACFP or are at risk of having serious management problems.</t>
  </si>
  <si>
    <t>226.7(b)(1)</t>
  </si>
  <si>
    <t>Have procedures in place for annually reviewing at least one month of the sponsoring organization’s bank account activity against other associated records to verify that the transactions meet program requirements.</t>
  </si>
  <si>
    <t>226.7(b)(1)(ii)</t>
  </si>
  <si>
    <t>State agency must have procedures for annually reviewing a sponsoring organization’s actual expenditures of CACFP funds and the amount of meal reimbursement funds retained from unaffiliated centers.</t>
  </si>
  <si>
    <t xml:space="preserve">226.25(j) </t>
  </si>
  <si>
    <t>State agencies must notify SFAs of fines and submit a copy of the notice to FNS.</t>
  </si>
  <si>
    <t>SAs must review annual certification of an institution’s eligibility to continue participating in CACFP (replaces the renewal application process).</t>
  </si>
  <si>
    <t>226.6(m)(3)(ix)</t>
  </si>
  <si>
    <t xml:space="preserve">The State agency is required to assess the timing of each sponsoring organization’s reviews of day care homes and sponsored centers. </t>
  </si>
  <si>
    <t>The SA must develop/revise and provide a sponsoring organization agreement between sponsor and facilities, which must have standard provisions.</t>
  </si>
  <si>
    <t xml:space="preserve">226.12(a) </t>
  </si>
  <si>
    <t xml:space="preserve">SAs must multiply the appropriate administrative reimbursement rate by the number of day care homes submitting claims for reimbursement during the month, to determine the amount of payment that sponsoring organizations will receive. </t>
  </si>
  <si>
    <t xml:space="preserve">226.7(g)(2) </t>
  </si>
  <si>
    <t>State agency must review the budget and supporting documentation prior to approval, for sponsoring organizations of day care homes seeking to carry over administrative funds.</t>
  </si>
  <si>
    <t>226.7(j)</t>
  </si>
  <si>
    <t xml:space="preserve">State agency must establish procedures to recover administrative funds from sponsoring organizations of day care homes that are not properly payable under FNS Instruction 796-2, administrative funds that are in excess of the 10 percent maximum carryover amount, and carryover amounts that are not expended or obligated by the end of the fiscal year following the fiscal year in which they were received. </t>
  </si>
  <si>
    <t xml:space="preserve">226.6(n) </t>
  </si>
  <si>
    <t>Sponsoring organizations have to annually provide State agencies with bank account activity against other associated records to verify that the transactions meet program requirements.</t>
  </si>
  <si>
    <t>226.7(b)(1)(i)</t>
  </si>
  <si>
    <t>Sponsoring organizations must provide State agency with actual expenditures of CACFP funds and the amount of meal reimbursement funds retained from unaffiliated centers to support the sponsoring organization’s administrative costs.</t>
  </si>
  <si>
    <t>Each participating institution must submit annual updates to continue its participation (annual certification of information, updated licensing information, and a budget).</t>
  </si>
  <si>
    <t xml:space="preserve">226.6(p), 226.17(e),(f), 226.17a(f), 226.19(d), and 226.19a(d) </t>
  </si>
  <si>
    <t>Sponsoring organizations must enter into permanent agreements with their unaffiliated centers.</t>
  </si>
  <si>
    <t xml:space="preserve">226.6(f)(1)(iv) </t>
  </si>
  <si>
    <t>Sponsoring organizations of day care homes seeking to carry over administrative funds must submit an amended budget, to include an estimate of requested administrative fund carryover amounts and a description of proposed purpose for which those funds would be obligated or expended.</t>
  </si>
  <si>
    <t xml:space="preserve">226.23(e)(1)(vii) </t>
  </si>
  <si>
    <t>If a tier II day care home elects to assist in collecting and transmitting the applications to the sponsoring organization, sponsoring organizations must establish procedures to ensure the provider does not review or alter the application</t>
  </si>
  <si>
    <t xml:space="preserve">SFAs may appeal the State agency's determination of fines. SFAs must submit to the State agency any pertinent information, explanation, or evidence addressing the Program violations identified by the State agency. </t>
  </si>
  <si>
    <t>226.7(b)</t>
  </si>
  <si>
    <t xml:space="preserve">226.18(b)(12) </t>
  </si>
  <si>
    <t>Tier II day care homes may assist in collecting meal benefit forms from households and transmitting the forms to the sponsoring organization on the household’s behalf.</t>
  </si>
  <si>
    <t xml:space="preserve">226.6(c)(8)(C)(ii)   </t>
  </si>
  <si>
    <t>Notify institution of approval or disapproval of application within 30 days of receipt of a complete application</t>
  </si>
  <si>
    <t>Notice of serious deficiency (decision to disapprove new application or renew existing agreement) to institution. SAs must submit copies of disqualification notices to the FNSRO for new, renewing, and participating institutions.</t>
  </si>
  <si>
    <t>SAs to maintain a plan for additional audit funds.</t>
  </si>
  <si>
    <t>Maintain records for reviewing Sponsoring organizations with less than 100 facilities and conduct activities other than the CACFP, or are at risk of having serious management problems every two years</t>
  </si>
  <si>
    <t>DGA 2026</t>
  </si>
  <si>
    <t xml:space="preserve">Average CACFP review cycle </t>
  </si>
  <si>
    <t>7 CFR 226.6(m)(6)(i)</t>
  </si>
  <si>
    <t>Responses per respondent</t>
  </si>
  <si>
    <t>Comment in baseline spreadsheet used as the starting point for the 2026 DGA rule</t>
  </si>
  <si>
    <t>In this ICR, the burden for responses per respondent and the estimated hours is 0 because the burden associated with this requirement will be accounted for under the SAE Funds ICR (OMB Control Number 0584-0067), Form FNS-74. Original comment date May 21, 2021.</t>
  </si>
  <si>
    <t>FNS assumes that each State agency will revise its written agreement once over the three-year period covered by the ICR following the three year review cycle. Original comment date May 21, 2021.</t>
  </si>
  <si>
    <t>Based on program data, on average, 5 new institutions per State would submit an application. There's no record of where these program data come from.</t>
  </si>
  <si>
    <t>In the past, Child and Adult Care Food Program institutions or facilities were required to maintain documentation demonstrating that service sites qualify for the menu planning option to serve vegetables to meet the grains requirement by serving primarily American Indian and Alaska Native children. The 2026 DGA rule extends this option to all CNPs and therefore negates any recordkeeping requirement.</t>
  </si>
  <si>
    <t>Based on program data, on average, 5 new institutions per State would submit an application (i.e., 56 x 5= 280).</t>
  </si>
  <si>
    <t xml:space="preserve">226.11(b)(2); 226.17(b)(9)  and 226.17a(p)      </t>
  </si>
  <si>
    <t>SUMMARY OF BURDEN (OMB Control No. 0584-0055)</t>
  </si>
  <si>
    <t>TOTAL NO. RESPONDENTS</t>
  </si>
  <si>
    <t>AVERAGE NO. RESPONSES PER RESPONDENT</t>
  </si>
  <si>
    <t>TOTAL ANNUAL RESPONSES</t>
  </si>
  <si>
    <t>AVERAGE HOURS PER RESPONSE</t>
  </si>
  <si>
    <t>TOTAL BURDEN HOURS WITH REVISION</t>
  </si>
  <si>
    <t>CURRENT OMB INVENTORY</t>
  </si>
  <si>
    <t>NEW BURDEN REQUESTED</t>
  </si>
  <si>
    <t>Most recent change to this line item is from the 2023 CN Integrity Final Rule (RIN 0584-AE08). (226.6(f)(2)(i) is replaced with the Integrity Rule's more general provision at 226.6(b)).</t>
  </si>
  <si>
    <t>Most recent change to this line item is from the 2023 CN Integrity Final Rule (RIN 0584-AE08). This replaces the renewal provision in 226.6(f)(2)(i).</t>
  </si>
  <si>
    <t>Most recent change to this line item is from the 2023 CN Integrity Final Rule (RIN 0584-AE08). (It replaces the previous baseline's renewal provision at 226.6(f)(2)(i)</t>
  </si>
  <si>
    <t>CN Integrity</t>
  </si>
  <si>
    <t>Burden Chart for OMB Control Number 0584-0055, Merge with 0584-0610</t>
  </si>
  <si>
    <t>SAs that have been approved to administer the Program must enter into written agreement with FNA for the administration of the Program in the State (Federal/State agreement).</t>
  </si>
  <si>
    <t>SAs must notify an institution of approval or disapproval of its application within 30 calendar days of receipt of a complete application. The agreement shall contain an assurance that the State agency will comply with policy, instructions, guidance, and handbooks issued by FNA.</t>
  </si>
  <si>
    <t xml:space="preserve">State agency must consult with FNA prior to any taking action to terminate for convenience. </t>
  </si>
  <si>
    <t>SAs must notify an institution’s executive director and chairman of the board of directors that the institution has been determined to be seriously deficient. At the same time the notice is issued, the SAs must add the institution to the SA list, along with the basis for the serious deficiency determination, and provide a copy of the notice to the appropriate FNA Regional Office (FNARO).</t>
  </si>
  <si>
    <t>SAs must submit a copy of successful corrective action (temporary deferment or serious deficiency determination) notices to FNARO for new, renewing, and participating institutions.</t>
  </si>
  <si>
    <t>SAs must submit a copy of application denial and proposed disqualification notice to FNARO.</t>
  </si>
  <si>
    <t>Notice of serious deficiency (decision to disapprove new application or renew existing agreement) to institution. SAs must submit copies of disqualification notices to the FNARO for new, renewing, and participating institutions.</t>
  </si>
  <si>
    <t>SAs must submit copies of disqualification notices and supportive documentation to the FNARO.</t>
  </si>
  <si>
    <t>SAs must submit copies of proposed suspension of participation notices to the FNARO.</t>
  </si>
  <si>
    <t>SAs must terminate an institution's agreement no later than 45 days after the date of the institution’s disqualification if FNA determines that institution to be seriously deficient and subsequently disqualifies the institution. At the same time the notice of termination is issued, the SA must add the institution to the State agency list and provide a copy of the notice to the appropriate FNARO.</t>
  </si>
  <si>
    <t>SA must provide the appropriate FNARO the name, mailing address, and date of birth of each day care home provider whose agreement is terminated for cause, within 10 days of receiving a notice of termination and disqualification from a sponsoring organization.</t>
  </si>
  <si>
    <t>SA to submit, for FNA review, information supporting a request for a reduction in the State’s liability, a reconsideration of the State’s liability, or an exception to the 60-day deadline, for exceptional circumstances.</t>
  </si>
  <si>
    <t xml:space="preserve">The SA must establish/revise administrative review (appeal) procedures for day care home providers AND notify the appropriate FNARO of any change to the procedures or the selected option for offering an administrative review (appeal) to day care home providers. </t>
  </si>
  <si>
    <t>SAs must submit to FNAROs, no later than April 1, 2005, the policies and procedures they have developed governing household contacts. Because SAs have already submitted these policies and procedures, now the burden associated with this requirement is to revise/update the established procedures, as necessary.</t>
  </si>
  <si>
    <t>SAs must annually review at least 33.3 percent of all institutions. As part of its conduct of reviews, the SA must assess each institution's compliance with the requirements of 7 CFR 226 pertaining to: recordkeeping; meal counts; administrative costs; FNA instructions and handbooks; facility licensing and approval (if sponsoring organization); participant enrollment and eligibility; Civil Rights requirements; meal service; training and monitoring of facilities (if sponsoring organization); serious deficiency and termination procedures (if sponsoring organization); classification of Tier I and Tier II day care homes (if sponsoring organization); agreements; procurement standards, policies and actions; and all other Program requirements.</t>
  </si>
  <si>
    <t>Submit to FNARO a written plan for correcting serious deficiencies noted in Management Evaluation/Audit</t>
  </si>
  <si>
    <t xml:space="preserve">Submit CACFP Report to FNA 30 and 90 days following the month being reported </t>
  </si>
  <si>
    <t>State agencies must notify SFAs of fines and submit a copy of the notice to FNA.</t>
  </si>
  <si>
    <t>Each institution must comply with all regulations issued by FNA and the Department, all instructions and handbooks issued by FNA and the Department to clarify or explain existing regulations, and all regulations, instructions and handbooks issued by the SA that are consistent with the provisions established in Program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</si>
</sst>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0.00\ [$€-1];[Red]\-#,##0.00\ [$€-1]"/>
    <numFmt numFmtId="165" formatCode="#,##0.000"/>
    <numFmt numFmtId="166" formatCode="#,##0.0000"/>
    <numFmt numFmtId="167" formatCode="0.000"/>
    <numFmt numFmtId="168" formatCode="0.0%"/>
    <numFmt numFmtId="169" formatCode="0.0000%"/>
    <numFmt numFmtId="170" formatCode="&quot;$&quot;#,##0.00"/>
    <numFmt numFmtId="171" formatCode="0.0000"/>
    <numFmt numFmtId="172" formatCode="#,##0.000000"/>
    <numFmt numFmtId="173" formatCode="#,##0.00000000000"/>
  </numFmts>
  <fonts count="30" x14ac:knownFonts="1">
    <font>
      <sz val="11"/>
      <color theme="1"/>
      <name val="Calibri"/>
      <family val="2"/>
      <scheme val="minor"/>
    </font>
    <font>
      <b/>
      <sz val="11"/>
      <color theme="1"/>
      <name val="Calibri"/>
      <family val="2"/>
      <scheme val="minor"/>
    </font>
    <font>
      <b/>
      <sz val="16"/>
      <color theme="1"/>
      <name val="Calibri"/>
      <family val="2"/>
      <scheme val="minor"/>
    </font>
    <font>
      <sz val="11"/>
      <name val="Calibri"/>
      <family val="2"/>
      <scheme val="minor"/>
    </font>
    <font>
      <sz val="11"/>
      <color indexed="8"/>
      <name val="Calibri"/>
      <family val="2"/>
      <scheme val="minor"/>
    </font>
    <font>
      <b/>
      <sz val="11"/>
      <color indexed="8"/>
      <name val="Calibri"/>
      <family val="2"/>
      <scheme val="minor"/>
    </font>
    <font>
      <b/>
      <sz val="11"/>
      <name val="Calibri"/>
      <family val="2"/>
      <scheme val="minor"/>
    </font>
    <font>
      <b/>
      <sz val="14"/>
      <color theme="1"/>
      <name val="Calibri"/>
      <family val="2"/>
      <scheme val="minor"/>
    </font>
    <font>
      <b/>
      <sz val="14"/>
      <name val="Calibri"/>
      <family val="2"/>
      <scheme val="minor"/>
    </font>
    <font>
      <sz val="11"/>
      <color theme="1"/>
      <name val="Calibri"/>
      <family val="2"/>
      <scheme val="minor"/>
    </font>
    <font>
      <sz val="12"/>
      <color theme="1"/>
      <name val="Calibri"/>
      <family val="2"/>
      <scheme val="minor"/>
    </font>
    <font>
      <b/>
      <sz val="8"/>
      <name val="Arial"/>
      <family val="2"/>
    </font>
    <font>
      <sz val="8"/>
      <name val="Arial"/>
      <family val="2"/>
    </font>
    <font>
      <vertAlign val="superscript"/>
      <sz val="10"/>
      <name val="Arial"/>
      <family val="2"/>
    </font>
    <font>
      <sz val="10"/>
      <name val="Arial"/>
      <family val="2"/>
    </font>
    <font>
      <b/>
      <vertAlign val="superscript"/>
      <sz val="8"/>
      <name val="Arial"/>
      <family val="2"/>
    </font>
    <font>
      <sz val="11"/>
      <color rgb="FF000000"/>
      <name val="Calibri"/>
      <family val="2"/>
      <scheme val="minor"/>
    </font>
    <font>
      <b/>
      <sz val="11"/>
      <color rgb="FF0070C0"/>
      <name val="Calibri"/>
      <family val="2"/>
      <scheme val="minor"/>
    </font>
    <font>
      <b/>
      <sz val="18"/>
      <color theme="1"/>
      <name val="Calibri"/>
      <family val="2"/>
      <scheme val="minor"/>
    </font>
    <font>
      <i/>
      <sz val="11"/>
      <color theme="1"/>
      <name val="Calibri"/>
      <family val="2"/>
      <scheme val="minor"/>
    </font>
    <font>
      <b/>
      <sz val="14"/>
      <color rgb="FFFF0000"/>
      <name val="Calibri"/>
      <family val="2"/>
      <scheme val="minor"/>
    </font>
    <font>
      <sz val="11"/>
      <color rgb="FFFF0000"/>
      <name val="Calibri"/>
      <family val="2"/>
      <scheme val="minor"/>
    </font>
    <font>
      <sz val="9"/>
      <color indexed="81"/>
      <name val="Tahoma"/>
      <family val="2"/>
    </font>
    <font>
      <b/>
      <sz val="9"/>
      <color indexed="81"/>
      <name val="Tahoma"/>
      <family val="2"/>
    </font>
    <font>
      <sz val="11"/>
      <color rgb="FF000000"/>
      <name val="Calibri"/>
      <family val="2"/>
    </font>
    <font>
      <sz val="9"/>
      <name val="Calibri"/>
      <family val="2"/>
      <scheme val="minor"/>
    </font>
    <font>
      <sz val="10"/>
      <name val="Calibri"/>
      <family val="2"/>
      <scheme val="minor"/>
    </font>
    <font>
      <sz val="11"/>
      <name val="Calibri"/>
      <family val="2"/>
    </font>
    <font>
      <sz val="9"/>
      <color theme="1"/>
      <name val="Segoe UI"/>
      <family val="2"/>
    </font>
    <font>
      <sz val="12"/>
      <color theme="1"/>
      <name val="Times New Roman"/>
      <family val="1"/>
    </font>
  </fonts>
  <fills count="11">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medium">
        <color indexed="22"/>
      </bottom>
      <diagonal/>
    </border>
    <border>
      <left/>
      <right/>
      <top style="medium">
        <color indexed="22"/>
      </top>
      <bottom style="medium">
        <color indexed="22"/>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medium">
        <color indexed="64"/>
      </top>
      <bottom/>
      <diagonal/>
    </border>
    <border>
      <left/>
      <right style="medium">
        <color rgb="FF000000"/>
      </right>
      <top style="medium">
        <color indexed="64"/>
      </top>
      <bottom style="medium">
        <color indexed="64"/>
      </bottom>
      <diagonal/>
    </border>
    <border>
      <left/>
      <right style="medium">
        <color indexed="64"/>
      </right>
      <top/>
      <bottom style="medium">
        <color indexed="64"/>
      </bottom>
      <diagonal/>
    </border>
  </borders>
  <cellStyleXfs count="6">
    <xf numFmtId="0" fontId="0" fillId="0" borderId="0"/>
    <xf numFmtId="9" fontId="9" fillId="0" borderId="0" applyFont="0" applyFill="0" applyBorder="0" applyAlignment="0" applyProtection="0"/>
    <xf numFmtId="43" fontId="9" fillId="0" borderId="0" applyFont="0" applyFill="0" applyBorder="0" applyAlignment="0" applyProtection="0"/>
    <xf numFmtId="43" fontId="14" fillId="0" borderId="0" applyFont="0" applyFill="0" applyBorder="0" applyAlignment="0" applyProtection="0"/>
    <xf numFmtId="0" fontId="14" fillId="0" borderId="0"/>
    <xf numFmtId="0" fontId="14" fillId="0" borderId="0"/>
  </cellStyleXfs>
  <cellXfs count="224">
    <xf numFmtId="0" fontId="0" fillId="0" borderId="0" xfId="0"/>
    <xf numFmtId="0" fontId="0" fillId="0" borderId="0" xfId="0" applyAlignment="1">
      <alignment vertical="top"/>
    </xf>
    <xf numFmtId="0" fontId="0" fillId="0" borderId="0" xfId="0" applyAlignment="1">
      <alignment vertical="center"/>
    </xf>
    <xf numFmtId="0" fontId="0" fillId="0" borderId="0" xfId="0" applyAlignment="1">
      <alignment wrapText="1"/>
    </xf>
    <xf numFmtId="0" fontId="0" fillId="0" borderId="0" xfId="0" applyAlignment="1">
      <alignment horizontal="center" vertical="center"/>
    </xf>
    <xf numFmtId="0" fontId="0" fillId="0" borderId="1" xfId="0" applyBorder="1" applyAlignment="1">
      <alignment horizontal="center"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3" xfId="0" applyFont="1" applyBorder="1" applyAlignment="1">
      <alignment horizontal="center" vertical="center" wrapText="1"/>
    </xf>
    <xf numFmtId="3" fontId="0" fillId="0" borderId="0" xfId="0" applyNumberFormat="1" applyAlignment="1">
      <alignment horizontal="center" vertical="center"/>
    </xf>
    <xf numFmtId="3" fontId="6" fillId="0" borderId="2"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0" fontId="5" fillId="0" borderId="1" xfId="0" applyFont="1" applyBorder="1" applyAlignment="1">
      <alignment horizontal="right" vertical="top"/>
    </xf>
    <xf numFmtId="3" fontId="1" fillId="4" borderId="1" xfId="0" applyNumberFormat="1" applyFont="1" applyFill="1" applyBorder="1" applyAlignment="1">
      <alignment horizontal="center" vertical="center"/>
    </xf>
    <xf numFmtId="0" fontId="1" fillId="4" borderId="1" xfId="0" applyFont="1" applyFill="1" applyBorder="1"/>
    <xf numFmtId="0" fontId="1" fillId="0" borderId="0" xfId="0" applyFont="1" applyAlignment="1">
      <alignment horizontal="center" vertical="center"/>
    </xf>
    <xf numFmtId="165" fontId="0" fillId="0" borderId="0" xfId="0" applyNumberFormat="1" applyAlignment="1">
      <alignment horizontal="center" vertical="center"/>
    </xf>
    <xf numFmtId="165" fontId="1" fillId="4" borderId="1" xfId="0" applyNumberFormat="1" applyFont="1" applyFill="1" applyBorder="1" applyAlignment="1">
      <alignment horizontal="center" vertical="center"/>
    </xf>
    <xf numFmtId="165" fontId="3" fillId="0" borderId="1" xfId="0" applyNumberFormat="1" applyFont="1" applyBorder="1" applyAlignment="1">
      <alignment horizontal="center"/>
    </xf>
    <xf numFmtId="165" fontId="5" fillId="0" borderId="1" xfId="0" applyNumberFormat="1" applyFont="1" applyBorder="1" applyAlignment="1">
      <alignment horizontal="center"/>
    </xf>
    <xf numFmtId="4" fontId="0" fillId="0" borderId="0" xfId="0" applyNumberFormat="1" applyAlignment="1">
      <alignment horizontal="center" vertical="center"/>
    </xf>
    <xf numFmtId="4" fontId="6" fillId="0" borderId="2" xfId="0" applyNumberFormat="1" applyFont="1" applyBorder="1" applyAlignment="1">
      <alignment horizontal="center" vertical="center" wrapText="1"/>
    </xf>
    <xf numFmtId="4" fontId="6" fillId="0" borderId="3" xfId="0" applyNumberFormat="1" applyFont="1" applyBorder="1" applyAlignment="1">
      <alignment horizontal="center" vertical="center" wrapText="1"/>
    </xf>
    <xf numFmtId="3" fontId="5" fillId="0" borderId="1" xfId="0" applyNumberFormat="1" applyFont="1" applyBorder="1" applyAlignment="1">
      <alignment horizontal="center"/>
    </xf>
    <xf numFmtId="3" fontId="4" fillId="0" borderId="1" xfId="0" applyNumberFormat="1" applyFont="1" applyBorder="1" applyAlignment="1">
      <alignment horizontal="center"/>
    </xf>
    <xf numFmtId="165" fontId="6" fillId="0" borderId="1" xfId="0" applyNumberFormat="1" applyFont="1" applyBorder="1" applyAlignment="1">
      <alignment horizontal="center"/>
    </xf>
    <xf numFmtId="0" fontId="1" fillId="0" borderId="1" xfId="0" applyFont="1" applyBorder="1" applyAlignment="1">
      <alignment vertical="center" wrapText="1"/>
    </xf>
    <xf numFmtId="165" fontId="4" fillId="0" borderId="1" xfId="0" applyNumberFormat="1" applyFont="1" applyBorder="1" applyAlignment="1">
      <alignment horizontal="center"/>
    </xf>
    <xf numFmtId="165" fontId="0" fillId="0" borderId="1" xfId="0" applyNumberFormat="1" applyBorder="1" applyAlignment="1">
      <alignment horizontal="center" vertical="center"/>
    </xf>
    <xf numFmtId="0" fontId="12" fillId="0" borderId="0" xfId="0" applyFont="1" applyAlignment="1">
      <alignment horizontal="right"/>
    </xf>
    <xf numFmtId="0" fontId="11" fillId="0" borderId="0" xfId="0" applyFont="1" applyAlignment="1">
      <alignment horizontal="center"/>
    </xf>
    <xf numFmtId="0" fontId="13" fillId="0" borderId="0" xfId="0" applyFont="1" applyAlignment="1">
      <alignment horizontal="left"/>
    </xf>
    <xf numFmtId="0" fontId="11" fillId="0" borderId="0" xfId="0" applyFont="1"/>
    <xf numFmtId="0" fontId="11" fillId="0" borderId="7" xfId="0" applyFont="1" applyBorder="1"/>
    <xf numFmtId="0" fontId="14" fillId="0" borderId="0" xfId="0" applyFont="1"/>
    <xf numFmtId="0" fontId="11" fillId="0" borderId="8" xfId="0" applyFont="1" applyBorder="1" applyAlignment="1">
      <alignment horizontal="center" vertical="center" wrapText="1"/>
    </xf>
    <xf numFmtId="0" fontId="15" fillId="0" borderId="8" xfId="0" applyFont="1" applyBorder="1" applyAlignment="1">
      <alignment horizontal="left" vertical="center" wrapText="1"/>
    </xf>
    <xf numFmtId="0" fontId="12" fillId="0" borderId="0" xfId="0" applyFont="1" applyAlignment="1">
      <alignment horizontal="left"/>
    </xf>
    <xf numFmtId="3" fontId="12" fillId="0" borderId="0" xfId="0" applyNumberFormat="1" applyFont="1" applyAlignment="1">
      <alignment horizontal="right"/>
    </xf>
    <xf numFmtId="3" fontId="13" fillId="0" borderId="0" xfId="0" applyNumberFormat="1" applyFont="1" applyAlignment="1">
      <alignment horizontal="left"/>
    </xf>
    <xf numFmtId="3" fontId="12" fillId="5" borderId="0" xfId="0" applyNumberFormat="1" applyFont="1" applyFill="1" applyAlignment="1">
      <alignment horizontal="right"/>
    </xf>
    <xf numFmtId="10" fontId="0" fillId="0" borderId="1" xfId="1" applyNumberFormat="1" applyFont="1" applyBorder="1" applyAlignment="1">
      <alignment horizontal="center" vertical="center"/>
    </xf>
    <xf numFmtId="0" fontId="3" fillId="0" borderId="1" xfId="0" applyFont="1" applyBorder="1" applyAlignment="1">
      <alignment vertical="center" wrapText="1"/>
    </xf>
    <xf numFmtId="0" fontId="0" fillId="0" borderId="1" xfId="0" applyBorder="1" applyAlignment="1">
      <alignment vertical="center" wrapText="1"/>
    </xf>
    <xf numFmtId="0" fontId="1" fillId="6" borderId="1" xfId="0" applyFont="1" applyFill="1"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vertical="center"/>
    </xf>
    <xf numFmtId="168" fontId="0" fillId="6" borderId="1" xfId="1" applyNumberFormat="1" applyFont="1" applyFill="1" applyBorder="1" applyAlignment="1">
      <alignment horizontal="center" vertical="center"/>
    </xf>
    <xf numFmtId="3" fontId="0" fillId="0" borderId="1" xfId="0" applyNumberFormat="1" applyBorder="1" applyAlignment="1">
      <alignment horizontal="center" vertical="center"/>
    </xf>
    <xf numFmtId="4" fontId="0" fillId="0" borderId="1" xfId="0" applyNumberFormat="1" applyBorder="1" applyAlignment="1">
      <alignment horizontal="center" vertical="center"/>
    </xf>
    <xf numFmtId="0" fontId="0" fillId="0" borderId="1" xfId="0" applyBorder="1" applyAlignment="1">
      <alignment vertical="top" wrapText="1"/>
    </xf>
    <xf numFmtId="0" fontId="0" fillId="0" borderId="0" xfId="0" applyAlignment="1">
      <alignment vertical="center" wrapText="1"/>
    </xf>
    <xf numFmtId="0" fontId="0" fillId="0" borderId="1" xfId="0" applyBorder="1" applyAlignment="1">
      <alignment horizontal="center" vertical="center" wrapText="1"/>
    </xf>
    <xf numFmtId="169" fontId="0" fillId="0" borderId="1" xfId="1" applyNumberFormat="1" applyFont="1" applyBorder="1" applyAlignment="1">
      <alignment horizontal="center" vertical="center"/>
    </xf>
    <xf numFmtId="168" fontId="0" fillId="0" borderId="1" xfId="1" applyNumberFormat="1" applyFont="1" applyBorder="1" applyAlignment="1">
      <alignment horizontal="center" vertical="center"/>
    </xf>
    <xf numFmtId="0" fontId="0" fillId="6" borderId="1" xfId="0" applyFill="1" applyBorder="1" applyAlignment="1">
      <alignment horizontal="center" vertical="center"/>
    </xf>
    <xf numFmtId="3" fontId="0" fillId="6" borderId="1" xfId="0" applyNumberFormat="1" applyFill="1" applyBorder="1" applyAlignment="1">
      <alignment horizontal="center" vertical="center"/>
    </xf>
    <xf numFmtId="3" fontId="0" fillId="0" borderId="1" xfId="0" applyNumberFormat="1" applyBorder="1" applyAlignment="1">
      <alignment horizontal="center" vertical="center" wrapText="1"/>
    </xf>
    <xf numFmtId="0" fontId="4" fillId="0" borderId="1" xfId="0" applyFont="1" applyBorder="1" applyAlignment="1">
      <alignment horizontal="left" vertical="top"/>
    </xf>
    <xf numFmtId="0" fontId="4" fillId="0" borderId="1" xfId="0" applyFont="1" applyBorder="1" applyAlignment="1">
      <alignment horizontal="left" vertical="top" wrapText="1"/>
    </xf>
    <xf numFmtId="166" fontId="0" fillId="0" borderId="1" xfId="0" applyNumberFormat="1" applyBorder="1" applyAlignment="1">
      <alignment horizontal="center" vertical="center"/>
    </xf>
    <xf numFmtId="167" fontId="1" fillId="4" borderId="1" xfId="0" applyNumberFormat="1" applyFont="1" applyFill="1" applyBorder="1" applyAlignment="1">
      <alignment horizontal="center" vertical="center"/>
    </xf>
    <xf numFmtId="0" fontId="1" fillId="4" borderId="1" xfId="0" applyFont="1" applyFill="1" applyBorder="1" applyAlignment="1">
      <alignment vertical="center"/>
    </xf>
    <xf numFmtId="0" fontId="4" fillId="0" borderId="1" xfId="0" applyFont="1" applyBorder="1" applyAlignment="1">
      <alignment vertical="top" wrapText="1"/>
    </xf>
    <xf numFmtId="164" fontId="0" fillId="0" borderId="1" xfId="0" applyNumberFormat="1" applyBorder="1" applyAlignment="1">
      <alignment horizontal="left" vertical="top" wrapText="1"/>
    </xf>
    <xf numFmtId="0" fontId="1" fillId="0" borderId="1" xfId="0" applyFont="1" applyBorder="1" applyAlignment="1">
      <alignment vertical="center"/>
    </xf>
    <xf numFmtId="0" fontId="1" fillId="0" borderId="1" xfId="0" applyFont="1" applyBorder="1" applyAlignment="1">
      <alignment vertical="top" wrapText="1"/>
    </xf>
    <xf numFmtId="0" fontId="5" fillId="0" borderId="0" xfId="0" applyFont="1"/>
    <xf numFmtId="165" fontId="5" fillId="0" borderId="3" xfId="0" applyNumberFormat="1" applyFont="1" applyBorder="1" applyAlignment="1">
      <alignment horizontal="center" vertical="center" wrapText="1"/>
    </xf>
    <xf numFmtId="3" fontId="0" fillId="0" borderId="0" xfId="0" applyNumberFormat="1"/>
    <xf numFmtId="10" fontId="0" fillId="0" borderId="0" xfId="0" applyNumberFormat="1" applyAlignment="1">
      <alignment vertical="center"/>
    </xf>
    <xf numFmtId="3" fontId="0" fillId="0" borderId="0" xfId="0" applyNumberFormat="1" applyAlignment="1">
      <alignment vertical="center"/>
    </xf>
    <xf numFmtId="0" fontId="7" fillId="0" borderId="1" xfId="0" applyFont="1" applyBorder="1" applyAlignment="1">
      <alignment vertical="center"/>
    </xf>
    <xf numFmtId="0" fontId="7" fillId="0" borderId="1" xfId="0" applyFont="1" applyBorder="1" applyAlignment="1">
      <alignment vertical="center" wrapText="1"/>
    </xf>
    <xf numFmtId="170" fontId="0" fillId="0" borderId="0" xfId="0" applyNumberFormat="1" applyAlignment="1">
      <alignment horizontal="center" vertical="center"/>
    </xf>
    <xf numFmtId="3" fontId="19" fillId="0" borderId="1" xfId="0" applyNumberFormat="1" applyFont="1" applyBorder="1" applyAlignment="1">
      <alignment horizontal="center" vertical="center"/>
    </xf>
    <xf numFmtId="165" fontId="19" fillId="0" borderId="1" xfId="0" applyNumberFormat="1" applyFont="1" applyBorder="1" applyAlignment="1">
      <alignment horizontal="center" vertical="center"/>
    </xf>
    <xf numFmtId="3" fontId="19" fillId="0" borderId="1" xfId="0" applyNumberFormat="1" applyFont="1" applyBorder="1" applyAlignment="1">
      <alignment horizontal="center" vertical="top" wrapText="1"/>
    </xf>
    <xf numFmtId="4" fontId="19" fillId="0" borderId="1" xfId="0" applyNumberFormat="1" applyFont="1" applyBorder="1" applyAlignment="1">
      <alignment horizontal="center" vertical="center"/>
    </xf>
    <xf numFmtId="43" fontId="0" fillId="0" borderId="0" xfId="2" applyFont="1" applyBorder="1"/>
    <xf numFmtId="43" fontId="0" fillId="0" borderId="0" xfId="0" applyNumberFormat="1"/>
    <xf numFmtId="14" fontId="12" fillId="0" borderId="0" xfId="0" applyNumberFormat="1" applyFont="1" applyAlignment="1">
      <alignment horizontal="right"/>
    </xf>
    <xf numFmtId="14" fontId="12" fillId="0" borderId="0" xfId="0" applyNumberFormat="1" applyFont="1"/>
    <xf numFmtId="0" fontId="12" fillId="0" borderId="0" xfId="0" applyFont="1"/>
    <xf numFmtId="3" fontId="12" fillId="7" borderId="0" xfId="0" applyNumberFormat="1" applyFont="1" applyFill="1" applyAlignment="1">
      <alignment horizontal="right"/>
    </xf>
    <xf numFmtId="0" fontId="11" fillId="7" borderId="0" xfId="0" applyFont="1" applyFill="1" applyAlignment="1">
      <alignment horizontal="center" vertical="center" wrapText="1"/>
    </xf>
    <xf numFmtId="0" fontId="11" fillId="0" borderId="0" xfId="0" applyFont="1" applyAlignment="1">
      <alignment vertical="center" wrapText="1"/>
    </xf>
    <xf numFmtId="0" fontId="0" fillId="0" borderId="0" xfId="0" applyAlignment="1">
      <alignment horizontal="left" vertical="top"/>
    </xf>
    <xf numFmtId="0" fontId="4" fillId="0" borderId="1" xfId="0" quotePrefix="1" applyFont="1" applyBorder="1" applyAlignment="1">
      <alignment horizontal="left" vertical="top" wrapText="1"/>
    </xf>
    <xf numFmtId="0" fontId="0" fillId="2" borderId="1" xfId="0" applyFill="1" applyBorder="1" applyAlignment="1">
      <alignment horizontal="center" vertical="top"/>
    </xf>
    <xf numFmtId="0" fontId="3" fillId="0" borderId="0" xfId="0" applyFont="1" applyAlignment="1">
      <alignment horizontal="left" vertical="top"/>
    </xf>
    <xf numFmtId="165" fontId="19" fillId="0" borderId="4" xfId="0" applyNumberFormat="1" applyFont="1" applyBorder="1" applyAlignment="1">
      <alignment horizontal="center" vertical="center"/>
    </xf>
    <xf numFmtId="165" fontId="1" fillId="4" borderId="4" xfId="0" applyNumberFormat="1" applyFont="1" applyFill="1" applyBorder="1" applyAlignment="1">
      <alignment horizontal="center" vertical="center"/>
    </xf>
    <xf numFmtId="0" fontId="7" fillId="2" borderId="1" xfId="0" applyFont="1" applyFill="1" applyBorder="1" applyAlignment="1">
      <alignment vertical="center"/>
    </xf>
    <xf numFmtId="168" fontId="0" fillId="0" borderId="1" xfId="1" applyNumberFormat="1" applyFont="1" applyFill="1" applyBorder="1" applyAlignment="1">
      <alignment horizontal="center" vertical="center"/>
    </xf>
    <xf numFmtId="4" fontId="1" fillId="4" borderId="1" xfId="0" applyNumberFormat="1" applyFont="1" applyFill="1" applyBorder="1" applyAlignment="1">
      <alignment horizontal="center" vertical="center"/>
    </xf>
    <xf numFmtId="171" fontId="1" fillId="4" borderId="1" xfId="0" applyNumberFormat="1" applyFont="1" applyFill="1" applyBorder="1" applyAlignment="1">
      <alignment horizontal="center" vertical="center"/>
    </xf>
    <xf numFmtId="0" fontId="1" fillId="0" borderId="0" xfId="0" applyFont="1" applyAlignment="1">
      <alignment vertical="center"/>
    </xf>
    <xf numFmtId="3" fontId="0" fillId="0" borderId="0" xfId="0" applyNumberFormat="1" applyAlignment="1">
      <alignment horizontal="center"/>
    </xf>
    <xf numFmtId="166" fontId="0" fillId="0" borderId="4" xfId="0" applyNumberFormat="1" applyBorder="1" applyAlignment="1">
      <alignment horizontal="center" vertical="center"/>
    </xf>
    <xf numFmtId="0" fontId="24" fillId="0" borderId="0" xfId="0" applyFont="1" applyAlignment="1">
      <alignment vertical="top" wrapText="1"/>
    </xf>
    <xf numFmtId="0" fontId="1" fillId="0" borderId="3" xfId="0" applyFont="1" applyBorder="1" applyAlignment="1">
      <alignment horizontal="center" vertical="center" wrapText="1"/>
    </xf>
    <xf numFmtId="0" fontId="1" fillId="0" borderId="1" xfId="0" applyFont="1" applyBorder="1" applyAlignment="1">
      <alignment horizontal="left" vertical="center"/>
    </xf>
    <xf numFmtId="0" fontId="20" fillId="0" borderId="0" xfId="0" applyFont="1" applyAlignment="1">
      <alignment horizontal="left" vertical="center" wrapText="1"/>
    </xf>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165" fontId="1" fillId="2" borderId="10" xfId="0" applyNumberFormat="1" applyFont="1" applyFill="1" applyBorder="1" applyAlignment="1">
      <alignment horizontal="center" vertical="center"/>
    </xf>
    <xf numFmtId="0" fontId="7" fillId="0" borderId="0" xfId="0" applyFont="1" applyAlignment="1">
      <alignment vertical="center"/>
    </xf>
    <xf numFmtId="0" fontId="25" fillId="0" borderId="16" xfId="4" applyFont="1" applyBorder="1" applyAlignment="1">
      <alignment horizontal="center"/>
    </xf>
    <xf numFmtId="0" fontId="1" fillId="9" borderId="2" xfId="0" applyFont="1" applyFill="1" applyBorder="1" applyAlignment="1">
      <alignment horizontal="center" vertical="center" wrapText="1"/>
    </xf>
    <xf numFmtId="0" fontId="1" fillId="9" borderId="2" xfId="0" applyFont="1" applyFill="1" applyBorder="1" applyAlignment="1">
      <alignment horizontal="center" vertical="center"/>
    </xf>
    <xf numFmtId="0" fontId="5" fillId="9" borderId="2" xfId="0" applyFont="1" applyFill="1" applyBorder="1" applyAlignment="1">
      <alignment horizontal="center" vertical="center" wrapText="1"/>
    </xf>
    <xf numFmtId="0" fontId="6" fillId="9" borderId="2" xfId="0" applyFont="1" applyFill="1" applyBorder="1" applyAlignment="1">
      <alignment horizontal="center" vertical="center" wrapText="1"/>
    </xf>
    <xf numFmtId="3" fontId="6" fillId="9" borderId="2" xfId="0" applyNumberFormat="1" applyFont="1" applyFill="1" applyBorder="1" applyAlignment="1">
      <alignment horizontal="center" vertical="center" wrapText="1"/>
    </xf>
    <xf numFmtId="4" fontId="6" fillId="9" borderId="2" xfId="0" applyNumberFormat="1" applyFont="1" applyFill="1" applyBorder="1" applyAlignment="1">
      <alignment horizontal="center" vertical="center" wrapText="1"/>
    </xf>
    <xf numFmtId="4" fontId="6" fillId="9" borderId="15" xfId="0" applyNumberFormat="1" applyFont="1" applyFill="1" applyBorder="1" applyAlignment="1">
      <alignment horizontal="center" vertical="center" wrapText="1"/>
    </xf>
    <xf numFmtId="0" fontId="1" fillId="9" borderId="1" xfId="0" applyFont="1" applyFill="1" applyBorder="1" applyAlignment="1">
      <alignment horizontal="center" vertical="center" wrapText="1"/>
    </xf>
    <xf numFmtId="0" fontId="0" fillId="0" borderId="1" xfId="0" applyBorder="1" applyAlignment="1">
      <alignment vertical="top"/>
    </xf>
    <xf numFmtId="0" fontId="1" fillId="9" borderId="3" xfId="0" applyFont="1" applyFill="1" applyBorder="1" applyAlignment="1">
      <alignment horizontal="center" vertical="center" wrapText="1"/>
    </xf>
    <xf numFmtId="0" fontId="25" fillId="0" borderId="9" xfId="4" applyFont="1" applyBorder="1" applyAlignment="1">
      <alignment horizontal="center"/>
    </xf>
    <xf numFmtId="0" fontId="0" fillId="0" borderId="9" xfId="0" applyBorder="1" applyAlignment="1">
      <alignment vertical="center"/>
    </xf>
    <xf numFmtId="0" fontId="0" fillId="0" borderId="9" xfId="0" applyBorder="1"/>
    <xf numFmtId="0" fontId="0" fillId="0" borderId="6" xfId="0" applyBorder="1" applyAlignment="1">
      <alignment horizontal="center"/>
    </xf>
    <xf numFmtId="3" fontId="27" fillId="0" borderId="1" xfId="3" applyNumberFormat="1" applyFont="1" applyFill="1" applyBorder="1" applyAlignment="1" applyProtection="1">
      <alignment vertical="center"/>
      <protection locked="0"/>
    </xf>
    <xf numFmtId="3" fontId="14" fillId="0" borderId="2" xfId="0" applyNumberFormat="1" applyFont="1" applyBorder="1" applyAlignment="1">
      <alignment vertical="center"/>
    </xf>
    <xf numFmtId="4" fontId="26" fillId="0" borderId="4" xfId="3" applyNumberFormat="1" applyFont="1" applyFill="1" applyBorder="1" applyAlignment="1" applyProtection="1">
      <alignment vertical="center"/>
    </xf>
    <xf numFmtId="0" fontId="16" fillId="0" borderId="1" xfId="0" applyFont="1" applyBorder="1" applyAlignment="1">
      <alignment horizontal="left" vertical="top" wrapText="1"/>
    </xf>
    <xf numFmtId="0" fontId="16" fillId="0" borderId="1" xfId="0" applyFont="1" applyBorder="1" applyAlignment="1">
      <alignment horizontal="left" vertical="top"/>
    </xf>
    <xf numFmtId="0" fontId="3" fillId="0" borderId="1" xfId="0" applyFont="1" applyBorder="1" applyAlignment="1">
      <alignment horizontal="left" vertical="top" wrapText="1"/>
    </xf>
    <xf numFmtId="0" fontId="1" fillId="0" borderId="1" xfId="0" applyFont="1" applyBorder="1" applyAlignment="1">
      <alignment horizontal="left" vertical="center" wrapText="1"/>
    </xf>
    <xf numFmtId="0" fontId="0" fillId="0" borderId="1" xfId="0" applyBorder="1" applyAlignment="1">
      <alignment horizontal="left" vertical="top"/>
    </xf>
    <xf numFmtId="0" fontId="17" fillId="0" borderId="1" xfId="0" applyFont="1" applyBorder="1" applyAlignment="1">
      <alignment vertical="center" wrapText="1"/>
    </xf>
    <xf numFmtId="0" fontId="19" fillId="0" borderId="1" xfId="0" applyFont="1" applyBorder="1" applyAlignment="1">
      <alignment horizontal="center" vertical="center"/>
    </xf>
    <xf numFmtId="172" fontId="0" fillId="0" borderId="1" xfId="0" applyNumberFormat="1" applyBorder="1" applyAlignment="1">
      <alignment vertical="center"/>
    </xf>
    <xf numFmtId="3" fontId="0" fillId="0" borderId="0" xfId="0" applyNumberFormat="1" applyAlignment="1">
      <alignment vertical="top"/>
    </xf>
    <xf numFmtId="0" fontId="28" fillId="0" borderId="1" xfId="0" applyFont="1" applyBorder="1" applyAlignment="1">
      <alignment vertical="center" wrapText="1"/>
    </xf>
    <xf numFmtId="165" fontId="3" fillId="10" borderId="1" xfId="0" applyNumberFormat="1" applyFont="1" applyFill="1" applyBorder="1" applyAlignment="1">
      <alignment horizontal="center"/>
    </xf>
    <xf numFmtId="3" fontId="0" fillId="0" borderId="1" xfId="0" applyNumberFormat="1" applyBorder="1" applyAlignment="1">
      <alignment horizontal="left" vertical="top" wrapText="1"/>
    </xf>
    <xf numFmtId="166" fontId="26" fillId="0" borderId="4" xfId="3" applyNumberFormat="1" applyFont="1" applyFill="1" applyBorder="1" applyAlignment="1" applyProtection="1">
      <alignment vertical="center"/>
    </xf>
    <xf numFmtId="0" fontId="1" fillId="0" borderId="0" xfId="0" applyFont="1" applyAlignment="1">
      <alignment vertical="top"/>
    </xf>
    <xf numFmtId="3" fontId="1" fillId="0" borderId="0" xfId="0" applyNumberFormat="1" applyFont="1" applyAlignment="1">
      <alignment horizontal="center"/>
    </xf>
    <xf numFmtId="0" fontId="24" fillId="0" borderId="1" xfId="0" applyFont="1" applyBorder="1" applyAlignment="1">
      <alignment vertical="top" wrapText="1"/>
    </xf>
    <xf numFmtId="0" fontId="29" fillId="0" borderId="11" xfId="0" applyFont="1" applyBorder="1"/>
    <xf numFmtId="3" fontId="29" fillId="0" borderId="18" xfId="0" applyNumberFormat="1" applyFont="1" applyBorder="1" applyAlignment="1">
      <alignment horizontal="right"/>
    </xf>
    <xf numFmtId="4" fontId="29" fillId="0" borderId="18" xfId="0" applyNumberFormat="1" applyFont="1" applyBorder="1" applyAlignment="1">
      <alignment horizontal="right"/>
    </xf>
    <xf numFmtId="173" fontId="1" fillId="4" borderId="1" xfId="0" applyNumberFormat="1" applyFont="1" applyFill="1" applyBorder="1" applyAlignment="1">
      <alignment vertical="center"/>
    </xf>
    <xf numFmtId="0" fontId="0" fillId="0" borderId="1" xfId="0" applyBorder="1"/>
    <xf numFmtId="0" fontId="0" fillId="5" borderId="1" xfId="0" applyFill="1" applyBorder="1" applyAlignment="1">
      <alignment vertical="center"/>
    </xf>
    <xf numFmtId="0" fontId="16" fillId="5" borderId="1" xfId="0" applyFont="1" applyFill="1" applyBorder="1" applyAlignment="1">
      <alignment horizontal="left" vertical="top" wrapText="1"/>
    </xf>
    <xf numFmtId="0" fontId="0" fillId="5" borderId="1" xfId="0" applyFill="1" applyBorder="1" applyAlignment="1">
      <alignment horizontal="left" vertical="top" wrapText="1"/>
    </xf>
    <xf numFmtId="0" fontId="0" fillId="5" borderId="1" xfId="0" applyFill="1" applyBorder="1" applyAlignment="1">
      <alignment horizontal="center" vertical="center"/>
    </xf>
    <xf numFmtId="3" fontId="0" fillId="5" borderId="1" xfId="0" applyNumberFormat="1" applyFill="1" applyBorder="1" applyAlignment="1">
      <alignment horizontal="center" vertical="center"/>
    </xf>
    <xf numFmtId="3" fontId="27" fillId="5" borderId="1" xfId="3" applyNumberFormat="1" applyFont="1" applyFill="1" applyBorder="1" applyAlignment="1" applyProtection="1">
      <alignment vertical="center"/>
      <protection locked="0"/>
    </xf>
    <xf numFmtId="3" fontId="14" fillId="5" borderId="2" xfId="0" applyNumberFormat="1" applyFont="1" applyFill="1" applyBorder="1" applyAlignment="1">
      <alignment vertical="center"/>
    </xf>
    <xf numFmtId="4" fontId="26" fillId="5" borderId="4" xfId="3" applyNumberFormat="1" applyFont="1" applyFill="1" applyBorder="1" applyAlignment="1" applyProtection="1">
      <alignment vertical="center"/>
    </xf>
    <xf numFmtId="0" fontId="3" fillId="5" borderId="1" xfId="0" applyFont="1" applyFill="1" applyBorder="1" applyAlignment="1">
      <alignment vertical="center" wrapText="1"/>
    </xf>
    <xf numFmtId="4" fontId="0" fillId="5" borderId="1" xfId="0" applyNumberFormat="1" applyFill="1" applyBorder="1" applyAlignment="1">
      <alignment horizontal="center" vertical="center"/>
    </xf>
    <xf numFmtId="0" fontId="0" fillId="5" borderId="1" xfId="0" applyFill="1" applyBorder="1" applyAlignment="1">
      <alignment vertical="center" wrapText="1"/>
    </xf>
    <xf numFmtId="0" fontId="4" fillId="5" borderId="1" xfId="0" applyFont="1" applyFill="1" applyBorder="1" applyAlignment="1">
      <alignment horizontal="left" vertical="top"/>
    </xf>
    <xf numFmtId="0" fontId="4" fillId="5" borderId="1" xfId="0" applyFont="1" applyFill="1" applyBorder="1" applyAlignment="1">
      <alignment horizontal="left" vertical="top" wrapText="1"/>
    </xf>
    <xf numFmtId="0" fontId="16" fillId="5" borderId="1" xfId="0" applyFont="1" applyFill="1" applyBorder="1" applyAlignment="1">
      <alignment horizontal="left" vertical="top"/>
    </xf>
    <xf numFmtId="166" fontId="0" fillId="5" borderId="1" xfId="0" applyNumberFormat="1" applyFill="1" applyBorder="1" applyAlignment="1">
      <alignment horizontal="center" vertical="center"/>
    </xf>
    <xf numFmtId="0" fontId="4" fillId="5" borderId="1" xfId="0" applyFont="1" applyFill="1" applyBorder="1" applyAlignment="1">
      <alignment vertical="top" wrapText="1"/>
    </xf>
    <xf numFmtId="166" fontId="26" fillId="5" borderId="4" xfId="3" applyNumberFormat="1" applyFont="1" applyFill="1" applyBorder="1" applyAlignment="1" applyProtection="1">
      <alignment vertical="center"/>
    </xf>
    <xf numFmtId="0" fontId="0" fillId="5" borderId="1" xfId="0" applyFill="1" applyBorder="1" applyAlignment="1">
      <alignment horizontal="left" vertical="top"/>
    </xf>
    <xf numFmtId="2" fontId="0" fillId="5" borderId="1" xfId="0" applyNumberFormat="1" applyFill="1" applyBorder="1" applyAlignment="1">
      <alignment horizontal="center" vertical="center"/>
    </xf>
    <xf numFmtId="0" fontId="3" fillId="5" borderId="1" xfId="0" applyFont="1" applyFill="1" applyBorder="1" applyAlignment="1">
      <alignment horizontal="left" vertical="top" wrapText="1"/>
    </xf>
    <xf numFmtId="0" fontId="0" fillId="5" borderId="1" xfId="0" applyFill="1" applyBorder="1" applyAlignment="1">
      <alignment vertical="top"/>
    </xf>
    <xf numFmtId="0" fontId="0" fillId="0" borderId="0" xfId="0" applyAlignment="1">
      <alignment horizontal="center"/>
    </xf>
    <xf numFmtId="0" fontId="7" fillId="0" borderId="0" xfId="0" applyFont="1" applyAlignment="1">
      <alignment horizontal="left" vertical="center"/>
    </xf>
    <xf numFmtId="0" fontId="5" fillId="0" borderId="1" xfId="0" applyFont="1" applyBorder="1" applyAlignment="1">
      <alignment horizontal="center" vertical="center" wrapText="1"/>
    </xf>
    <xf numFmtId="0" fontId="1" fillId="4" borderId="1" xfId="0" applyFont="1" applyFill="1" applyBorder="1" applyAlignment="1">
      <alignment horizontal="right" vertical="center"/>
    </xf>
    <xf numFmtId="0" fontId="7" fillId="0" borderId="1" xfId="0" applyFont="1" applyBorder="1" applyAlignment="1">
      <alignment horizontal="left" vertical="center" wrapText="1"/>
    </xf>
    <xf numFmtId="0" fontId="19" fillId="0" borderId="4" xfId="0" applyFont="1" applyBorder="1" applyAlignment="1">
      <alignment horizontal="right" vertical="center"/>
    </xf>
    <xf numFmtId="0" fontId="19" fillId="0" borderId="6" xfId="0" applyFont="1" applyBorder="1" applyAlignment="1">
      <alignment horizontal="right" vertical="center"/>
    </xf>
    <xf numFmtId="0" fontId="7" fillId="0" borderId="4" xfId="0" applyFont="1" applyBorder="1" applyAlignment="1">
      <alignment horizontal="left" vertical="center" wrapText="1"/>
    </xf>
    <xf numFmtId="0" fontId="7" fillId="0" borderId="12" xfId="0" applyFont="1" applyBorder="1" applyAlignment="1">
      <alignment horizontal="left" vertical="center" wrapText="1"/>
    </xf>
    <xf numFmtId="165" fontId="1" fillId="8" borderId="10"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5" xfId="0" applyFont="1" applyFill="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0" fillId="0" borderId="12" xfId="0" applyBorder="1" applyAlignment="1">
      <alignment horizontal="center" vertical="center"/>
    </xf>
    <xf numFmtId="0" fontId="7" fillId="0" borderId="1" xfId="0" applyFont="1" applyBorder="1" applyAlignment="1">
      <alignment horizontal="left" vertical="center"/>
    </xf>
    <xf numFmtId="0" fontId="7" fillId="0" borderId="4" xfId="0" applyFont="1" applyBorder="1" applyAlignment="1">
      <alignment horizontal="left" vertical="center"/>
    </xf>
    <xf numFmtId="0" fontId="7" fillId="0" borderId="12" xfId="0" applyFont="1" applyBorder="1" applyAlignment="1">
      <alignment horizontal="left" vertical="center"/>
    </xf>
    <xf numFmtId="0" fontId="0" fillId="0" borderId="12" xfId="0" applyBorder="1" applyAlignment="1">
      <alignment horizontal="center"/>
    </xf>
    <xf numFmtId="0" fontId="1" fillId="4" borderId="1" xfId="0" applyFont="1" applyFill="1" applyBorder="1" applyAlignment="1">
      <alignment horizontal="right" vertical="top"/>
    </xf>
    <xf numFmtId="0" fontId="8" fillId="0" borderId="1" xfId="0" applyFont="1" applyBorder="1" applyAlignment="1">
      <alignment horizontal="left" vertical="center" wrapText="1"/>
    </xf>
    <xf numFmtId="0" fontId="8" fillId="0" borderId="4" xfId="0" applyFont="1" applyBorder="1" applyAlignment="1">
      <alignment horizontal="left" vertical="center" wrapText="1"/>
    </xf>
    <xf numFmtId="0" fontId="8" fillId="0" borderId="12" xfId="0" applyFont="1" applyBorder="1" applyAlignment="1">
      <alignment horizontal="left" vertical="center" wrapText="1"/>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0" fillId="0" borderId="6" xfId="0" applyBorder="1" applyAlignment="1">
      <alignment horizontal="center"/>
    </xf>
    <xf numFmtId="0" fontId="19" fillId="0" borderId="1" xfId="0" applyFont="1" applyBorder="1" applyAlignment="1">
      <alignment horizontal="right" vertical="top" wrapText="1"/>
    </xf>
    <xf numFmtId="0" fontId="1" fillId="4" borderId="1" xfId="0" applyFont="1" applyFill="1" applyBorder="1" applyAlignment="1">
      <alignment horizontal="right"/>
    </xf>
    <xf numFmtId="0" fontId="1" fillId="0" borderId="1" xfId="0" applyFont="1" applyBorder="1" applyAlignment="1">
      <alignment horizontal="left" vertical="center"/>
    </xf>
    <xf numFmtId="0" fontId="0" fillId="0" borderId="6" xfId="0" applyBorder="1" applyAlignment="1">
      <alignment horizontal="center" vertical="center"/>
    </xf>
    <xf numFmtId="0" fontId="1" fillId="2" borderId="1" xfId="0" applyFont="1" applyFill="1" applyBorder="1" applyAlignment="1">
      <alignment horizontal="center" vertical="center"/>
    </xf>
    <xf numFmtId="0" fontId="1" fillId="8" borderId="2" xfId="0" applyFont="1" applyFill="1" applyBorder="1" applyAlignment="1">
      <alignment horizontal="center" vertical="center"/>
    </xf>
    <xf numFmtId="0" fontId="18" fillId="0" borderId="0" xfId="0" applyFont="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29" fillId="0" borderId="11" xfId="0" applyFont="1" applyBorder="1" applyAlignment="1">
      <alignment horizontal="center"/>
    </xf>
    <xf numFmtId="0" fontId="29" fillId="0" borderId="17" xfId="0" applyFont="1" applyBorder="1" applyAlignment="1">
      <alignment horizontal="center"/>
    </xf>
    <xf numFmtId="0" fontId="11" fillId="0" borderId="0" xfId="0" applyFont="1" applyAlignment="1">
      <alignment horizontal="center"/>
    </xf>
    <xf numFmtId="0" fontId="11" fillId="0" borderId="7" xfId="0" applyFont="1" applyBorder="1" applyAlignment="1">
      <alignment horizontal="center"/>
    </xf>
    <xf numFmtId="0" fontId="11" fillId="5" borderId="13" xfId="0" applyFont="1" applyFill="1" applyBorder="1" applyAlignment="1">
      <alignment horizontal="center" wrapText="1"/>
    </xf>
    <xf numFmtId="0" fontId="11" fillId="5" borderId="0" xfId="0" applyFont="1" applyFill="1" applyAlignment="1">
      <alignment horizontal="center" wrapText="1"/>
    </xf>
    <xf numFmtId="0" fontId="11" fillId="7" borderId="0" xfId="0" applyFont="1" applyFill="1" applyAlignment="1">
      <alignment horizontal="center" vertical="center" wrapText="1"/>
    </xf>
    <xf numFmtId="0" fontId="11" fillId="5" borderId="14" xfId="0" applyFont="1" applyFill="1" applyBorder="1" applyAlignment="1">
      <alignment horizontal="center"/>
    </xf>
    <xf numFmtId="0" fontId="11" fillId="5" borderId="0" xfId="0" applyFont="1" applyFill="1" applyAlignment="1">
      <alignment horizontal="center"/>
    </xf>
    <xf numFmtId="3" fontId="0" fillId="0" borderId="1" xfId="0" applyNumberFormat="1" applyBorder="1" applyAlignment="1">
      <alignment horizontal="center"/>
    </xf>
    <xf numFmtId="0" fontId="0" fillId="5" borderId="0" xfId="0" applyFill="1"/>
    <xf numFmtId="0" fontId="5" fillId="0" borderId="1" xfId="0" applyFont="1" applyFill="1" applyBorder="1" applyAlignment="1">
      <alignment horizontal="right" vertical="center"/>
    </xf>
    <xf numFmtId="3" fontId="4" fillId="0" borderId="1" xfId="0" applyNumberFormat="1" applyFont="1" applyFill="1" applyBorder="1" applyAlignment="1">
      <alignment horizontal="center" vertical="center"/>
    </xf>
    <xf numFmtId="165" fontId="4" fillId="0" borderId="1" xfId="0" applyNumberFormat="1" applyFont="1" applyFill="1" applyBorder="1" applyAlignment="1">
      <alignment horizontal="center" vertical="center"/>
    </xf>
    <xf numFmtId="0" fontId="5" fillId="0" borderId="1" xfId="0" applyFont="1" applyFill="1" applyBorder="1" applyAlignment="1">
      <alignment horizontal="right" vertical="top"/>
    </xf>
    <xf numFmtId="3" fontId="5" fillId="0" borderId="1" xfId="0" applyNumberFormat="1" applyFont="1" applyFill="1" applyBorder="1" applyAlignment="1">
      <alignment horizontal="center" vertical="center"/>
    </xf>
    <xf numFmtId="165" fontId="5" fillId="0" borderId="1"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xf>
  </cellXfs>
  <cellStyles count="6">
    <cellStyle name="Comma" xfId="2" builtinId="3"/>
    <cellStyle name="Comma 2" xfId="3" xr:uid="{4CD98126-5DF9-4BB7-AE6F-843000590DC4}"/>
    <cellStyle name="Normal" xfId="0" builtinId="0"/>
    <cellStyle name="Normal 2" xfId="5" xr:uid="{DF5A6F05-88A9-4C3F-AF21-9C0402C86E56}"/>
    <cellStyle name="Normal 3" xfId="4" xr:uid="{85369BAF-3B61-4B48-AECB-85E69A0AD30A}"/>
    <cellStyle name="Percent" xfId="1" builtinId="5"/>
  </cellStyles>
  <dxfs count="0"/>
  <tableStyles count="0" defaultTableStyle="TableStyleMedium2" defaultPivotStyle="PivotStyleLight16"/>
  <colors>
    <mruColors>
      <color rgb="FFFFFFCC"/>
      <color rgb="FFFFB7B7"/>
      <color rgb="FFFF9999"/>
      <color rgb="FFFF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persons/person.xml><?xml version="1.0" encoding="utf-8"?>
<personList xmlns="http://schemas.microsoft.com/office/spreadsheetml/2018/threadedcomments" xmlns:x="http://schemas.openxmlformats.org/spreadsheetml/2006/main">
  <person displayName="ICF" id="{8FD889CE-696B-439F-A3BA-C8B4FDEDA30C}" userId="ICF" providerId="None"/>
  <person displayName="Geiger, Megan - FNS" id="{272CCAAB-37C3-4C80-B08A-47111546D48D}" userId="S::Megan.Geiger@usda.gov::dac2dddf-0668-4882-b960-11d8ee2c8486" providerId="AD"/>
  <person displayName="Otey, Jennifer - FNS" id="{5B412DA6-4A8C-4ADB-8626-BC08DC27DFA5}" userId="S::jennifer.otey@usda.gov::17155479-f366-45a9-bb3b-ebce83ad61d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6" dT="2021-05-21T10:52:32.55" personId="{8FD889CE-696B-439F-A3BA-C8B4FDEDA30C}" id="{60DFFBD6-CDB1-48FD-BF94-7C9DCAF12870}">
    <text>In this ICR, this burden is 0 hours because the burden associated with this requirement will be accounted for under the SAE Funds ICR (OMB Control Number 0584-0067), Form FNS-74.</text>
  </threadedComment>
  <threadedComment ref="G8" dT="2023-02-17T17:36:31.57" personId="{5B412DA6-4A8C-4ADB-8626-BC08DC27DFA5}" id="{52A74A86-25DD-4F27-A18C-8123B9DAB9F7}">
    <text>Number based on currently approved ICR of number renewing.</text>
  </threadedComment>
  <threadedComment ref="I9" personId="{8FD889CE-696B-439F-A3BA-C8B4FDEDA30C}" id="{0D27372B-C37C-413E-BCFB-6062C137640B}">
    <text>Burden assumption takes into account use of advanced technology.</text>
  </threadedComment>
  <threadedComment ref="I12" personId="{8FD889CE-696B-439F-A3BA-C8B4FDEDA30C}" id="{0D27372B-C37C-413F-BCFB-6062C137640B}">
    <text>Burden assumption takes into account use of advanced technology.</text>
  </threadedComment>
  <threadedComment ref="G13" personId="{8FD889CE-696B-439F-A3BA-C8B4FDEDA30C}" id="{47B91E52-E573-434F-A424-635BD13076AD}">
    <text>FNS assumes that 7 out of the 10 institutions with seriuosly deficient notices received this type of notification.</text>
  </threadedComment>
  <threadedComment ref="I13" personId="{8FD889CE-696B-439F-A3BA-C8B4FDEDA30C}" id="{9C8C135F-803E-467E-9130-CE1489C6557A}">
    <text>Burden assumption takes into account use of advanced technology.</text>
  </threadedComment>
  <threadedComment ref="G14" dT="2021-05-21T10:58:09.36" personId="{8FD889CE-696B-439F-A3BA-C8B4FDEDA30C}" id="{7B8EDE31-8F75-41A4-9434-98BB1C3BA71A}">
    <text>FNS assumes that 3 out of 10 sponsoring organizations will fail to correct serious deficiencies and will continue through the serious deficiency process, and subsequent disqualification</text>
  </threadedComment>
  <threadedComment ref="I14" personId="{8FD889CE-696B-439F-A3BA-C8B4FDEDA30C}" id="{2C39D737-3B60-4FDA-9516-F48DAF5EEA8A}">
    <text>Assumed same burden as the notice of agreement termination (if applicable) and disqualification.</text>
  </threadedComment>
  <threadedComment ref="G15" dT="2021-05-21T10:58:28.46" personId="{8FD889CE-696B-439F-A3BA-C8B4FDEDA30C}" id="{0EE4E1AA-1DEF-4D49-B859-3E6AED86DDE9}">
    <text>FNS assumes that 3 out of 10 sponsoring organizations will fail to correct serious deficiencies and will continue through the serious deficiency process, and subsequent disqualification.
Based on program data/experience, the number of responses per respondent was reduced from 10 to 3.</text>
  </threadedComment>
  <threadedComment ref="I15" personId="{8FD889CE-696B-439F-A3BA-C8B4FDEDA30C}" id="{C104C0E3-7776-42C0-846D-08B856C73E5F}">
    <text>Burden assumption takes into account use of advanced technology.</text>
  </threadedComment>
  <threadedComment ref="G16" dT="2021-05-21T10:58:38.58" personId="{8FD889CE-696B-439F-A3BA-C8B4FDEDA30C}" id="{AFE4C33D-9065-41E0-AD55-7C70F74E41F0}">
    <text>FNS assumes that 3 out of 10 sponsoring organizations will fail to correct serious deficiencies and will continue through the serious deficiency process, and subsequent disqualification.
Based on program data/experience, the number of responses per respondent was reduced from 5 to 3.</text>
  </threadedComment>
  <threadedComment ref="G17" dT="2021-05-21T10:58:52.41" personId="{8FD889CE-696B-439F-A3BA-C8B4FDEDA30C}" id="{2F3512F9-AFDE-4DFC-AA15-47F9DDE9F188}">
    <text>FNS assumes that 3 out of 10 sponsoring organizations will fail to correct serious deficiencies and will continue through the serious deficiency process, and subsequent disqualification.
Based on program data/experience, the number of responses per respondent was reduced from 5 to 3.</text>
  </threadedComment>
  <threadedComment ref="I17" personId="{8FD889CE-696B-439F-A3BA-C8B4FDEDA30C}" id="{6A08FCCC-EFE7-48B0-8912-A395792885DC}">
    <text>Burden assumption takes into account use of advanced technology.</text>
  </threadedComment>
  <threadedComment ref="I18" personId="{8FD889CE-696B-439F-A3BA-C8B4FDEDA30C}" id="{DBCB2059-340F-4017-ABCF-7E2855D4A772}">
    <text>Burden assumption takes into account use of advanced technology.</text>
  </threadedComment>
  <threadedComment ref="G19" dT="2021-05-21T10:59:06.58" personId="{8FD889CE-696B-439F-A3BA-C8B4FDEDA30C}" id="{9B0CA8B6-B232-4DD2-970E-241ECB6EE3E8}">
    <text>FNS assumes that 3 out of 10 Sponsoring organizations will fail to correct serious deficiencies and will continue through the serious deficiency process, disqualification, and have agreement terminated.</text>
  </threadedComment>
  <threadedComment ref="F21" dT="2021-05-21T11:13:10.78" personId="{8FD889CE-696B-439F-A3BA-C8B4FDEDA30C}" id="{103456D0-406C-4B13-B548-6A6413E041C1}">
    <text>Most State agencies already have this procedure due to implementation of published guidance.</text>
  </threadedComment>
  <threadedComment ref="F22" personId="{8FD889CE-696B-439F-A3BA-C8B4FDEDA30C}" id="{63BCC381-249B-4CAA-BA0F-6E6B49E1D057}">
    <text>Most State agencies already have this procedure due to implementation of published guidance.</text>
  </threadedComment>
  <threadedComment ref="I25" personId="{8FD889CE-696B-439F-A3BA-C8B4FDEDA30C}" id="{45250181-A841-4BDE-9E10-9279C6709C35}">
    <text>Burden assumption takes into account use of advanced technology.</text>
  </threadedComment>
  <threadedComment ref="G26" personId="{8FD889CE-696B-439F-A3BA-C8B4FDEDA30C}" id="{7673BFDA-96B7-44CD-A10A-4936AACEB029}">
    <text>This is the number of sponsors per State Agency.
This number is obtained through the use of a formula.
Due to reduction in number of sponsoring organizations of day care homes, the number of responses per respondent decreased from 15 to 11.</text>
  </threadedComment>
  <threadedComment ref="I26" personId="{8FD889CE-696B-439F-A3BA-C8B4FDEDA30C}" id="{29E4E4E5-BE42-473F-BD40-896DB9D77F67}">
    <text>Burden assumption takes into account use of advanced technology.</text>
  </threadedComment>
  <threadedComment ref="G27" personId="{8FD889CE-696B-439F-A3BA-C8B4FDEDA30C}" id="{C2C45033-C236-4977-A5D5-90CD55C1143D}">
    <text>This is the number of sponsors per State Agency.
This number is obtained through the use of a formula.
Due to reduction in number of sponsoring organizations of day care homes, the number of responses per respondent drecreased from 15 to 11.</text>
  </threadedComment>
  <threadedComment ref="I27" personId="{8FD889CE-696B-439F-A3BA-C8B4FDEDA30C}" id="{9EA04705-8E75-49AE-9FE1-3FE957387CB7}">
    <text>Burden assumption takes into account use of advanced technology.</text>
  </threadedComment>
  <threadedComment ref="I29" dT="2021-05-21T11:16:16.00" personId="{8FD889CE-696B-439F-A3BA-C8B4FDEDA30C}" id="{4D4C1613-3F0D-4B96-82C8-E43CFD86D65E}">
    <text>Revised hourly burden from 0.25 hours to 2 hours based on public comments received in response to 60-day Federal Register Notice.</text>
  </threadedComment>
  <threadedComment ref="G30" personId="{8FD889CE-696B-439F-A3BA-C8B4FDEDA30C}" id="{2DCEA17D-AAAE-44B2-AB4D-E806776065EE}">
    <text>This is the number of sponsors per State Agency.
This number is obtained through the use of a formula.
Due to reduction in number of sponsoring organizations of day care homes, the number of responses per respondent decreased from 15 to 11.</text>
  </threadedComment>
  <threadedComment ref="I30" personId="{8FD889CE-696B-439F-A3BA-C8B4FDEDA30C}" id="{28E3CFC5-032C-4BE7-8621-C7463B4D0A5A}">
    <text>Burden assumption takes into account use of advanced technology.</text>
  </threadedComment>
  <threadedComment ref="F31" personId="{8FD889CE-696B-439F-A3BA-C8B4FDEDA30C}" id="{20F926F3-0C29-4500-BB8E-B79BE6676FCA}">
    <text>CND estimates that only 15 State Agencies distribute commodities to CACFP institutions; the majority provide cash-in-lieu of commodities.</text>
  </threadedComment>
  <threadedComment ref="I31" personId="{8FD889CE-696B-439F-A3BA-C8B4FDEDA30C}" id="{06196694-12CB-4CA4-A361-2D9A981EC57F}">
    <text>Burden assumption takes into account use of advanced technology.</text>
  </threadedComment>
  <threadedComment ref="I32" dT="2021-05-21T10:53:48.84" personId="{8FD889CE-696B-439F-A3BA-C8B4FDEDA30C}" id="{A9CC1B6E-02E0-4465-8FCA-C2153C64DEA5}">
    <text>Revised hourly burden from 0.25 hours to 1 hour based on public comments received in response to 60-day Federal Register Notice.</text>
  </threadedComment>
  <threadedComment ref="G33" personId="{8FD889CE-696B-439F-A3BA-C8B4FDEDA30C}" id="{130F5180-B9A8-4979-AF95-59CD75F2E4EC}">
    <text>This is the number of institutions per State Agency.
This number is obtained through the use of a formula.
Due to increase in number of sponsoring organizations of centers, the number of responses per respondent increased from 376 to 390.</text>
  </threadedComment>
  <threadedComment ref="I33" personId="{8FD889CE-696B-439F-A3BA-C8B4FDEDA30C}" id="{0CC631CA-06DC-42B1-BF65-71D8DD2D0E6E}">
    <text>Burden assumption takes into account use of advanced technology and batch distribution.</text>
  </threadedComment>
  <threadedComment ref="G35" dT="2021-05-21T10:59:53.81" personId="{8FD889CE-696B-439F-A3BA-C8B4FDEDA30C}" id="{76956331-C8B2-469B-83EC-026B4E0E130C}">
    <text>FNS assumes that 3 out of 10 Sponsoring organizations will be found seriously deficient, issued appeal rights, and hold an administrative review.</text>
  </threadedComment>
  <threadedComment ref="G36" dT="2021-05-21T11:00:21.46" personId="{8FD889CE-696B-439F-A3BA-C8B4FDEDA30C}" id="{6F934147-07F2-47DE-80AE-198D3F8C1EEB}">
    <text>FNS assumes that 3 out of 10 Sponsoring organizations will be found seriously deficient, issued appeal rights, and hold an administrative review.</text>
  </threadedComment>
  <threadedComment ref="G37" dT="2021-05-21T11:00:33.54" personId="{8FD889CE-696B-439F-A3BA-C8B4FDEDA30C}" id="{29DBEABE-3819-4332-A498-02E4DC3961AC}">
    <text>FNS assumes that 3 out of 10 Sponsoring organizations will be found seriously deficient, issued appeal rights, and hold an administrative review.</text>
  </threadedComment>
  <threadedComment ref="G38" dT="2021-05-21T11:00:45.51" personId="{8FD889CE-696B-439F-A3BA-C8B4FDEDA30C}" id="{395E49B7-DCB9-4DC1-A1CA-E207B0044029}">
    <text>FNS assumes that 3 out of 10 Sponsoring organizations will be found seriously deficient, issued appeal rights, and hold an administrative review.</text>
  </threadedComment>
  <threadedComment ref="G39" dT="2021-05-21T11:01:00.27" personId="{8FD889CE-696B-439F-A3BA-C8B4FDEDA30C}" id="{2899FE9B-D8A3-4FB2-88DC-CCEC21B053AF}">
    <text>FNS assumes that 3 out of 10 Sponsoring organizations will be found seriously deficient, issued appeal rights, and hold an administrative review.</text>
  </threadedComment>
  <threadedComment ref="I41" personId="{8FD889CE-696B-439F-A3BA-C8B4FDEDA30C}" id="{DDF42CBE-C71B-4365-BBB2-40D16EB0F20B}">
    <text>Burden assumption takes into account use of advanced technology.</text>
  </threadedComment>
  <threadedComment ref="I43" personId="{8FD889CE-696B-439F-A3BA-C8B4FDEDA30C}" id="{48392310-1CAC-46C6-B97A-77A9BC6367F5}">
    <text>Burden assumption takes into account use of advanced technology/automation.</text>
  </threadedComment>
  <threadedComment ref="G44" dT="2021-05-21T11:04:29.98" personId="{8FD889CE-696B-439F-A3BA-C8B4FDEDA30C}" id="{9DDFA1FE-EAD6-44D8-9BB2-347EB26AC92C}">
    <text>[Sponsoring organizations (centers and homes)] / [Number of State Agencies]; rounded</text>
  </threadedComment>
  <threadedComment ref="I46" dT="2021-05-21T10:54:16.59" personId="{8FD889CE-696B-439F-A3BA-C8B4FDEDA30C}" id="{630757C4-61B2-4F90-87EC-06F8985CB973}">
    <text>Revised hourly burden from 0.25 hours to 6 hours based on public comments received in response to 60-day Federal Register Notice.</text>
  </threadedComment>
  <threadedComment ref="G48" dT="2021-05-21T11:04:40.89" personId="{8FD889CE-696B-439F-A3BA-C8B4FDEDA30C}" id="{7478C7E7-FA1A-4DC5-ABB7-E6E09BA5C218}">
    <text>Each State agency most likely disseminates this information as one response through a State system or through a training for all their institutions annually.</text>
  </threadedComment>
  <threadedComment ref="F51" personId="{8FD889CE-696B-439F-A3BA-C8B4FDEDA30C}" id="{734B945F-4D4D-4792-A150-E2C2BD76D5D1}">
    <text>Management Evaluations/Audits are on a 2-year cycle.</text>
  </threadedComment>
  <threadedComment ref="I51" personId="{8FD889CE-696B-439F-A3BA-C8B4FDEDA30C}" id="{AEB64DEC-0E18-4B8E-B280-10A82B4714AC}">
    <text>Burden assumption takes into account use of advanced technology/automation.</text>
  </threadedComment>
  <threadedComment ref="J52" dT="2022-02-13T13:01:26.15" personId="{8FD889CE-696B-439F-A3BA-C8B4FDEDA30C}" id="{2D5C79FF-6DDC-4DE0-87D5-6F39E7E95FB9}">
    <text>The burden is 0 hours because the burden is already captured in the Food Programs Reporting System (FPRS) ICR, information collection with OMB Control Number 0584 0594, Form FNS-44.</text>
  </threadedComment>
  <threadedComment ref="G53" personId="{8FD889CE-696B-439F-A3BA-C8B4FDEDA30C}" id="{68364983-D4AF-4E4C-9489-7DD9223840DD}">
    <text>Annual activity</text>
  </threadedComment>
  <threadedComment ref="G54" dT="2021-05-21T11:05:00.94" personId="{8FD889CE-696B-439F-A3BA-C8B4FDEDA30C}" id="{03C4E75E-F14E-4D8C-B496-FA0CE87ADCCB}">
    <text>[Sponsoring organizations (centers and homes)] / [Number of State Agencies]; rounded
This number is obtained through the use of a formula.</text>
  </threadedComment>
  <threadedComment ref="G58" personId="{8FD889CE-696B-439F-A3BA-C8B4FDEDA30C}" id="{CE4E0E78-C5E2-4BB3-B58A-F936DE1224B6}">
    <text>Each State Agency must process claims once a month.</text>
  </threadedComment>
  <threadedComment ref="I58" personId="{8FD889CE-696B-439F-A3BA-C8B4FDEDA30C}" id="{AF1316D6-FF20-42EB-A516-18918235B5D4}">
    <text>Burden assumption takes into account use of advanced technology.</text>
  </threadedComment>
  <threadedComment ref="I60" personId="{8FD889CE-696B-439F-A3BA-C8B4FDEDA30C}" id="{58FCD074-F69D-4FFB-85D6-5600C9DA3842}">
    <text>Burden assumption takes into account use of advanced technology.</text>
  </threadedComment>
  <threadedComment ref="H61" dT="2023-02-17T18:11:09.24" personId="{5B412DA6-4A8C-4ADB-8626-BC08DC27DFA5}" id="{3F7F2824-D882-49AD-9A6D-3755073F2D88}">
    <text>540+83 = 623 (number of sponsors of daycare homes, in current ICR).</text>
  </threadedComment>
  <threadedComment ref="G62" personId="{8FD889CE-696B-439F-A3BA-C8B4FDEDA30C}" id="{BC63472A-D649-449E-8B45-79F843DB77E5}">
    <text>This is 10% of the number of institutions per State Agency.
This number is obtained through the use of a formula.
Due to increase in number of sponsoring organizations, the number of responses per respondent increased from 38 to 39.</text>
  </threadedComment>
  <threadedComment ref="J63" dT="2022-02-13T13:35:17.44" personId="{8FD889CE-696B-439F-A3BA-C8B4FDEDA30C}" id="{D8C8A399-10BF-4CCB-9344-0EE071742F6D}">
    <text>FNS estimates that none of the 56 SAs plan to use or disclose information about children eligible for free/reduced-price meals in ways not specified in the regulations. Therefore, the total burden hours associated with this requirement is 0.</text>
  </threadedComment>
  <threadedComment ref="J64" dT="2022-02-13T13:36:02.42" personId="{8FD889CE-696B-439F-A3BA-C8B4FDEDA30C}" id="{AC542C87-AA99-4D44-BA2C-68B84A953681}">
    <text>FNS estimates that all 56 SAs already have entered into written agreements with the parties requesting children’s free/reduced-price eligibility information. Therefore, the total burden hours associated with this requirement is 0.</text>
  </threadedComment>
  <threadedComment ref="J65" dT="2022-02-13T13:36:40.41" personId="{8FD889CE-696B-439F-A3BA-C8B4FDEDA30C}" id="{FF0220F4-032C-47D7-8421-F3280F5ACC6D}">
    <text>FNS believes that all administering agencies have already established the policies and procedures governing the use, title, and disposition of equipment. Therefore, the total burden hours associated with this requirement is 0.</text>
  </threadedComment>
  <threadedComment ref="G72" dT="2021-05-21T11:05:31.54" personId="{8FD889CE-696B-439F-A3BA-C8B4FDEDA30C}" id="{B10BB1BA-856C-4640-AEA0-E7BEBA603F38}">
    <text>Even though this is an annual requirement, institutions submit information on a monthly basis.</text>
  </threadedComment>
  <threadedComment ref="C80" dT="2021-05-21T10:45:58.97" personId="{8FD889CE-696B-439F-A3BA-C8B4FDEDA30C}" id="{84B50EE7-9497-4C4C-823B-A2A9E4B518ED}">
    <text>This requirement is not covered in the previously approved ICR.</text>
  </threadedComment>
  <threadedComment ref="I81" personId="{8FD889CE-696B-439F-A3BA-C8B4FDEDA30C}" id="{076F887C-8447-43FB-81C9-E530C2D0F5ED}">
    <text>Estimate used in currently approved ICR. 
Burden assumption takes into account electronic transmission.</text>
  </threadedComment>
  <threadedComment ref="I87" dT="2021-05-21T10:55:06.98" personId="{8FD889CE-696B-439F-A3BA-C8B4FDEDA30C}" id="{95FF7CE4-5E21-4841-82F0-DF8722F2FA11}">
    <text>Assumes that institutions spend 3 hours a month reviewing materials. Thus, in a year, institutions spend 36 hours reviewing FNS materials.</text>
  </threadedComment>
  <threadedComment ref="G111" dT="2021-05-21T11:06:15.57" personId="{8FD889CE-696B-439F-A3BA-C8B4FDEDA30C}" id="{A8DF85C6-D35E-4314-ACB4-D7FE3B8B3DB3}">
    <text>Assumed to be an annual requirement</text>
  </threadedComment>
  <threadedComment ref="F115" dT="2023-02-22T17:31:01.64" personId="{272CCAAB-37C3-4C80-B08A-47111546D48D}" id="{DE3ADC63-03B1-412D-85DE-E8605461EAD8}">
    <text>This is the number of buisness institutions from the most recently approved  CACFP ICR.</text>
  </threadedComment>
  <threadedComment ref="I121" personId="{8FD889CE-696B-439F-A3BA-C8B4FDEDA30C}" id="{99DAC8F2-0CB0-4D8F-8BAE-43D6F678541D}">
    <text>Estimate used in currently approved ICR. 
Burden assumption takes into account use of advanced technology/automation.</text>
  </threadedComment>
  <threadedComment ref="I122" personId="{8FD889CE-696B-439F-A3BA-C8B4FDEDA30C}" id="{A2C99DC0-93AB-487C-A1E8-909DC64EDE13}">
    <text>Based on estimates for other requirements in the currently approved ICR. 
Burden assumption takes into account use of advanced technology.</text>
  </threadedComment>
  <threadedComment ref="I123" dT="2021-05-21T10:55:58.24" personId="{8FD889CE-696B-439F-A3BA-C8B4FDEDA30C}" id="{0ACE4564-2B57-4D0C-B55E-548BEAB13FB1}">
    <text>Assumes that institutions spend 3 hours a month reviewing materials. Thus, in a year, institutions spend 36 hours reviewing FNS materials.</text>
  </threadedComment>
  <threadedComment ref="F127" dT="2021-05-21T11:11:17.22" personId="{8FD889CE-696B-439F-A3BA-C8B4FDEDA30C}" id="{D5EDE9F4-8B97-435D-8724-E4DBF13E0BA3}">
    <text>Imminent threat to health or safety does not occur often. FNS assumes that ¼ (25%) of sponsoring organizations may need to notify the State agency or local authorities and take action.</text>
  </threadedComment>
  <threadedComment ref="F129" dT="2021-05-21T11:10:58.90" personId="{8FD889CE-696B-439F-A3BA-C8B4FDEDA30C}" id="{1E1E9AB3-0665-49F9-86CF-DF62D511DE65}">
    <text>Imminent threat to health or safety does not occur often. FNS assumes that ¼ (25%) of Sponsoring organizations of day care homes may need to take action due to health or safety violations at day care homes.</text>
  </threadedComment>
  <threadedComment ref="I138" personId="{8FD889CE-696B-439F-A3BA-C8B4FDEDA30C}" id="{67610750-8E95-49E4-A060-8D6BA05C163A}">
    <text>Estimate used in previously approved ICR. 
Burden assumption takes into account use of advanced technology/automation.</text>
  </threadedComment>
  <threadedComment ref="F143" dT="2023-02-17T20:21:47.97" personId="{5B412DA6-4A8C-4ADB-8626-BC08DC27DFA5}" id="{031A7D90-849F-4614-A66F-FD014350E381}">
    <text>Based on current approved ICR.</text>
  </threadedComment>
  <threadedComment ref="G143" dT="2023-02-17T20:29:02.44" personId="{5B412DA6-4A8C-4ADB-8626-BC08DC27DFA5}" id="{88357B90-9CCA-4F71-8BF0-C1C4176F42C4}">
    <text>Per currently approved ICR, 10.37% of homes are tier II; using logic of 10.37% of households being in tier II, 10.37% x 528,479 total daycare home ADA (per NDB, KD11 - Child and Adult Care Food Program -- Child Care Homes and Centers) =  54,804 potentially completing meal benefit forms in tier II homes.</text>
  </threadedComment>
</ThreadedComments>
</file>

<file path=xl/threadedComments/threadedComment2.xml><?xml version="1.0" encoding="utf-8"?>
<ThreadedComments xmlns="http://schemas.microsoft.com/office/spreadsheetml/2018/threadedcomments" xmlns:x="http://schemas.openxmlformats.org/spreadsheetml/2006/main">
  <threadedComment ref="I9" personId="{8FD889CE-696B-439F-A3BA-C8B4FDEDA30C}" id="{AAD57113-FA12-41D7-95C4-F3445EEA7F2B}">
    <text>Burden assumption takes into account use of advanced technology/automation.</text>
  </threadedComment>
</ThreadedComments>
</file>

<file path=xl/threadedComments/threadedComment3.xml><?xml version="1.0" encoding="utf-8"?>
<ThreadedComments xmlns="http://schemas.microsoft.com/office/spreadsheetml/2018/threadedcomments" xmlns:x="http://schemas.openxmlformats.org/spreadsheetml/2006/main">
  <threadedComment ref="F5" dT="2021-05-21T10:34:07.29" personId="{8FD889CE-696B-439F-A3BA-C8B4FDEDA30C}" id="{32919CF0-1B6F-45E0-B31C-6405044854BC}">
    <text>It is assumed that 50% of State agencies do this media release.</text>
  </threadedComment>
  <threadedComment ref="I5" personId="{8FD889CE-696B-439F-A3BA-C8B4FDEDA30C}" id="{F8FF9605-C4DF-43CB-BF16-ABCB352C27C1}">
    <text>Burden assumption takes into account use of advanced technology/automation.</text>
  </threadedComment>
  <threadedComment ref="F7" dT="2021-05-21T10:34:35.64" personId="{8FD889CE-696B-439F-A3BA-C8B4FDEDA30C}" id="{41343DFF-750E-409E-88BE-B359579B4855}">
    <text>It is assumed that 50% of local government agencies do this media release.</text>
  </threadedComment>
  <threadedComment ref="I7" personId="{8FD889CE-696B-439F-A3BA-C8B4FDEDA30C}" id="{F8FF9605-C4DF-43CC-BF16-ABCB352C27C1}">
    <text>Burden assumption takes into account use of advanced technology/automation.</text>
  </threadedComment>
  <threadedComment ref="F11" dT="2021-05-21T10:34:53.70" personId="{8FD889CE-696B-439F-A3BA-C8B4FDEDA30C}" id="{D0F8695C-CC6A-4135-A0AA-74F3DC7D2F97}">
    <text>It is assumed that 50% of institutions do this media release.</text>
  </threadedComment>
  <threadedComment ref="G11" personId="{8FD889CE-696B-439F-A3BA-C8B4FDEDA30C}" id="{F55BF6F2-60C8-4FC0-8EAB-98BCBE5E8E45}">
    <text>This is an annual requirement.</text>
  </threadedComment>
  <threadedComment ref="I11" personId="{8FD889CE-696B-439F-A3BA-C8B4FDEDA30C}" id="{F8FF9605-C4DF-43CD-BF16-ABCB352C27C1}">
    <text>Burden assumption takes into account use of advanced technology/automation.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P177"/>
  <sheetViews>
    <sheetView tabSelected="1" topLeftCell="D1" zoomScale="80" zoomScaleNormal="80" zoomScalePageLayoutView="80" workbookViewId="0">
      <pane ySplit="3" topLeftCell="A4" activePane="bottomLeft" state="frozen"/>
      <selection pane="bottomLeft" activeCell="E123" sqref="E123"/>
    </sheetView>
  </sheetViews>
  <sheetFormatPr defaultColWidth="9.1796875" defaultRowHeight="14.5" x14ac:dyDescent="0.35"/>
  <cols>
    <col min="1" max="1" width="13.1796875" style="87" customWidth="1"/>
    <col min="2" max="2" width="18.54296875" style="87" customWidth="1"/>
    <col min="3" max="3" width="43.81640625" style="1" customWidth="1"/>
    <col min="4" max="4" width="18.54296875" style="87" customWidth="1"/>
    <col min="5" max="5" width="64.453125" style="1" customWidth="1"/>
    <col min="6" max="7" width="17.54296875" style="4" customWidth="1"/>
    <col min="8" max="8" width="17.54296875" style="9" customWidth="1"/>
    <col min="9" max="15" width="17.54296875" style="20" customWidth="1"/>
    <col min="16" max="16" width="70.81640625" style="2" customWidth="1"/>
    <col min="17" max="16384" width="9.1796875" style="2"/>
  </cols>
  <sheetData>
    <row r="1" spans="1:16" ht="19" customHeight="1" thickBot="1" x14ac:dyDescent="0.4">
      <c r="A1" s="169" t="s">
        <v>477</v>
      </c>
      <c r="B1" s="168"/>
      <c r="C1" s="168"/>
      <c r="D1" s="168"/>
      <c r="E1" s="168"/>
      <c r="F1" s="168"/>
      <c r="G1" s="168"/>
      <c r="H1" s="168"/>
      <c r="I1" s="168"/>
      <c r="J1" s="168"/>
      <c r="K1" s="168"/>
      <c r="L1" s="168"/>
      <c r="M1" s="168"/>
      <c r="N1" s="168"/>
      <c r="O1" s="168"/>
      <c r="P1" s="168"/>
    </row>
    <row r="2" spans="1:16" ht="14.9" customHeight="1" x14ac:dyDescent="0.3">
      <c r="A2" s="178" t="s">
        <v>1</v>
      </c>
      <c r="B2" s="178"/>
      <c r="C2" s="178"/>
      <c r="D2" s="179" t="s">
        <v>2</v>
      </c>
      <c r="E2" s="180"/>
      <c r="F2" s="108" t="s">
        <v>16</v>
      </c>
      <c r="G2" s="108" t="s">
        <v>17</v>
      </c>
      <c r="H2" s="108" t="s">
        <v>399</v>
      </c>
      <c r="I2" s="108" t="s">
        <v>18</v>
      </c>
      <c r="J2" s="119" t="s">
        <v>400</v>
      </c>
      <c r="K2" s="119" t="s">
        <v>20</v>
      </c>
      <c r="L2" s="119"/>
      <c r="M2" s="119"/>
      <c r="N2" s="119"/>
      <c r="O2" s="119" t="s">
        <v>401</v>
      </c>
      <c r="P2" s="120"/>
    </row>
    <row r="3" spans="1:16" ht="25.4" customHeight="1" x14ac:dyDescent="0.35">
      <c r="A3" s="109" t="s">
        <v>403</v>
      </c>
      <c r="B3" s="109" t="s">
        <v>402</v>
      </c>
      <c r="C3" s="110" t="s">
        <v>5</v>
      </c>
      <c r="D3" s="109" t="s">
        <v>402</v>
      </c>
      <c r="E3" s="110" t="s">
        <v>5</v>
      </c>
      <c r="F3" s="111" t="s">
        <v>6</v>
      </c>
      <c r="G3" s="112" t="s">
        <v>7</v>
      </c>
      <c r="H3" s="113" t="s">
        <v>8</v>
      </c>
      <c r="I3" s="114" t="s">
        <v>9</v>
      </c>
      <c r="J3" s="115" t="s">
        <v>10</v>
      </c>
      <c r="K3" s="114" t="s">
        <v>405</v>
      </c>
      <c r="L3" s="114" t="s">
        <v>406</v>
      </c>
      <c r="M3" s="114" t="s">
        <v>407</v>
      </c>
      <c r="N3" s="114" t="s">
        <v>408</v>
      </c>
      <c r="O3" s="114" t="s">
        <v>409</v>
      </c>
      <c r="P3" s="118" t="s">
        <v>15</v>
      </c>
    </row>
    <row r="4" spans="1:16" ht="20.5" customHeight="1" x14ac:dyDescent="0.35">
      <c r="A4" s="181" t="s">
        <v>398</v>
      </c>
      <c r="B4" s="182"/>
      <c r="C4" s="182"/>
      <c r="D4" s="183"/>
      <c r="E4" s="183"/>
      <c r="F4" s="183"/>
      <c r="G4" s="183"/>
      <c r="H4" s="183"/>
      <c r="I4" s="183"/>
      <c r="J4" s="183"/>
      <c r="K4" s="183"/>
      <c r="L4" s="183"/>
      <c r="M4" s="183"/>
      <c r="N4" s="183"/>
      <c r="O4" s="183"/>
      <c r="P4" s="93"/>
    </row>
    <row r="5" spans="1:16" ht="43.5" x14ac:dyDescent="0.35">
      <c r="A5" s="46"/>
      <c r="B5" s="58" t="s">
        <v>24</v>
      </c>
      <c r="C5" s="59" t="s">
        <v>25</v>
      </c>
      <c r="D5" s="126" t="s">
        <v>24</v>
      </c>
      <c r="E5" s="45" t="s">
        <v>478</v>
      </c>
      <c r="F5" s="5">
        <f>ROUND(Data!D10/Data!D11, 0)</f>
        <v>19</v>
      </c>
      <c r="G5" s="5">
        <f>Data!D12</f>
        <v>0</v>
      </c>
      <c r="H5" s="48">
        <f>F5*G5</f>
        <v>0</v>
      </c>
      <c r="I5" s="48">
        <v>1</v>
      </c>
      <c r="J5" s="48">
        <f t="shared" ref="J5:J64" si="0">H5*I5</f>
        <v>0</v>
      </c>
      <c r="K5" s="48">
        <f>J5</f>
        <v>0</v>
      </c>
      <c r="L5" s="123">
        <v>0</v>
      </c>
      <c r="M5" s="124">
        <f>J5-K5</f>
        <v>0</v>
      </c>
      <c r="N5" s="124">
        <v>0</v>
      </c>
      <c r="O5" s="125">
        <f t="shared" ref="O5" si="1">+J5-K5</f>
        <v>0</v>
      </c>
      <c r="P5" s="43" t="s">
        <v>26</v>
      </c>
    </row>
    <row r="6" spans="1:16" ht="29" x14ac:dyDescent="0.35">
      <c r="A6" s="147" t="s">
        <v>476</v>
      </c>
      <c r="B6" s="148" t="s">
        <v>410</v>
      </c>
      <c r="C6" s="149" t="s">
        <v>411</v>
      </c>
      <c r="D6" s="148" t="s">
        <v>410</v>
      </c>
      <c r="E6" s="149" t="s">
        <v>411</v>
      </c>
      <c r="F6" s="150">
        <v>8</v>
      </c>
      <c r="G6" s="150">
        <v>1</v>
      </c>
      <c r="H6" s="151">
        <f>F6*G6</f>
        <v>8</v>
      </c>
      <c r="I6" s="151">
        <v>4</v>
      </c>
      <c r="J6" s="151">
        <f>H6*I6</f>
        <v>32</v>
      </c>
      <c r="K6" s="151">
        <v>0</v>
      </c>
      <c r="L6" s="152">
        <v>0</v>
      </c>
      <c r="M6" s="153">
        <f>J6-K6</f>
        <v>32</v>
      </c>
      <c r="N6" s="153">
        <v>0</v>
      </c>
      <c r="O6" s="154">
        <f t="shared" ref="O6" si="2">+J6-K6</f>
        <v>32</v>
      </c>
      <c r="P6" s="155" t="s">
        <v>412</v>
      </c>
    </row>
    <row r="7" spans="1:16" ht="29" x14ac:dyDescent="0.35">
      <c r="A7" s="46"/>
      <c r="B7" s="58" t="s">
        <v>27</v>
      </c>
      <c r="C7" s="59" t="s">
        <v>28</v>
      </c>
      <c r="D7" s="127" t="s">
        <v>27</v>
      </c>
      <c r="E7" s="45" t="s">
        <v>28</v>
      </c>
      <c r="F7" s="5">
        <f>Data!D10</f>
        <v>56</v>
      </c>
      <c r="G7" s="5">
        <f>Data!D31</f>
        <v>5</v>
      </c>
      <c r="H7" s="48">
        <f>F7*G7</f>
        <v>280</v>
      </c>
      <c r="I7" s="49">
        <v>1</v>
      </c>
      <c r="J7" s="48">
        <f t="shared" ref="J7" si="3">H7*I7</f>
        <v>280</v>
      </c>
      <c r="K7" s="48">
        <f>J7</f>
        <v>280</v>
      </c>
      <c r="L7" s="123">
        <v>0</v>
      </c>
      <c r="M7" s="124">
        <f>J7-K7</f>
        <v>0</v>
      </c>
      <c r="N7" s="124">
        <v>0</v>
      </c>
      <c r="O7" s="125">
        <f>+J7-K7</f>
        <v>0</v>
      </c>
      <c r="P7" s="43"/>
    </row>
    <row r="8" spans="1:16" ht="43.5" x14ac:dyDescent="0.35">
      <c r="A8" s="147" t="s">
        <v>476</v>
      </c>
      <c r="B8" s="158" t="s">
        <v>29</v>
      </c>
      <c r="C8" s="159" t="s">
        <v>424</v>
      </c>
      <c r="D8" s="160" t="s">
        <v>29</v>
      </c>
      <c r="E8" s="149" t="s">
        <v>424</v>
      </c>
      <c r="F8" s="150">
        <v>56</v>
      </c>
      <c r="G8" s="150">
        <v>390</v>
      </c>
      <c r="H8" s="151">
        <f t="shared" ref="H8" si="4">F8*G8</f>
        <v>21840</v>
      </c>
      <c r="I8" s="156">
        <v>0.33400000000000002</v>
      </c>
      <c r="J8" s="151">
        <f t="shared" ref="J8" si="5">H8*I8</f>
        <v>7294.56</v>
      </c>
      <c r="K8" s="151">
        <v>10920</v>
      </c>
      <c r="L8" s="152">
        <v>0</v>
      </c>
      <c r="M8" s="153">
        <f>J8-K8</f>
        <v>-3625.4399999999996</v>
      </c>
      <c r="N8" s="153">
        <v>0</v>
      </c>
      <c r="O8" s="154">
        <f t="shared" ref="O8" si="6">+J8-K8</f>
        <v>-3625.4399999999996</v>
      </c>
      <c r="P8" s="155" t="s">
        <v>412</v>
      </c>
    </row>
    <row r="9" spans="1:16" ht="58" x14ac:dyDescent="0.35">
      <c r="A9" s="46"/>
      <c r="B9" s="58" t="s">
        <v>31</v>
      </c>
      <c r="C9" s="59" t="s">
        <v>450</v>
      </c>
      <c r="D9" s="127" t="s">
        <v>31</v>
      </c>
      <c r="E9" s="45" t="s">
        <v>479</v>
      </c>
      <c r="F9" s="5">
        <f>Data!D10</f>
        <v>56</v>
      </c>
      <c r="G9" s="5">
        <v>15</v>
      </c>
      <c r="H9" s="48">
        <f>F9*G9</f>
        <v>840</v>
      </c>
      <c r="I9" s="49">
        <v>0.25</v>
      </c>
      <c r="J9" s="48">
        <f>H9*I9</f>
        <v>210</v>
      </c>
      <c r="K9" s="48">
        <f>J9</f>
        <v>210</v>
      </c>
      <c r="L9" s="123">
        <v>0</v>
      </c>
      <c r="M9" s="124">
        <f>J9-K9</f>
        <v>0</v>
      </c>
      <c r="N9" s="124">
        <v>0</v>
      </c>
      <c r="O9" s="125">
        <f>+J9-K9</f>
        <v>0</v>
      </c>
      <c r="P9" s="43"/>
    </row>
    <row r="10" spans="1:16" ht="58" x14ac:dyDescent="0.35">
      <c r="A10" s="46"/>
      <c r="B10" s="58" t="s">
        <v>32</v>
      </c>
      <c r="C10" s="59" t="s">
        <v>33</v>
      </c>
      <c r="D10" s="127" t="s">
        <v>32</v>
      </c>
      <c r="E10" s="45" t="s">
        <v>33</v>
      </c>
      <c r="F10" s="5">
        <f>Data!D10</f>
        <v>56</v>
      </c>
      <c r="G10" s="5">
        <v>5</v>
      </c>
      <c r="H10" s="48">
        <f t="shared" ref="H10" si="7">F10*G10</f>
        <v>280</v>
      </c>
      <c r="I10" s="49">
        <v>0.5</v>
      </c>
      <c r="J10" s="48">
        <f t="shared" si="0"/>
        <v>140</v>
      </c>
      <c r="K10" s="48">
        <f t="shared" ref="K10:K65" si="8">J10</f>
        <v>140</v>
      </c>
      <c r="L10" s="123">
        <v>0</v>
      </c>
      <c r="M10" s="124">
        <f t="shared" ref="M10:M52" si="9">J10-K10</f>
        <v>0</v>
      </c>
      <c r="N10" s="124">
        <v>0</v>
      </c>
      <c r="O10" s="125">
        <f t="shared" ref="O10:O53" si="10">+J10-K10</f>
        <v>0</v>
      </c>
      <c r="P10" s="43"/>
    </row>
    <row r="11" spans="1:16" ht="51" customHeight="1" x14ac:dyDescent="0.35">
      <c r="A11" s="147" t="s">
        <v>476</v>
      </c>
      <c r="B11" s="158" t="s">
        <v>415</v>
      </c>
      <c r="C11" s="159" t="s">
        <v>416</v>
      </c>
      <c r="D11" s="160" t="s">
        <v>415</v>
      </c>
      <c r="E11" s="149" t="s">
        <v>480</v>
      </c>
      <c r="F11" s="150">
        <v>56</v>
      </c>
      <c r="G11" s="150">
        <v>1</v>
      </c>
      <c r="H11" s="151">
        <v>56</v>
      </c>
      <c r="I11" s="156">
        <v>0.5</v>
      </c>
      <c r="J11" s="151">
        <f t="shared" si="0"/>
        <v>28</v>
      </c>
      <c r="K11" s="151">
        <v>0</v>
      </c>
      <c r="L11" s="152">
        <v>0</v>
      </c>
      <c r="M11" s="153">
        <f>J11-K11</f>
        <v>28</v>
      </c>
      <c r="N11" s="153">
        <v>0</v>
      </c>
      <c r="O11" s="154">
        <f t="shared" si="10"/>
        <v>28</v>
      </c>
      <c r="P11" s="157" t="s">
        <v>412</v>
      </c>
    </row>
    <row r="12" spans="1:16" ht="93.75" customHeight="1" x14ac:dyDescent="0.35">
      <c r="A12" s="46"/>
      <c r="B12" s="126" t="s">
        <v>35</v>
      </c>
      <c r="C12" s="45" t="s">
        <v>36</v>
      </c>
      <c r="D12" s="126" t="s">
        <v>35</v>
      </c>
      <c r="E12" s="45" t="s">
        <v>481</v>
      </c>
      <c r="F12" s="5">
        <f>Data!D10</f>
        <v>56</v>
      </c>
      <c r="G12" s="5">
        <v>10</v>
      </c>
      <c r="H12" s="48">
        <f>F12*G12</f>
        <v>560</v>
      </c>
      <c r="I12" s="49">
        <v>0.25</v>
      </c>
      <c r="J12" s="48">
        <f t="shared" si="0"/>
        <v>140</v>
      </c>
      <c r="K12" s="48">
        <f t="shared" si="8"/>
        <v>140</v>
      </c>
      <c r="L12" s="123">
        <v>0</v>
      </c>
      <c r="M12" s="124">
        <f t="shared" si="9"/>
        <v>0</v>
      </c>
      <c r="N12" s="124">
        <v>0</v>
      </c>
      <c r="O12" s="125">
        <f t="shared" si="10"/>
        <v>0</v>
      </c>
      <c r="P12" s="43"/>
    </row>
    <row r="13" spans="1:16" ht="64.5" customHeight="1" x14ac:dyDescent="0.35">
      <c r="A13" s="46"/>
      <c r="B13" s="126" t="s">
        <v>37</v>
      </c>
      <c r="C13" s="45" t="s">
        <v>38</v>
      </c>
      <c r="D13" s="126" t="s">
        <v>37</v>
      </c>
      <c r="E13" s="45" t="s">
        <v>482</v>
      </c>
      <c r="F13" s="5">
        <f>Data!D10</f>
        <v>56</v>
      </c>
      <c r="G13" s="5">
        <v>7</v>
      </c>
      <c r="H13" s="48">
        <f t="shared" ref="H13:H82" si="11">F13*G13</f>
        <v>392</v>
      </c>
      <c r="I13" s="49">
        <v>0.25</v>
      </c>
      <c r="J13" s="48">
        <f t="shared" si="0"/>
        <v>98</v>
      </c>
      <c r="K13" s="48">
        <f t="shared" si="8"/>
        <v>98</v>
      </c>
      <c r="L13" s="123">
        <v>0</v>
      </c>
      <c r="M13" s="124">
        <f t="shared" si="9"/>
        <v>0</v>
      </c>
      <c r="N13" s="124">
        <v>0</v>
      </c>
      <c r="O13" s="125">
        <f t="shared" si="10"/>
        <v>0</v>
      </c>
      <c r="P13" s="43"/>
    </row>
    <row r="14" spans="1:16" ht="63.75" customHeight="1" x14ac:dyDescent="0.35">
      <c r="A14" s="46"/>
      <c r="B14" s="126" t="s">
        <v>39</v>
      </c>
      <c r="C14" s="45" t="s">
        <v>40</v>
      </c>
      <c r="D14" s="126" t="s">
        <v>39</v>
      </c>
      <c r="E14" s="45" t="s">
        <v>483</v>
      </c>
      <c r="F14" s="5">
        <f>Data!D10</f>
        <v>56</v>
      </c>
      <c r="G14" s="5">
        <v>3</v>
      </c>
      <c r="H14" s="48">
        <f t="shared" si="11"/>
        <v>168</v>
      </c>
      <c r="I14" s="49">
        <v>0.25</v>
      </c>
      <c r="J14" s="48">
        <f t="shared" si="0"/>
        <v>42</v>
      </c>
      <c r="K14" s="48">
        <f t="shared" si="8"/>
        <v>42</v>
      </c>
      <c r="L14" s="123">
        <v>0</v>
      </c>
      <c r="M14" s="124">
        <f t="shared" si="9"/>
        <v>0</v>
      </c>
      <c r="N14" s="124">
        <v>0</v>
      </c>
      <c r="O14" s="125">
        <f t="shared" si="10"/>
        <v>0</v>
      </c>
      <c r="P14" s="43"/>
    </row>
    <row r="15" spans="1:16" ht="72.5" x14ac:dyDescent="0.35">
      <c r="A15" s="46"/>
      <c r="B15" s="126" t="s">
        <v>42</v>
      </c>
      <c r="C15" s="59" t="s">
        <v>451</v>
      </c>
      <c r="D15" s="126" t="s">
        <v>42</v>
      </c>
      <c r="E15" s="59" t="s">
        <v>484</v>
      </c>
      <c r="F15" s="5">
        <f>Data!D10</f>
        <v>56</v>
      </c>
      <c r="G15" s="5">
        <v>3</v>
      </c>
      <c r="H15" s="48">
        <f t="shared" si="11"/>
        <v>168</v>
      </c>
      <c r="I15" s="49">
        <v>0.25</v>
      </c>
      <c r="J15" s="48">
        <f t="shared" si="0"/>
        <v>42</v>
      </c>
      <c r="K15" s="48">
        <f t="shared" si="8"/>
        <v>42</v>
      </c>
      <c r="L15" s="123">
        <v>0</v>
      </c>
      <c r="M15" s="124">
        <f t="shared" si="9"/>
        <v>0</v>
      </c>
      <c r="N15" s="124">
        <v>0</v>
      </c>
      <c r="O15" s="125">
        <f t="shared" si="10"/>
        <v>0</v>
      </c>
      <c r="P15" s="26"/>
    </row>
    <row r="16" spans="1:16" ht="108" customHeight="1" x14ac:dyDescent="0.35">
      <c r="A16" s="46"/>
      <c r="B16" s="58" t="s">
        <v>34</v>
      </c>
      <c r="C16" s="59" t="s">
        <v>41</v>
      </c>
      <c r="D16" s="127" t="s">
        <v>43</v>
      </c>
      <c r="E16" s="45" t="s">
        <v>44</v>
      </c>
      <c r="F16" s="5">
        <f>Data!D10</f>
        <v>56</v>
      </c>
      <c r="G16" s="5">
        <v>3</v>
      </c>
      <c r="H16" s="48">
        <f t="shared" ref="H16" si="12">F16*G16</f>
        <v>168</v>
      </c>
      <c r="I16" s="49">
        <v>0.25</v>
      </c>
      <c r="J16" s="48">
        <f t="shared" si="0"/>
        <v>42</v>
      </c>
      <c r="K16" s="48">
        <f t="shared" si="8"/>
        <v>42</v>
      </c>
      <c r="L16" s="123">
        <v>0</v>
      </c>
      <c r="M16" s="124">
        <f t="shared" si="9"/>
        <v>0</v>
      </c>
      <c r="N16" s="124">
        <v>0</v>
      </c>
      <c r="O16" s="125">
        <f t="shared" si="10"/>
        <v>0</v>
      </c>
      <c r="P16" s="26"/>
    </row>
    <row r="17" spans="1:16" ht="94.5" customHeight="1" x14ac:dyDescent="0.35">
      <c r="A17" s="46"/>
      <c r="B17" s="58" t="s">
        <v>34</v>
      </c>
      <c r="C17" s="59" t="s">
        <v>45</v>
      </c>
      <c r="D17" s="126" t="s">
        <v>46</v>
      </c>
      <c r="E17" s="45" t="s">
        <v>485</v>
      </c>
      <c r="F17" s="5">
        <f>Data!D10</f>
        <v>56</v>
      </c>
      <c r="G17" s="5">
        <v>3</v>
      </c>
      <c r="H17" s="48">
        <f t="shared" si="11"/>
        <v>168</v>
      </c>
      <c r="I17" s="49">
        <v>0.25</v>
      </c>
      <c r="J17" s="48">
        <f t="shared" si="0"/>
        <v>42</v>
      </c>
      <c r="K17" s="48">
        <f t="shared" si="8"/>
        <v>42</v>
      </c>
      <c r="L17" s="123">
        <v>0</v>
      </c>
      <c r="M17" s="124">
        <f t="shared" si="9"/>
        <v>0</v>
      </c>
      <c r="N17" s="124">
        <v>0</v>
      </c>
      <c r="O17" s="125">
        <f t="shared" si="10"/>
        <v>0</v>
      </c>
      <c r="P17" s="26"/>
    </row>
    <row r="18" spans="1:16" ht="78.75" customHeight="1" x14ac:dyDescent="0.35">
      <c r="A18" s="46"/>
      <c r="B18" s="126" t="s">
        <v>47</v>
      </c>
      <c r="C18" s="59" t="s">
        <v>48</v>
      </c>
      <c r="D18" s="126" t="s">
        <v>47</v>
      </c>
      <c r="E18" s="45" t="s">
        <v>486</v>
      </c>
      <c r="F18" s="5">
        <f>Data!D10</f>
        <v>56</v>
      </c>
      <c r="G18" s="5">
        <v>1</v>
      </c>
      <c r="H18" s="48">
        <f t="shared" si="11"/>
        <v>56</v>
      </c>
      <c r="I18" s="49">
        <v>0.25</v>
      </c>
      <c r="J18" s="48">
        <f t="shared" si="0"/>
        <v>14</v>
      </c>
      <c r="K18" s="48">
        <f t="shared" si="8"/>
        <v>14</v>
      </c>
      <c r="L18" s="123">
        <v>0</v>
      </c>
      <c r="M18" s="124">
        <f t="shared" si="9"/>
        <v>0</v>
      </c>
      <c r="N18" s="124">
        <v>0</v>
      </c>
      <c r="O18" s="125">
        <f t="shared" si="10"/>
        <v>0</v>
      </c>
      <c r="P18" s="129"/>
    </row>
    <row r="19" spans="1:16" ht="126" customHeight="1" x14ac:dyDescent="0.35">
      <c r="A19" s="46"/>
      <c r="B19" s="126" t="s">
        <v>49</v>
      </c>
      <c r="C19" s="59" t="s">
        <v>50</v>
      </c>
      <c r="D19" s="126" t="s">
        <v>49</v>
      </c>
      <c r="E19" s="45" t="s">
        <v>487</v>
      </c>
      <c r="F19" s="5">
        <f>Data!D10</f>
        <v>56</v>
      </c>
      <c r="G19" s="5">
        <v>3</v>
      </c>
      <c r="H19" s="48">
        <f t="shared" si="11"/>
        <v>168</v>
      </c>
      <c r="I19" s="49">
        <v>0.25</v>
      </c>
      <c r="J19" s="48">
        <f t="shared" ref="J19" si="13">H19*I19</f>
        <v>42</v>
      </c>
      <c r="K19" s="48">
        <f t="shared" si="8"/>
        <v>42</v>
      </c>
      <c r="L19" s="123">
        <v>0</v>
      </c>
      <c r="M19" s="124">
        <f t="shared" si="9"/>
        <v>0</v>
      </c>
      <c r="N19" s="124">
        <v>0</v>
      </c>
      <c r="O19" s="125">
        <f t="shared" si="10"/>
        <v>0</v>
      </c>
      <c r="P19" s="129"/>
    </row>
    <row r="20" spans="1:16" ht="69.650000000000006" customHeight="1" x14ac:dyDescent="0.35">
      <c r="A20" s="46"/>
      <c r="B20" s="126" t="s">
        <v>449</v>
      </c>
      <c r="C20" s="59" t="s">
        <v>51</v>
      </c>
      <c r="D20" s="126" t="s">
        <v>52</v>
      </c>
      <c r="E20" s="45" t="s">
        <v>488</v>
      </c>
      <c r="F20" s="5">
        <f>Data!D10</f>
        <v>56</v>
      </c>
      <c r="G20" s="5">
        <v>12</v>
      </c>
      <c r="H20" s="48">
        <f t="shared" si="11"/>
        <v>672</v>
      </c>
      <c r="I20" s="49">
        <v>0.25</v>
      </c>
      <c r="J20" s="48">
        <f t="shared" si="0"/>
        <v>168</v>
      </c>
      <c r="K20" s="48">
        <f t="shared" si="8"/>
        <v>168</v>
      </c>
      <c r="L20" s="123">
        <v>0</v>
      </c>
      <c r="M20" s="124">
        <f t="shared" si="9"/>
        <v>0</v>
      </c>
      <c r="N20" s="124">
        <v>0</v>
      </c>
      <c r="O20" s="125">
        <f t="shared" si="10"/>
        <v>0</v>
      </c>
      <c r="P20" s="43"/>
    </row>
    <row r="21" spans="1:16" ht="98.5" customHeight="1" x14ac:dyDescent="0.35">
      <c r="A21" s="46"/>
      <c r="B21" s="126" t="s">
        <v>53</v>
      </c>
      <c r="C21" s="59" t="s">
        <v>54</v>
      </c>
      <c r="D21" s="126" t="s">
        <v>55</v>
      </c>
      <c r="E21" s="45" t="s">
        <v>56</v>
      </c>
      <c r="F21" s="5">
        <f>Data!D13</f>
        <v>10</v>
      </c>
      <c r="G21" s="5">
        <v>1</v>
      </c>
      <c r="H21" s="48">
        <f t="shared" si="11"/>
        <v>10</v>
      </c>
      <c r="I21" s="49">
        <v>1</v>
      </c>
      <c r="J21" s="48">
        <f t="shared" si="0"/>
        <v>10</v>
      </c>
      <c r="K21" s="48">
        <f t="shared" si="8"/>
        <v>10</v>
      </c>
      <c r="L21" s="123">
        <v>0</v>
      </c>
      <c r="M21" s="124">
        <f t="shared" si="9"/>
        <v>0</v>
      </c>
      <c r="N21" s="124">
        <v>0</v>
      </c>
      <c r="O21" s="125">
        <f t="shared" si="10"/>
        <v>0</v>
      </c>
      <c r="P21" s="43"/>
    </row>
    <row r="22" spans="1:16" ht="43.5" x14ac:dyDescent="0.35">
      <c r="A22" s="46"/>
      <c r="B22" s="126" t="s">
        <v>57</v>
      </c>
      <c r="C22" s="126" t="s">
        <v>58</v>
      </c>
      <c r="D22" s="126" t="s">
        <v>59</v>
      </c>
      <c r="E22" s="45" t="s">
        <v>60</v>
      </c>
      <c r="F22" s="5">
        <f>Data!D14</f>
        <v>10</v>
      </c>
      <c r="G22" s="5">
        <v>1</v>
      </c>
      <c r="H22" s="48">
        <f>F22*G22</f>
        <v>10</v>
      </c>
      <c r="I22" s="49">
        <v>3</v>
      </c>
      <c r="J22" s="48">
        <f>H22*I22</f>
        <v>30</v>
      </c>
      <c r="K22" s="48">
        <f t="shared" si="8"/>
        <v>30</v>
      </c>
      <c r="L22" s="123">
        <v>0</v>
      </c>
      <c r="M22" s="124">
        <f t="shared" si="9"/>
        <v>0</v>
      </c>
      <c r="N22" s="124">
        <v>0</v>
      </c>
      <c r="O22" s="125">
        <f t="shared" si="10"/>
        <v>0</v>
      </c>
      <c r="P22" s="43"/>
    </row>
    <row r="23" spans="1:16" ht="63" customHeight="1" x14ac:dyDescent="0.35">
      <c r="A23" s="46"/>
      <c r="B23" s="126" t="s">
        <v>61</v>
      </c>
      <c r="C23" s="126" t="s">
        <v>62</v>
      </c>
      <c r="D23" s="126" t="s">
        <v>61</v>
      </c>
      <c r="E23" s="45" t="s">
        <v>62</v>
      </c>
      <c r="F23" s="5">
        <f>Data!$D$10</f>
        <v>56</v>
      </c>
      <c r="G23" s="5">
        <v>1</v>
      </c>
      <c r="H23" s="48">
        <f t="shared" ref="H23" si="14">F23*G23</f>
        <v>56</v>
      </c>
      <c r="I23" s="49">
        <v>0.5</v>
      </c>
      <c r="J23" s="48">
        <f t="shared" ref="J23" si="15">H23*I23</f>
        <v>28</v>
      </c>
      <c r="K23" s="48">
        <f t="shared" si="8"/>
        <v>28</v>
      </c>
      <c r="L23" s="123">
        <v>0</v>
      </c>
      <c r="M23" s="124">
        <f t="shared" si="9"/>
        <v>0</v>
      </c>
      <c r="N23" s="124">
        <v>0</v>
      </c>
      <c r="O23" s="125">
        <f t="shared" si="10"/>
        <v>0</v>
      </c>
      <c r="P23" s="43"/>
    </row>
    <row r="24" spans="1:16" ht="58" x14ac:dyDescent="0.35">
      <c r="A24" s="46"/>
      <c r="B24" s="126" t="s">
        <v>63</v>
      </c>
      <c r="C24" s="126" t="s">
        <v>64</v>
      </c>
      <c r="D24" s="126" t="s">
        <v>63</v>
      </c>
      <c r="E24" s="45" t="s">
        <v>64</v>
      </c>
      <c r="F24" s="5">
        <f>Data!$D$10</f>
        <v>56</v>
      </c>
      <c r="G24" s="5">
        <v>1</v>
      </c>
      <c r="H24" s="48">
        <f t="shared" si="11"/>
        <v>56</v>
      </c>
      <c r="I24" s="49">
        <v>0.25</v>
      </c>
      <c r="J24" s="48">
        <f t="shared" si="0"/>
        <v>14</v>
      </c>
      <c r="K24" s="48">
        <f t="shared" si="8"/>
        <v>14</v>
      </c>
      <c r="L24" s="123">
        <v>0</v>
      </c>
      <c r="M24" s="124">
        <f t="shared" si="9"/>
        <v>0</v>
      </c>
      <c r="N24" s="124">
        <v>0</v>
      </c>
      <c r="O24" s="125">
        <f t="shared" si="10"/>
        <v>0</v>
      </c>
      <c r="P24" s="43"/>
    </row>
    <row r="25" spans="1:16" ht="76.5" customHeight="1" x14ac:dyDescent="0.35">
      <c r="A25" s="46"/>
      <c r="B25" s="126" t="s">
        <v>65</v>
      </c>
      <c r="C25" s="126" t="s">
        <v>66</v>
      </c>
      <c r="D25" s="126" t="s">
        <v>65</v>
      </c>
      <c r="E25" s="45" t="s">
        <v>67</v>
      </c>
      <c r="F25" s="5">
        <f>Data!D10</f>
        <v>56</v>
      </c>
      <c r="G25" s="5">
        <v>1</v>
      </c>
      <c r="H25" s="48">
        <f t="shared" si="11"/>
        <v>56</v>
      </c>
      <c r="I25" s="49">
        <v>0.5</v>
      </c>
      <c r="J25" s="48">
        <f t="shared" si="0"/>
        <v>28</v>
      </c>
      <c r="K25" s="48">
        <f t="shared" si="8"/>
        <v>28</v>
      </c>
      <c r="L25" s="123">
        <v>0</v>
      </c>
      <c r="M25" s="124">
        <f t="shared" si="9"/>
        <v>0</v>
      </c>
      <c r="N25" s="124">
        <v>0</v>
      </c>
      <c r="O25" s="125">
        <f t="shared" si="10"/>
        <v>0</v>
      </c>
      <c r="P25" s="43"/>
    </row>
    <row r="26" spans="1:16" ht="43.5" x14ac:dyDescent="0.35">
      <c r="A26" s="46"/>
      <c r="B26" s="126" t="s">
        <v>68</v>
      </c>
      <c r="C26" s="126" t="s">
        <v>69</v>
      </c>
      <c r="D26" s="126" t="s">
        <v>70</v>
      </c>
      <c r="E26" s="45" t="s">
        <v>71</v>
      </c>
      <c r="F26" s="5">
        <f>Data!D10</f>
        <v>56</v>
      </c>
      <c r="G26" s="5">
        <f>ROUND((F74+F110)/F26,0)</f>
        <v>11</v>
      </c>
      <c r="H26" s="48">
        <f t="shared" si="11"/>
        <v>616</v>
      </c>
      <c r="I26" s="49">
        <v>0.25</v>
      </c>
      <c r="J26" s="48">
        <f t="shared" si="0"/>
        <v>154</v>
      </c>
      <c r="K26" s="48">
        <f t="shared" si="8"/>
        <v>154</v>
      </c>
      <c r="L26" s="123">
        <v>0</v>
      </c>
      <c r="M26" s="124">
        <f t="shared" si="9"/>
        <v>0</v>
      </c>
      <c r="N26" s="124">
        <v>0</v>
      </c>
      <c r="O26" s="125">
        <f t="shared" si="10"/>
        <v>0</v>
      </c>
      <c r="P26" s="43"/>
    </row>
    <row r="27" spans="1:16" ht="71.150000000000006" customHeight="1" x14ac:dyDescent="0.35">
      <c r="A27" s="46"/>
      <c r="B27" s="126" t="s">
        <v>72</v>
      </c>
      <c r="C27" s="126" t="s">
        <v>73</v>
      </c>
      <c r="D27" s="126" t="s">
        <v>74</v>
      </c>
      <c r="E27" s="45" t="s">
        <v>75</v>
      </c>
      <c r="F27" s="5">
        <f>Data!D10</f>
        <v>56</v>
      </c>
      <c r="G27" s="5">
        <f>ROUND((F74+F110)/F27,0)</f>
        <v>11</v>
      </c>
      <c r="H27" s="48">
        <f t="shared" si="11"/>
        <v>616</v>
      </c>
      <c r="I27" s="49">
        <v>0.25</v>
      </c>
      <c r="J27" s="48">
        <f t="shared" si="0"/>
        <v>154</v>
      </c>
      <c r="K27" s="48">
        <f t="shared" si="8"/>
        <v>154</v>
      </c>
      <c r="L27" s="123">
        <v>0</v>
      </c>
      <c r="M27" s="124">
        <f t="shared" si="9"/>
        <v>0</v>
      </c>
      <c r="N27" s="124">
        <v>0</v>
      </c>
      <c r="O27" s="125">
        <f t="shared" si="10"/>
        <v>0</v>
      </c>
      <c r="P27" s="43"/>
    </row>
    <row r="28" spans="1:16" ht="43" customHeight="1" x14ac:dyDescent="0.35">
      <c r="A28" s="46"/>
      <c r="B28" s="126" t="s">
        <v>76</v>
      </c>
      <c r="C28" s="126" t="s">
        <v>77</v>
      </c>
      <c r="D28" s="126" t="s">
        <v>78</v>
      </c>
      <c r="E28" s="45" t="s">
        <v>79</v>
      </c>
      <c r="F28" s="5">
        <f>Data!D10</f>
        <v>56</v>
      </c>
      <c r="G28" s="5">
        <v>1</v>
      </c>
      <c r="H28" s="48">
        <f t="shared" si="11"/>
        <v>56</v>
      </c>
      <c r="I28" s="49">
        <v>0.25</v>
      </c>
      <c r="J28" s="48">
        <f t="shared" si="0"/>
        <v>14</v>
      </c>
      <c r="K28" s="48">
        <f t="shared" si="8"/>
        <v>14</v>
      </c>
      <c r="L28" s="123">
        <v>0</v>
      </c>
      <c r="M28" s="124">
        <f t="shared" si="9"/>
        <v>0</v>
      </c>
      <c r="N28" s="124">
        <v>0</v>
      </c>
      <c r="O28" s="125">
        <f t="shared" si="10"/>
        <v>0</v>
      </c>
      <c r="P28" s="43"/>
    </row>
    <row r="29" spans="1:16" ht="58" x14ac:dyDescent="0.35">
      <c r="A29" s="46"/>
      <c r="B29" s="126" t="s">
        <v>80</v>
      </c>
      <c r="C29" s="126" t="s">
        <v>81</v>
      </c>
      <c r="D29" s="126" t="s">
        <v>82</v>
      </c>
      <c r="E29" s="45" t="s">
        <v>83</v>
      </c>
      <c r="F29" s="5">
        <f>Data!D10</f>
        <v>56</v>
      </c>
      <c r="G29" s="5">
        <v>1</v>
      </c>
      <c r="H29" s="48">
        <f t="shared" si="11"/>
        <v>56</v>
      </c>
      <c r="I29" s="49">
        <v>2</v>
      </c>
      <c r="J29" s="48">
        <f t="shared" si="0"/>
        <v>112</v>
      </c>
      <c r="K29" s="48">
        <f t="shared" si="8"/>
        <v>112</v>
      </c>
      <c r="L29" s="123">
        <v>0</v>
      </c>
      <c r="M29" s="124">
        <f t="shared" si="9"/>
        <v>0</v>
      </c>
      <c r="N29" s="124">
        <v>0</v>
      </c>
      <c r="O29" s="125">
        <f t="shared" si="10"/>
        <v>0</v>
      </c>
      <c r="P29" s="43"/>
    </row>
    <row r="30" spans="1:16" ht="29" x14ac:dyDescent="0.35">
      <c r="A30" s="46"/>
      <c r="B30" s="126" t="s">
        <v>84</v>
      </c>
      <c r="C30" s="126" t="s">
        <v>85</v>
      </c>
      <c r="D30" s="126" t="s">
        <v>84</v>
      </c>
      <c r="E30" s="45" t="s">
        <v>86</v>
      </c>
      <c r="F30" s="5">
        <f>Data!D10</f>
        <v>56</v>
      </c>
      <c r="G30" s="5">
        <f>ROUND((F74+F110)/F30,0)</f>
        <v>11</v>
      </c>
      <c r="H30" s="48">
        <f t="shared" si="11"/>
        <v>616</v>
      </c>
      <c r="I30" s="49">
        <v>0.25</v>
      </c>
      <c r="J30" s="48">
        <f t="shared" si="0"/>
        <v>154</v>
      </c>
      <c r="K30" s="48">
        <f t="shared" si="8"/>
        <v>154</v>
      </c>
      <c r="L30" s="123">
        <v>0</v>
      </c>
      <c r="M30" s="124">
        <f t="shared" si="9"/>
        <v>0</v>
      </c>
      <c r="N30" s="124">
        <v>0</v>
      </c>
      <c r="O30" s="125">
        <f t="shared" si="10"/>
        <v>0</v>
      </c>
      <c r="P30" s="43"/>
    </row>
    <row r="31" spans="1:16" ht="29" x14ac:dyDescent="0.35">
      <c r="A31" s="46"/>
      <c r="B31" s="126" t="s">
        <v>87</v>
      </c>
      <c r="C31" s="126" t="s">
        <v>88</v>
      </c>
      <c r="D31" s="126" t="s">
        <v>89</v>
      </c>
      <c r="E31" s="45" t="s">
        <v>90</v>
      </c>
      <c r="F31" s="5">
        <f>Data!D15</f>
        <v>15</v>
      </c>
      <c r="G31" s="5">
        <v>1</v>
      </c>
      <c r="H31" s="48">
        <f t="shared" si="11"/>
        <v>15</v>
      </c>
      <c r="I31" s="49">
        <v>0.25</v>
      </c>
      <c r="J31" s="48">
        <f t="shared" si="0"/>
        <v>3.75</v>
      </c>
      <c r="K31" s="48">
        <f t="shared" si="8"/>
        <v>3.75</v>
      </c>
      <c r="L31" s="123">
        <v>0</v>
      </c>
      <c r="M31" s="124">
        <f t="shared" si="9"/>
        <v>0</v>
      </c>
      <c r="N31" s="124">
        <v>0</v>
      </c>
      <c r="O31" s="125">
        <f t="shared" si="10"/>
        <v>0</v>
      </c>
      <c r="P31" s="43"/>
    </row>
    <row r="32" spans="1:16" ht="58" x14ac:dyDescent="0.35">
      <c r="A32" s="46"/>
      <c r="B32" s="126" t="s">
        <v>91</v>
      </c>
      <c r="C32" s="126" t="s">
        <v>92</v>
      </c>
      <c r="D32" s="126" t="s">
        <v>93</v>
      </c>
      <c r="E32" s="45" t="s">
        <v>94</v>
      </c>
      <c r="F32" s="5">
        <f>Data!D10</f>
        <v>56</v>
      </c>
      <c r="G32" s="5">
        <v>1</v>
      </c>
      <c r="H32" s="48">
        <f t="shared" si="11"/>
        <v>56</v>
      </c>
      <c r="I32" s="49">
        <v>1</v>
      </c>
      <c r="J32" s="48">
        <f t="shared" si="0"/>
        <v>56</v>
      </c>
      <c r="K32" s="48">
        <f t="shared" si="8"/>
        <v>56</v>
      </c>
      <c r="L32" s="123">
        <v>0</v>
      </c>
      <c r="M32" s="124">
        <f t="shared" si="9"/>
        <v>0</v>
      </c>
      <c r="N32" s="124">
        <v>0</v>
      </c>
      <c r="O32" s="125">
        <f t="shared" si="10"/>
        <v>0</v>
      </c>
      <c r="P32" s="43"/>
    </row>
    <row r="33" spans="1:16" ht="29" x14ac:dyDescent="0.35">
      <c r="A33" s="46"/>
      <c r="B33" s="126" t="s">
        <v>95</v>
      </c>
      <c r="C33" s="126" t="s">
        <v>96</v>
      </c>
      <c r="D33" s="126" t="s">
        <v>95</v>
      </c>
      <c r="E33" s="45" t="s">
        <v>97</v>
      </c>
      <c r="F33" s="5">
        <f>Data!D10</f>
        <v>56</v>
      </c>
      <c r="G33" s="5">
        <f>ROUND(Data!D27/Data!D10,0)</f>
        <v>390</v>
      </c>
      <c r="H33" s="48">
        <f t="shared" si="11"/>
        <v>21840</v>
      </c>
      <c r="I33" s="49">
        <v>1.67E-2</v>
      </c>
      <c r="J33" s="48">
        <f t="shared" si="0"/>
        <v>364.72800000000001</v>
      </c>
      <c r="K33" s="48">
        <f t="shared" si="8"/>
        <v>364.72800000000001</v>
      </c>
      <c r="L33" s="123">
        <v>0</v>
      </c>
      <c r="M33" s="124">
        <f t="shared" si="9"/>
        <v>0</v>
      </c>
      <c r="N33" s="124">
        <v>0</v>
      </c>
      <c r="O33" s="125">
        <f t="shared" si="10"/>
        <v>0</v>
      </c>
      <c r="P33" s="43"/>
    </row>
    <row r="34" spans="1:16" ht="29" x14ac:dyDescent="0.35">
      <c r="A34" s="46"/>
      <c r="B34" s="126" t="s">
        <v>98</v>
      </c>
      <c r="C34" s="126" t="s">
        <v>99</v>
      </c>
      <c r="D34" s="126" t="s">
        <v>98</v>
      </c>
      <c r="E34" s="45" t="s">
        <v>100</v>
      </c>
      <c r="F34" s="5">
        <f>Data!D10</f>
        <v>56</v>
      </c>
      <c r="G34" s="5">
        <v>5</v>
      </c>
      <c r="H34" s="48">
        <f t="shared" si="11"/>
        <v>280</v>
      </c>
      <c r="I34" s="49">
        <v>0.25</v>
      </c>
      <c r="J34" s="48">
        <f t="shared" si="0"/>
        <v>70</v>
      </c>
      <c r="K34" s="48">
        <f t="shared" si="8"/>
        <v>70</v>
      </c>
      <c r="L34" s="123">
        <v>0</v>
      </c>
      <c r="M34" s="124">
        <f t="shared" si="9"/>
        <v>0</v>
      </c>
      <c r="N34" s="124">
        <v>0</v>
      </c>
      <c r="O34" s="125">
        <f t="shared" si="10"/>
        <v>0</v>
      </c>
      <c r="P34" s="43"/>
    </row>
    <row r="35" spans="1:16" ht="87" customHeight="1" x14ac:dyDescent="0.35">
      <c r="A35" s="46"/>
      <c r="B35" s="126" t="s">
        <v>101</v>
      </c>
      <c r="C35" s="126" t="s">
        <v>102</v>
      </c>
      <c r="D35" s="126" t="s">
        <v>101</v>
      </c>
      <c r="E35" s="45" t="s">
        <v>102</v>
      </c>
      <c r="F35" s="5">
        <f>Data!$D$10</f>
        <v>56</v>
      </c>
      <c r="G35" s="5">
        <v>3</v>
      </c>
      <c r="H35" s="48">
        <f t="shared" si="11"/>
        <v>168</v>
      </c>
      <c r="I35" s="49">
        <v>0.25</v>
      </c>
      <c r="J35" s="48">
        <f t="shared" si="0"/>
        <v>42</v>
      </c>
      <c r="K35" s="48">
        <f t="shared" si="8"/>
        <v>42</v>
      </c>
      <c r="L35" s="123">
        <v>0</v>
      </c>
      <c r="M35" s="124">
        <f t="shared" si="9"/>
        <v>0</v>
      </c>
      <c r="N35" s="124">
        <v>0</v>
      </c>
      <c r="O35" s="125">
        <f t="shared" si="10"/>
        <v>0</v>
      </c>
      <c r="P35" s="43"/>
    </row>
    <row r="36" spans="1:16" ht="58" x14ac:dyDescent="0.35">
      <c r="A36" s="46"/>
      <c r="B36" s="126" t="s">
        <v>103</v>
      </c>
      <c r="C36" s="126" t="s">
        <v>104</v>
      </c>
      <c r="D36" s="126" t="s">
        <v>103</v>
      </c>
      <c r="E36" s="45" t="s">
        <v>104</v>
      </c>
      <c r="F36" s="5">
        <f>Data!$D$10</f>
        <v>56</v>
      </c>
      <c r="G36" s="5">
        <v>3</v>
      </c>
      <c r="H36" s="48">
        <f t="shared" si="11"/>
        <v>168</v>
      </c>
      <c r="I36" s="49">
        <v>8.3500000000000005E-2</v>
      </c>
      <c r="J36" s="48">
        <f t="shared" si="0"/>
        <v>14.028</v>
      </c>
      <c r="K36" s="48">
        <f t="shared" si="8"/>
        <v>14.028</v>
      </c>
      <c r="L36" s="123">
        <v>0</v>
      </c>
      <c r="M36" s="124">
        <f t="shared" si="9"/>
        <v>0</v>
      </c>
      <c r="N36" s="124">
        <v>0</v>
      </c>
      <c r="O36" s="125">
        <f t="shared" si="10"/>
        <v>0</v>
      </c>
      <c r="P36" s="43"/>
    </row>
    <row r="37" spans="1:16" ht="43.5" x14ac:dyDescent="0.35">
      <c r="A37" s="46"/>
      <c r="B37" s="126" t="s">
        <v>105</v>
      </c>
      <c r="C37" s="126" t="s">
        <v>106</v>
      </c>
      <c r="D37" s="126" t="s">
        <v>105</v>
      </c>
      <c r="E37" s="45" t="s">
        <v>106</v>
      </c>
      <c r="F37" s="5">
        <f>Data!$D$10</f>
        <v>56</v>
      </c>
      <c r="G37" s="5">
        <v>3</v>
      </c>
      <c r="H37" s="48">
        <f t="shared" si="11"/>
        <v>168</v>
      </c>
      <c r="I37" s="49">
        <v>2</v>
      </c>
      <c r="J37" s="48">
        <f t="shared" si="0"/>
        <v>336</v>
      </c>
      <c r="K37" s="48">
        <f t="shared" si="8"/>
        <v>336</v>
      </c>
      <c r="L37" s="123">
        <v>0</v>
      </c>
      <c r="M37" s="124">
        <f t="shared" si="9"/>
        <v>0</v>
      </c>
      <c r="N37" s="124">
        <v>0</v>
      </c>
      <c r="O37" s="125">
        <f t="shared" si="10"/>
        <v>0</v>
      </c>
      <c r="P37" s="43"/>
    </row>
    <row r="38" spans="1:16" ht="43.5" x14ac:dyDescent="0.35">
      <c r="A38" s="46"/>
      <c r="B38" s="126" t="s">
        <v>107</v>
      </c>
      <c r="C38" s="126" t="s">
        <v>108</v>
      </c>
      <c r="D38" s="126" t="s">
        <v>107</v>
      </c>
      <c r="E38" s="45" t="s">
        <v>108</v>
      </c>
      <c r="F38" s="5">
        <f>Data!$D$10</f>
        <v>56</v>
      </c>
      <c r="G38" s="5">
        <v>3</v>
      </c>
      <c r="H38" s="48">
        <f t="shared" si="11"/>
        <v>168</v>
      </c>
      <c r="I38" s="49">
        <v>4</v>
      </c>
      <c r="J38" s="48">
        <f t="shared" si="0"/>
        <v>672</v>
      </c>
      <c r="K38" s="48">
        <f t="shared" si="8"/>
        <v>672</v>
      </c>
      <c r="L38" s="123">
        <v>0</v>
      </c>
      <c r="M38" s="124">
        <f t="shared" si="9"/>
        <v>0</v>
      </c>
      <c r="N38" s="124">
        <v>0</v>
      </c>
      <c r="O38" s="125">
        <f t="shared" si="10"/>
        <v>0</v>
      </c>
      <c r="P38" s="43"/>
    </row>
    <row r="39" spans="1:16" ht="83.5" customHeight="1" x14ac:dyDescent="0.35">
      <c r="A39" s="46"/>
      <c r="B39" s="126" t="s">
        <v>109</v>
      </c>
      <c r="C39" s="126" t="s">
        <v>110</v>
      </c>
      <c r="D39" s="126" t="s">
        <v>109</v>
      </c>
      <c r="E39" s="45" t="s">
        <v>110</v>
      </c>
      <c r="F39" s="5">
        <f>Data!$D$10</f>
        <v>56</v>
      </c>
      <c r="G39" s="5">
        <v>3</v>
      </c>
      <c r="H39" s="48">
        <f t="shared" si="11"/>
        <v>168</v>
      </c>
      <c r="I39" s="49">
        <v>0.5</v>
      </c>
      <c r="J39" s="48">
        <f t="shared" si="0"/>
        <v>84</v>
      </c>
      <c r="K39" s="48">
        <f t="shared" si="8"/>
        <v>84</v>
      </c>
      <c r="L39" s="123">
        <v>0</v>
      </c>
      <c r="M39" s="124">
        <f t="shared" si="9"/>
        <v>0</v>
      </c>
      <c r="N39" s="124">
        <v>0</v>
      </c>
      <c r="O39" s="125">
        <f t="shared" si="10"/>
        <v>0</v>
      </c>
      <c r="P39" s="43"/>
    </row>
    <row r="40" spans="1:16" ht="83.5" customHeight="1" x14ac:dyDescent="0.35">
      <c r="A40" s="147" t="s">
        <v>476</v>
      </c>
      <c r="B40" s="148" t="s">
        <v>413</v>
      </c>
      <c r="C40" s="148" t="s">
        <v>414</v>
      </c>
      <c r="D40" s="148" t="s">
        <v>413</v>
      </c>
      <c r="E40" s="149" t="s">
        <v>489</v>
      </c>
      <c r="F40" s="150">
        <v>5</v>
      </c>
      <c r="G40" s="150">
        <v>1</v>
      </c>
      <c r="H40" s="151">
        <f>F40*G40</f>
        <v>5</v>
      </c>
      <c r="I40" s="156">
        <v>4</v>
      </c>
      <c r="J40" s="151">
        <f>H40*I40</f>
        <v>20</v>
      </c>
      <c r="K40" s="151">
        <v>0</v>
      </c>
      <c r="L40" s="152">
        <v>0</v>
      </c>
      <c r="M40" s="153">
        <f>J40-K40</f>
        <v>20</v>
      </c>
      <c r="N40" s="153">
        <v>0</v>
      </c>
      <c r="O40" s="154">
        <f t="shared" si="10"/>
        <v>20</v>
      </c>
      <c r="P40" s="157" t="s">
        <v>412</v>
      </c>
    </row>
    <row r="41" spans="1:16" ht="58" x14ac:dyDescent="0.35">
      <c r="A41" s="46"/>
      <c r="B41" s="126" t="s">
        <v>111</v>
      </c>
      <c r="C41" s="126" t="s">
        <v>112</v>
      </c>
      <c r="D41" s="126" t="s">
        <v>113</v>
      </c>
      <c r="E41" s="45" t="s">
        <v>490</v>
      </c>
      <c r="F41" s="5">
        <f>Data!D16</f>
        <v>18</v>
      </c>
      <c r="G41" s="5">
        <v>1</v>
      </c>
      <c r="H41" s="48">
        <f t="shared" si="11"/>
        <v>18</v>
      </c>
      <c r="I41" s="49">
        <v>0.25</v>
      </c>
      <c r="J41" s="48">
        <f t="shared" si="0"/>
        <v>4.5</v>
      </c>
      <c r="K41" s="48">
        <f t="shared" si="8"/>
        <v>4.5</v>
      </c>
      <c r="L41" s="123">
        <v>0</v>
      </c>
      <c r="M41" s="124">
        <f t="shared" si="9"/>
        <v>0</v>
      </c>
      <c r="N41" s="124">
        <v>0</v>
      </c>
      <c r="O41" s="125">
        <f t="shared" si="10"/>
        <v>0</v>
      </c>
      <c r="P41" s="43"/>
    </row>
    <row r="42" spans="1:16" ht="43.5" x14ac:dyDescent="0.35">
      <c r="A42" s="147" t="s">
        <v>476</v>
      </c>
      <c r="B42" s="148" t="s">
        <v>425</v>
      </c>
      <c r="C42" s="148" t="s">
        <v>426</v>
      </c>
      <c r="D42" s="148" t="s">
        <v>425</v>
      </c>
      <c r="E42" s="149" t="s">
        <v>426</v>
      </c>
      <c r="F42" s="150">
        <v>56</v>
      </c>
      <c r="G42" s="151">
        <f>(3257+18601)/56</f>
        <v>390.32142857142856</v>
      </c>
      <c r="H42" s="151">
        <f>56*390</f>
        <v>21840</v>
      </c>
      <c r="I42" s="156">
        <f>10/60</f>
        <v>0.16666666666666666</v>
      </c>
      <c r="J42" s="151">
        <f>H42*I42</f>
        <v>3640</v>
      </c>
      <c r="K42" s="151">
        <v>0</v>
      </c>
      <c r="L42" s="152">
        <v>0</v>
      </c>
      <c r="M42" s="153">
        <f>J42-K42</f>
        <v>3640</v>
      </c>
      <c r="N42" s="153">
        <v>0</v>
      </c>
      <c r="O42" s="154">
        <f t="shared" si="10"/>
        <v>3640</v>
      </c>
      <c r="P42" s="155" t="s">
        <v>412</v>
      </c>
    </row>
    <row r="43" spans="1:16" ht="72.5" x14ac:dyDescent="0.35">
      <c r="A43" s="46"/>
      <c r="B43" s="126" t="s">
        <v>114</v>
      </c>
      <c r="C43" s="126" t="s">
        <v>115</v>
      </c>
      <c r="D43" s="126" t="s">
        <v>114</v>
      </c>
      <c r="E43" s="45" t="s">
        <v>491</v>
      </c>
      <c r="F43" s="5">
        <f>Data!D17</f>
        <v>15</v>
      </c>
      <c r="G43" s="5">
        <v>1</v>
      </c>
      <c r="H43" s="48">
        <f t="shared" si="11"/>
        <v>15</v>
      </c>
      <c r="I43" s="49">
        <v>0.25</v>
      </c>
      <c r="J43" s="48">
        <f t="shared" si="0"/>
        <v>3.75</v>
      </c>
      <c r="K43" s="48">
        <f t="shared" si="8"/>
        <v>3.75</v>
      </c>
      <c r="L43" s="123">
        <v>0</v>
      </c>
      <c r="M43" s="124">
        <f t="shared" si="9"/>
        <v>0</v>
      </c>
      <c r="N43" s="124">
        <v>0</v>
      </c>
      <c r="O43" s="125">
        <f t="shared" si="10"/>
        <v>0</v>
      </c>
      <c r="P43" s="43"/>
    </row>
    <row r="44" spans="1:16" ht="232" x14ac:dyDescent="0.35">
      <c r="A44" s="46"/>
      <c r="B44" s="126" t="s">
        <v>116</v>
      </c>
      <c r="C44" s="126" t="s">
        <v>117</v>
      </c>
      <c r="D44" s="126" t="s">
        <v>116</v>
      </c>
      <c r="E44" s="45" t="s">
        <v>492</v>
      </c>
      <c r="F44" s="5">
        <f>Data!$D$10</f>
        <v>56</v>
      </c>
      <c r="G44" s="5">
        <f>ROUND(ROUND(Data!$D$27/Data!$D$10,0)*0.33,0)</f>
        <v>129</v>
      </c>
      <c r="H44" s="48">
        <f t="shared" si="11"/>
        <v>7224</v>
      </c>
      <c r="I44" s="49">
        <v>20</v>
      </c>
      <c r="J44" s="48">
        <f t="shared" si="0"/>
        <v>144480</v>
      </c>
      <c r="K44" s="48">
        <f t="shared" si="8"/>
        <v>144480</v>
      </c>
      <c r="L44" s="123">
        <v>0</v>
      </c>
      <c r="M44" s="124">
        <f t="shared" si="9"/>
        <v>0</v>
      </c>
      <c r="N44" s="124">
        <v>0</v>
      </c>
      <c r="O44" s="125">
        <f t="shared" si="10"/>
        <v>0</v>
      </c>
      <c r="P44" s="43"/>
    </row>
    <row r="45" spans="1:16" ht="72.5" x14ac:dyDescent="0.35">
      <c r="A45" s="147" t="s">
        <v>476</v>
      </c>
      <c r="B45" s="148" t="s">
        <v>116</v>
      </c>
      <c r="C45" s="148" t="s">
        <v>417</v>
      </c>
      <c r="D45" s="148" t="s">
        <v>116</v>
      </c>
      <c r="E45" s="149" t="s">
        <v>417</v>
      </c>
      <c r="F45" s="150">
        <v>56</v>
      </c>
      <c r="G45" s="150">
        <v>20</v>
      </c>
      <c r="H45" s="151">
        <f t="shared" si="11"/>
        <v>1120</v>
      </c>
      <c r="I45" s="156">
        <v>4</v>
      </c>
      <c r="J45" s="151">
        <f t="shared" si="0"/>
        <v>4480</v>
      </c>
      <c r="K45" s="151">
        <v>0</v>
      </c>
      <c r="L45" s="152">
        <v>0</v>
      </c>
      <c r="M45" s="153">
        <f>J45-K45</f>
        <v>4480</v>
      </c>
      <c r="N45" s="153">
        <v>0</v>
      </c>
      <c r="O45" s="154">
        <f t="shared" si="10"/>
        <v>4480</v>
      </c>
      <c r="P45" s="155" t="s">
        <v>412</v>
      </c>
    </row>
    <row r="46" spans="1:16" ht="43.5" x14ac:dyDescent="0.35">
      <c r="A46" s="46"/>
      <c r="B46" s="126" t="s">
        <v>118</v>
      </c>
      <c r="C46" s="126" t="s">
        <v>119</v>
      </c>
      <c r="D46" s="126" t="s">
        <v>120</v>
      </c>
      <c r="E46" s="45" t="s">
        <v>121</v>
      </c>
      <c r="F46" s="5">
        <f>Data!D18</f>
        <v>15</v>
      </c>
      <c r="G46" s="5">
        <v>1</v>
      </c>
      <c r="H46" s="48">
        <f t="shared" si="11"/>
        <v>15</v>
      </c>
      <c r="I46" s="49">
        <v>6</v>
      </c>
      <c r="J46" s="48">
        <f t="shared" si="0"/>
        <v>90</v>
      </c>
      <c r="K46" s="48">
        <f t="shared" si="8"/>
        <v>90</v>
      </c>
      <c r="L46" s="123">
        <v>0</v>
      </c>
      <c r="M46" s="124">
        <f t="shared" si="9"/>
        <v>0</v>
      </c>
      <c r="N46" s="124">
        <v>0</v>
      </c>
      <c r="O46" s="125">
        <f t="shared" si="10"/>
        <v>0</v>
      </c>
      <c r="P46" s="43"/>
    </row>
    <row r="47" spans="1:16" ht="58" x14ac:dyDescent="0.35">
      <c r="A47" s="147" t="s">
        <v>476</v>
      </c>
      <c r="B47" s="148" t="s">
        <v>120</v>
      </c>
      <c r="C47" s="148" t="s">
        <v>427</v>
      </c>
      <c r="D47" s="148" t="s">
        <v>120</v>
      </c>
      <c r="E47" s="149" t="s">
        <v>427</v>
      </c>
      <c r="F47" s="150">
        <v>56</v>
      </c>
      <c r="G47" s="150">
        <v>1</v>
      </c>
      <c r="H47" s="151">
        <f t="shared" si="11"/>
        <v>56</v>
      </c>
      <c r="I47" s="156">
        <v>6</v>
      </c>
      <c r="J47" s="151">
        <f t="shared" si="0"/>
        <v>336</v>
      </c>
      <c r="K47" s="151">
        <v>0</v>
      </c>
      <c r="L47" s="152">
        <v>0</v>
      </c>
      <c r="M47" s="153">
        <f>J47-K47</f>
        <v>336</v>
      </c>
      <c r="N47" s="153">
        <v>0</v>
      </c>
      <c r="O47" s="154">
        <f t="shared" si="10"/>
        <v>336</v>
      </c>
      <c r="P47" s="155" t="s">
        <v>412</v>
      </c>
    </row>
    <row r="48" spans="1:16" ht="72.5" x14ac:dyDescent="0.35">
      <c r="A48" s="46"/>
      <c r="B48" s="126" t="s">
        <v>122</v>
      </c>
      <c r="C48" s="126" t="s">
        <v>123</v>
      </c>
      <c r="D48" s="126" t="s">
        <v>122</v>
      </c>
      <c r="E48" s="59" t="s">
        <v>123</v>
      </c>
      <c r="F48" s="5">
        <f>Data!$D$10</f>
        <v>56</v>
      </c>
      <c r="G48" s="5">
        <v>1</v>
      </c>
      <c r="H48" s="48">
        <f t="shared" ref="H48:H50" si="16">F48*G48</f>
        <v>56</v>
      </c>
      <c r="I48" s="49">
        <v>0.25</v>
      </c>
      <c r="J48" s="48">
        <f t="shared" ref="J48:J50" si="17">H48*I48</f>
        <v>14</v>
      </c>
      <c r="K48" s="48">
        <f t="shared" si="8"/>
        <v>14</v>
      </c>
      <c r="L48" s="123">
        <v>0</v>
      </c>
      <c r="M48" s="124">
        <f t="shared" si="9"/>
        <v>0</v>
      </c>
      <c r="N48" s="124">
        <v>0</v>
      </c>
      <c r="O48" s="125">
        <f t="shared" si="10"/>
        <v>0</v>
      </c>
      <c r="P48" s="43"/>
    </row>
    <row r="49" spans="1:16" ht="72.5" x14ac:dyDescent="0.35">
      <c r="A49" s="147" t="s">
        <v>476</v>
      </c>
      <c r="B49" s="148" t="s">
        <v>418</v>
      </c>
      <c r="C49" s="148" t="s">
        <v>419</v>
      </c>
      <c r="D49" s="148" t="s">
        <v>418</v>
      </c>
      <c r="E49" s="159" t="s">
        <v>419</v>
      </c>
      <c r="F49" s="150">
        <v>56</v>
      </c>
      <c r="G49" s="150">
        <v>1</v>
      </c>
      <c r="H49" s="151">
        <f t="shared" si="16"/>
        <v>56</v>
      </c>
      <c r="I49" s="156">
        <v>1</v>
      </c>
      <c r="J49" s="151">
        <f t="shared" si="17"/>
        <v>56</v>
      </c>
      <c r="K49" s="151">
        <v>0</v>
      </c>
      <c r="L49" s="152">
        <v>0</v>
      </c>
      <c r="M49" s="153">
        <f>J49-K49</f>
        <v>56</v>
      </c>
      <c r="N49" s="153">
        <v>0</v>
      </c>
      <c r="O49" s="154">
        <f t="shared" si="10"/>
        <v>56</v>
      </c>
      <c r="P49" s="155" t="s">
        <v>412</v>
      </c>
    </row>
    <row r="50" spans="1:16" ht="72.5" x14ac:dyDescent="0.35">
      <c r="A50" s="147" t="s">
        <v>476</v>
      </c>
      <c r="B50" s="148" t="s">
        <v>420</v>
      </c>
      <c r="C50" s="148" t="s">
        <v>421</v>
      </c>
      <c r="D50" s="148" t="s">
        <v>420</v>
      </c>
      <c r="E50" s="159" t="s">
        <v>421</v>
      </c>
      <c r="F50" s="150">
        <v>56</v>
      </c>
      <c r="G50" s="150">
        <v>1</v>
      </c>
      <c r="H50" s="151">
        <f t="shared" si="16"/>
        <v>56</v>
      </c>
      <c r="I50" s="156">
        <v>1</v>
      </c>
      <c r="J50" s="151">
        <f t="shared" si="17"/>
        <v>56</v>
      </c>
      <c r="K50" s="151">
        <v>0</v>
      </c>
      <c r="L50" s="152">
        <v>0</v>
      </c>
      <c r="M50" s="153">
        <f>J50-K50</f>
        <v>56</v>
      </c>
      <c r="N50" s="153">
        <v>0</v>
      </c>
      <c r="O50" s="154">
        <f t="shared" si="10"/>
        <v>56</v>
      </c>
      <c r="P50" s="155" t="s">
        <v>412</v>
      </c>
    </row>
    <row r="51" spans="1:16" ht="43.5" x14ac:dyDescent="0.35">
      <c r="A51" s="46"/>
      <c r="B51" s="126" t="s">
        <v>124</v>
      </c>
      <c r="C51" s="126" t="s">
        <v>125</v>
      </c>
      <c r="D51" s="126" t="s">
        <v>126</v>
      </c>
      <c r="E51" s="59" t="s">
        <v>493</v>
      </c>
      <c r="F51" s="5">
        <f>ROUND(Data!D10/2,0)</f>
        <v>28</v>
      </c>
      <c r="G51" s="5">
        <v>1</v>
      </c>
      <c r="H51" s="48">
        <f t="shared" si="11"/>
        <v>28</v>
      </c>
      <c r="I51" s="49">
        <v>5</v>
      </c>
      <c r="J51" s="48">
        <f t="shared" si="0"/>
        <v>140</v>
      </c>
      <c r="K51" s="48">
        <f t="shared" si="8"/>
        <v>140</v>
      </c>
      <c r="L51" s="123">
        <v>0</v>
      </c>
      <c r="M51" s="124">
        <f t="shared" si="9"/>
        <v>0</v>
      </c>
      <c r="N51" s="124">
        <v>0</v>
      </c>
      <c r="O51" s="125">
        <f t="shared" si="10"/>
        <v>0</v>
      </c>
      <c r="P51" s="43"/>
    </row>
    <row r="52" spans="1:16" ht="43.5" x14ac:dyDescent="0.35">
      <c r="A52" s="46"/>
      <c r="B52" s="126" t="s">
        <v>127</v>
      </c>
      <c r="C52" s="126" t="s">
        <v>128</v>
      </c>
      <c r="D52" s="126" t="s">
        <v>127</v>
      </c>
      <c r="E52" s="59" t="s">
        <v>494</v>
      </c>
      <c r="F52" s="5">
        <f>Data!D10</f>
        <v>56</v>
      </c>
      <c r="G52" s="5">
        <v>0</v>
      </c>
      <c r="H52" s="48">
        <f t="shared" ref="H52" si="18">F52*G52</f>
        <v>0</v>
      </c>
      <c r="I52" s="49">
        <v>0</v>
      </c>
      <c r="J52" s="48">
        <f t="shared" ref="J52" si="19">H52*I52</f>
        <v>0</v>
      </c>
      <c r="K52" s="48">
        <v>0</v>
      </c>
      <c r="L52" s="123">
        <v>0</v>
      </c>
      <c r="M52" s="124">
        <f t="shared" si="9"/>
        <v>0</v>
      </c>
      <c r="N52" s="124">
        <v>0</v>
      </c>
      <c r="O52" s="125">
        <f t="shared" si="10"/>
        <v>0</v>
      </c>
      <c r="P52" s="43" t="s">
        <v>129</v>
      </c>
    </row>
    <row r="53" spans="1:16" ht="29" x14ac:dyDescent="0.35">
      <c r="A53" s="46"/>
      <c r="B53" s="126" t="s">
        <v>130</v>
      </c>
      <c r="C53" s="126" t="s">
        <v>131</v>
      </c>
      <c r="D53" s="126" t="s">
        <v>130</v>
      </c>
      <c r="E53" s="59" t="s">
        <v>131</v>
      </c>
      <c r="F53" s="5">
        <f>Data!D10</f>
        <v>56</v>
      </c>
      <c r="G53" s="5">
        <v>1</v>
      </c>
      <c r="H53" s="48">
        <f t="shared" si="11"/>
        <v>56</v>
      </c>
      <c r="I53" s="49">
        <v>2</v>
      </c>
      <c r="J53" s="48">
        <f t="shared" si="0"/>
        <v>112</v>
      </c>
      <c r="K53" s="48">
        <f t="shared" si="8"/>
        <v>112</v>
      </c>
      <c r="L53" s="123">
        <v>0</v>
      </c>
      <c r="M53" s="124">
        <f>J53-K53</f>
        <v>0</v>
      </c>
      <c r="N53" s="124">
        <v>0</v>
      </c>
      <c r="O53" s="125">
        <f t="shared" si="10"/>
        <v>0</v>
      </c>
      <c r="P53" s="131"/>
    </row>
    <row r="54" spans="1:16" ht="29" x14ac:dyDescent="0.35">
      <c r="A54" s="46"/>
      <c r="B54" s="126" t="s">
        <v>132</v>
      </c>
      <c r="C54" s="126" t="s">
        <v>133</v>
      </c>
      <c r="D54" s="126" t="s">
        <v>132</v>
      </c>
      <c r="E54" s="59" t="s">
        <v>133</v>
      </c>
      <c r="F54" s="5">
        <f>Data!$D$10</f>
        <v>56</v>
      </c>
      <c r="G54" s="5">
        <f>ROUND(Data!$D$27/Data!$D$10,0)</f>
        <v>390</v>
      </c>
      <c r="H54" s="48">
        <f t="shared" si="11"/>
        <v>21840</v>
      </c>
      <c r="I54" s="49">
        <v>2</v>
      </c>
      <c r="J54" s="48">
        <f t="shared" si="0"/>
        <v>43680</v>
      </c>
      <c r="K54" s="48">
        <f t="shared" si="8"/>
        <v>43680</v>
      </c>
      <c r="L54" s="123">
        <v>0</v>
      </c>
      <c r="M54" s="124">
        <f t="shared" ref="M54:M60" si="20">J54-K54</f>
        <v>0</v>
      </c>
      <c r="N54" s="124">
        <v>0</v>
      </c>
      <c r="O54" s="125">
        <f t="shared" ref="O54:O61" si="21">+J54-K54</f>
        <v>0</v>
      </c>
      <c r="P54" s="43"/>
    </row>
    <row r="55" spans="1:16" ht="58" x14ac:dyDescent="0.35">
      <c r="A55" s="147" t="s">
        <v>476</v>
      </c>
      <c r="B55" s="148" t="s">
        <v>430</v>
      </c>
      <c r="C55" s="148" t="s">
        <v>431</v>
      </c>
      <c r="D55" s="148" t="s">
        <v>430</v>
      </c>
      <c r="E55" s="159" t="s">
        <v>431</v>
      </c>
      <c r="F55" s="150">
        <v>56</v>
      </c>
      <c r="G55" s="151">
        <f>(540+83)/56</f>
        <v>11.125</v>
      </c>
      <c r="H55" s="151">
        <f t="shared" si="11"/>
        <v>623</v>
      </c>
      <c r="I55" s="156">
        <v>1</v>
      </c>
      <c r="J55" s="151">
        <f t="shared" si="0"/>
        <v>623</v>
      </c>
      <c r="K55" s="151">
        <v>0</v>
      </c>
      <c r="L55" s="152">
        <v>0</v>
      </c>
      <c r="M55" s="153">
        <f>J55-K55</f>
        <v>623</v>
      </c>
      <c r="N55" s="153">
        <v>0</v>
      </c>
      <c r="O55" s="154">
        <f t="shared" si="21"/>
        <v>623</v>
      </c>
      <c r="P55" s="155" t="s">
        <v>412</v>
      </c>
    </row>
    <row r="56" spans="1:16" ht="43.5" x14ac:dyDescent="0.35">
      <c r="A56" s="46"/>
      <c r="B56" s="126" t="s">
        <v>134</v>
      </c>
      <c r="C56" s="126" t="s">
        <v>135</v>
      </c>
      <c r="D56" s="126" t="s">
        <v>136</v>
      </c>
      <c r="E56" s="59" t="s">
        <v>135</v>
      </c>
      <c r="F56" s="5">
        <f>Data!D20</f>
        <v>10</v>
      </c>
      <c r="G56" s="5">
        <v>1</v>
      </c>
      <c r="H56" s="48">
        <f t="shared" si="11"/>
        <v>10</v>
      </c>
      <c r="I56" s="49">
        <v>2</v>
      </c>
      <c r="J56" s="48">
        <f t="shared" si="0"/>
        <v>20</v>
      </c>
      <c r="K56" s="48">
        <f t="shared" si="8"/>
        <v>20</v>
      </c>
      <c r="L56" s="123">
        <v>0</v>
      </c>
      <c r="M56" s="124">
        <f t="shared" si="20"/>
        <v>0</v>
      </c>
      <c r="N56" s="124">
        <v>0</v>
      </c>
      <c r="O56" s="125">
        <f t="shared" si="21"/>
        <v>0</v>
      </c>
      <c r="P56" s="43"/>
    </row>
    <row r="57" spans="1:16" ht="130.5" x14ac:dyDescent="0.35">
      <c r="A57" s="147" t="s">
        <v>476</v>
      </c>
      <c r="B57" s="148" t="s">
        <v>432</v>
      </c>
      <c r="C57" s="148" t="s">
        <v>433</v>
      </c>
      <c r="D57" s="148" t="s">
        <v>432</v>
      </c>
      <c r="E57" s="159" t="s">
        <v>433</v>
      </c>
      <c r="F57" s="150">
        <v>56</v>
      </c>
      <c r="G57" s="150">
        <v>1</v>
      </c>
      <c r="H57" s="151">
        <f t="shared" si="11"/>
        <v>56</v>
      </c>
      <c r="I57" s="156">
        <v>2</v>
      </c>
      <c r="J57" s="151">
        <f t="shared" si="0"/>
        <v>112</v>
      </c>
      <c r="K57" s="151">
        <v>0</v>
      </c>
      <c r="L57" s="152">
        <v>0</v>
      </c>
      <c r="M57" s="153">
        <f>J57-K57</f>
        <v>112</v>
      </c>
      <c r="N57" s="153">
        <v>0</v>
      </c>
      <c r="O57" s="154">
        <f t="shared" si="21"/>
        <v>112</v>
      </c>
      <c r="P57" s="155" t="s">
        <v>412</v>
      </c>
    </row>
    <row r="58" spans="1:16" x14ac:dyDescent="0.35">
      <c r="A58" s="46"/>
      <c r="B58" s="126" t="s">
        <v>137</v>
      </c>
      <c r="C58" s="126" t="s">
        <v>138</v>
      </c>
      <c r="D58" s="126" t="s">
        <v>139</v>
      </c>
      <c r="E58" s="59" t="s">
        <v>138</v>
      </c>
      <c r="F58" s="5">
        <f>Data!D10</f>
        <v>56</v>
      </c>
      <c r="G58" s="5">
        <v>12</v>
      </c>
      <c r="H58" s="48">
        <f t="shared" si="11"/>
        <v>672</v>
      </c>
      <c r="I58" s="49">
        <v>1</v>
      </c>
      <c r="J58" s="48">
        <f t="shared" si="0"/>
        <v>672</v>
      </c>
      <c r="K58" s="48">
        <f t="shared" si="8"/>
        <v>672</v>
      </c>
      <c r="L58" s="123">
        <v>0</v>
      </c>
      <c r="M58" s="124">
        <f t="shared" si="20"/>
        <v>0</v>
      </c>
      <c r="N58" s="124">
        <v>0</v>
      </c>
      <c r="O58" s="125">
        <f t="shared" si="21"/>
        <v>0</v>
      </c>
      <c r="P58" s="43"/>
    </row>
    <row r="59" spans="1:16" ht="29" x14ac:dyDescent="0.35">
      <c r="A59" s="46"/>
      <c r="B59" s="126" t="s">
        <v>140</v>
      </c>
      <c r="C59" s="126" t="s">
        <v>141</v>
      </c>
      <c r="D59" s="126" t="s">
        <v>142</v>
      </c>
      <c r="E59" s="59" t="s">
        <v>141</v>
      </c>
      <c r="F59" s="5">
        <f>Data!D10</f>
        <v>56</v>
      </c>
      <c r="G59" s="5">
        <v>1</v>
      </c>
      <c r="H59" s="48">
        <f t="shared" si="11"/>
        <v>56</v>
      </c>
      <c r="I59" s="49">
        <v>0.25</v>
      </c>
      <c r="J59" s="48">
        <f t="shared" si="0"/>
        <v>14</v>
      </c>
      <c r="K59" s="48">
        <f t="shared" si="8"/>
        <v>14</v>
      </c>
      <c r="L59" s="123">
        <v>0</v>
      </c>
      <c r="M59" s="124">
        <f t="shared" si="20"/>
        <v>0</v>
      </c>
      <c r="N59" s="124">
        <v>0</v>
      </c>
      <c r="O59" s="125">
        <f t="shared" si="21"/>
        <v>0</v>
      </c>
      <c r="P59" s="43"/>
    </row>
    <row r="60" spans="1:16" ht="58" x14ac:dyDescent="0.35">
      <c r="A60" s="46"/>
      <c r="B60" s="126" t="s">
        <v>143</v>
      </c>
      <c r="C60" s="126" t="s">
        <v>144</v>
      </c>
      <c r="D60" s="126" t="s">
        <v>143</v>
      </c>
      <c r="E60" s="59" t="s">
        <v>144</v>
      </c>
      <c r="F60" s="5">
        <f>Data!D10</f>
        <v>56</v>
      </c>
      <c r="G60" s="5">
        <v>12</v>
      </c>
      <c r="H60" s="48">
        <f t="shared" si="11"/>
        <v>672</v>
      </c>
      <c r="I60" s="49">
        <v>2</v>
      </c>
      <c r="J60" s="48">
        <f t="shared" si="0"/>
        <v>1344</v>
      </c>
      <c r="K60" s="48">
        <f t="shared" si="8"/>
        <v>1344</v>
      </c>
      <c r="L60" s="123">
        <v>0</v>
      </c>
      <c r="M60" s="124">
        <f t="shared" si="20"/>
        <v>0</v>
      </c>
      <c r="N60" s="124">
        <v>0</v>
      </c>
      <c r="O60" s="125">
        <f t="shared" si="21"/>
        <v>0</v>
      </c>
      <c r="P60" s="43"/>
    </row>
    <row r="61" spans="1:16" ht="87" x14ac:dyDescent="0.35">
      <c r="A61" s="149" t="s">
        <v>476</v>
      </c>
      <c r="B61" s="148" t="s">
        <v>428</v>
      </c>
      <c r="C61" s="148" t="s">
        <v>429</v>
      </c>
      <c r="D61" s="148" t="s">
        <v>428</v>
      </c>
      <c r="E61" s="149" t="s">
        <v>429</v>
      </c>
      <c r="F61" s="150">
        <v>56</v>
      </c>
      <c r="G61" s="151">
        <f>(540+83)/56</f>
        <v>11.125</v>
      </c>
      <c r="H61" s="150">
        <f t="shared" si="11"/>
        <v>623</v>
      </c>
      <c r="I61" s="161">
        <f>10/60</f>
        <v>0.16666666666666666</v>
      </c>
      <c r="J61" s="151">
        <f t="shared" si="0"/>
        <v>103.83333333333333</v>
      </c>
      <c r="K61" s="152">
        <v>0</v>
      </c>
      <c r="L61" s="152">
        <v>0</v>
      </c>
      <c r="M61" s="153">
        <f t="shared" ref="M61:M66" si="22">J61-K61</f>
        <v>103.83333333333333</v>
      </c>
      <c r="N61" s="153">
        <v>0</v>
      </c>
      <c r="O61" s="154">
        <f t="shared" si="21"/>
        <v>103.83333333333333</v>
      </c>
      <c r="P61" s="155" t="s">
        <v>412</v>
      </c>
    </row>
    <row r="62" spans="1:16" ht="29" x14ac:dyDescent="0.35">
      <c r="A62" s="45"/>
      <c r="B62" s="126" t="s">
        <v>145</v>
      </c>
      <c r="C62" s="126" t="s">
        <v>146</v>
      </c>
      <c r="D62" s="126" t="s">
        <v>147</v>
      </c>
      <c r="E62" s="45" t="s">
        <v>146</v>
      </c>
      <c r="F62" s="5">
        <f>Data!D10</f>
        <v>56</v>
      </c>
      <c r="G62" s="48">
        <f>ROUND(ROUND(Data!D27/Data!D10,0)*0.1,0)</f>
        <v>39</v>
      </c>
      <c r="H62" s="5">
        <f t="shared" si="11"/>
        <v>2184</v>
      </c>
      <c r="I62" s="60">
        <v>1.67E-2</v>
      </c>
      <c r="J62" s="48">
        <f t="shared" si="0"/>
        <v>36.472799999999999</v>
      </c>
      <c r="K62" s="123">
        <f t="shared" si="8"/>
        <v>36.472799999999999</v>
      </c>
      <c r="L62" s="123">
        <v>0</v>
      </c>
      <c r="M62" s="124">
        <f t="shared" si="22"/>
        <v>0</v>
      </c>
      <c r="N62" s="124">
        <v>0</v>
      </c>
      <c r="O62" s="125">
        <f t="shared" ref="O62:O66" si="23">+J62-K62</f>
        <v>0</v>
      </c>
      <c r="P62" s="43"/>
    </row>
    <row r="63" spans="1:16" ht="58" x14ac:dyDescent="0.35">
      <c r="A63" s="45"/>
      <c r="B63" s="126" t="s">
        <v>148</v>
      </c>
      <c r="C63" s="126" t="s">
        <v>149</v>
      </c>
      <c r="D63" s="126" t="s">
        <v>148</v>
      </c>
      <c r="E63" s="45" t="s">
        <v>149</v>
      </c>
      <c r="F63" s="5">
        <v>0</v>
      </c>
      <c r="G63" s="48">
        <v>0</v>
      </c>
      <c r="H63" s="5">
        <f t="shared" si="11"/>
        <v>0</v>
      </c>
      <c r="I63" s="60">
        <v>0</v>
      </c>
      <c r="J63" s="48">
        <f t="shared" si="0"/>
        <v>0</v>
      </c>
      <c r="K63" s="123">
        <f t="shared" si="8"/>
        <v>0</v>
      </c>
      <c r="L63" s="123">
        <v>0</v>
      </c>
      <c r="M63" s="124">
        <f t="shared" si="22"/>
        <v>0</v>
      </c>
      <c r="N63" s="124">
        <v>0</v>
      </c>
      <c r="O63" s="125">
        <f t="shared" si="23"/>
        <v>0</v>
      </c>
      <c r="P63" s="43"/>
    </row>
    <row r="64" spans="1:16" ht="43.5" x14ac:dyDescent="0.35">
      <c r="A64" s="45"/>
      <c r="B64" s="126" t="s">
        <v>150</v>
      </c>
      <c r="C64" s="126" t="s">
        <v>151</v>
      </c>
      <c r="D64" s="126" t="s">
        <v>152</v>
      </c>
      <c r="E64" s="45" t="s">
        <v>151</v>
      </c>
      <c r="F64" s="5">
        <v>0</v>
      </c>
      <c r="G64" s="48">
        <v>0</v>
      </c>
      <c r="H64" s="5">
        <f t="shared" si="11"/>
        <v>0</v>
      </c>
      <c r="I64" s="60">
        <v>0</v>
      </c>
      <c r="J64" s="48">
        <f t="shared" si="0"/>
        <v>0</v>
      </c>
      <c r="K64" s="123">
        <f t="shared" si="8"/>
        <v>0</v>
      </c>
      <c r="L64" s="123">
        <v>0</v>
      </c>
      <c r="M64" s="124">
        <f t="shared" si="22"/>
        <v>0</v>
      </c>
      <c r="N64" s="124">
        <v>0</v>
      </c>
      <c r="O64" s="125">
        <f t="shared" si="23"/>
        <v>0</v>
      </c>
      <c r="P64" s="43"/>
    </row>
    <row r="65" spans="1:16" x14ac:dyDescent="0.35">
      <c r="A65" s="45"/>
      <c r="B65" s="126">
        <v>226.24</v>
      </c>
      <c r="C65" s="126" t="s">
        <v>153</v>
      </c>
      <c r="D65" s="126">
        <v>226.24</v>
      </c>
      <c r="E65" s="45" t="s">
        <v>153</v>
      </c>
      <c r="F65" s="5">
        <v>0</v>
      </c>
      <c r="G65" s="48">
        <v>0</v>
      </c>
      <c r="H65" s="5">
        <v>0</v>
      </c>
      <c r="I65" s="60">
        <v>0</v>
      </c>
      <c r="J65" s="48">
        <v>0</v>
      </c>
      <c r="K65" s="123">
        <f t="shared" si="8"/>
        <v>0</v>
      </c>
      <c r="L65" s="123">
        <v>0</v>
      </c>
      <c r="M65" s="124">
        <f t="shared" si="22"/>
        <v>0</v>
      </c>
      <c r="N65" s="124">
        <v>0</v>
      </c>
      <c r="O65" s="125">
        <f t="shared" si="23"/>
        <v>0</v>
      </c>
      <c r="P65" s="43"/>
    </row>
    <row r="66" spans="1:16" ht="29" x14ac:dyDescent="0.35">
      <c r="A66" s="149" t="s">
        <v>476</v>
      </c>
      <c r="B66" s="148" t="s">
        <v>422</v>
      </c>
      <c r="C66" s="148" t="s">
        <v>423</v>
      </c>
      <c r="D66" s="148" t="s">
        <v>422</v>
      </c>
      <c r="E66" s="149" t="s">
        <v>495</v>
      </c>
      <c r="F66" s="150">
        <v>56</v>
      </c>
      <c r="G66" s="156">
        <v>0.09</v>
      </c>
      <c r="H66" s="150">
        <f t="shared" ref="H66" si="24">F66*G66</f>
        <v>5.04</v>
      </c>
      <c r="I66" s="161">
        <v>3</v>
      </c>
      <c r="J66" s="151">
        <f t="shared" ref="J66" si="25">H66*I66</f>
        <v>15.120000000000001</v>
      </c>
      <c r="K66" s="152">
        <v>0</v>
      </c>
      <c r="L66" s="152">
        <v>0</v>
      </c>
      <c r="M66" s="153">
        <f t="shared" si="22"/>
        <v>15.120000000000001</v>
      </c>
      <c r="N66" s="153">
        <v>0</v>
      </c>
      <c r="O66" s="154">
        <f t="shared" si="23"/>
        <v>15.120000000000001</v>
      </c>
      <c r="P66" s="157" t="s">
        <v>412</v>
      </c>
    </row>
    <row r="67" spans="1:16" x14ac:dyDescent="0.35">
      <c r="A67" s="45"/>
      <c r="B67" s="50"/>
      <c r="C67" s="45"/>
      <c r="D67" s="50" t="s">
        <v>154</v>
      </c>
      <c r="E67" s="5"/>
      <c r="F67" s="5">
        <f>Data!D10</f>
        <v>56</v>
      </c>
      <c r="G67" s="48">
        <f>H67/F67</f>
        <v>1933.732857142857</v>
      </c>
      <c r="H67" s="48">
        <f>SUM(H5:H66)</f>
        <v>108289.04</v>
      </c>
      <c r="I67" s="60">
        <f>J67/H67</f>
        <v>1.9485604649679535</v>
      </c>
      <c r="J67" s="48">
        <f>SUM(J5:J66)</f>
        <v>211007.74213333332</v>
      </c>
      <c r="K67" s="48">
        <f>SUM(K5:K66)</f>
        <v>205131.22879999998</v>
      </c>
      <c r="L67" s="137">
        <f>SUM(L5:L66)</f>
        <v>0</v>
      </c>
      <c r="M67" s="50">
        <f t="shared" ref="M67:O67" si="26">SUM(M5:M65)</f>
        <v>5861.3933333333334</v>
      </c>
      <c r="N67" s="45">
        <f t="shared" si="26"/>
        <v>0</v>
      </c>
      <c r="O67" s="50">
        <f t="shared" si="26"/>
        <v>5861.3933333333334</v>
      </c>
      <c r="P67" s="146"/>
    </row>
    <row r="68" spans="1:16" ht="18.5" x14ac:dyDescent="0.35">
      <c r="A68" s="181" t="s">
        <v>155</v>
      </c>
      <c r="B68" s="182"/>
      <c r="C68" s="182"/>
      <c r="D68" s="183"/>
      <c r="E68" s="183"/>
      <c r="F68" s="183"/>
      <c r="G68" s="183"/>
      <c r="H68" s="183"/>
      <c r="I68" s="183"/>
      <c r="J68" s="183"/>
      <c r="K68" s="183"/>
      <c r="L68" s="183"/>
      <c r="M68" s="183"/>
      <c r="N68" s="183"/>
      <c r="O68" s="183"/>
      <c r="P68" s="72"/>
    </row>
    <row r="69" spans="1:16" ht="58" x14ac:dyDescent="0.35">
      <c r="A69" s="149" t="s">
        <v>476</v>
      </c>
      <c r="B69" s="160" t="s">
        <v>30</v>
      </c>
      <c r="C69" s="149" t="s">
        <v>438</v>
      </c>
      <c r="D69" s="160" t="s">
        <v>30</v>
      </c>
      <c r="E69" s="149" t="s">
        <v>438</v>
      </c>
      <c r="F69" s="151">
        <f>ROUND(Data!$D$27*Data!D23,0)</f>
        <v>3257</v>
      </c>
      <c r="G69" s="150">
        <v>1</v>
      </c>
      <c r="H69" s="151">
        <f t="shared" ref="H69" si="27">F69*G69</f>
        <v>3257</v>
      </c>
      <c r="I69" s="150">
        <v>0.33400000000000002</v>
      </c>
      <c r="J69" s="151">
        <f>H69*I69</f>
        <v>1087.838</v>
      </c>
      <c r="K69" s="151">
        <v>1628.5</v>
      </c>
      <c r="L69" s="152">
        <v>0</v>
      </c>
      <c r="M69" s="153">
        <f>J69-K69</f>
        <v>-540.66200000000003</v>
      </c>
      <c r="N69" s="153">
        <v>0</v>
      </c>
      <c r="O69" s="163">
        <f t="shared" ref="O69" si="28">+J69-K69</f>
        <v>-540.66200000000003</v>
      </c>
      <c r="P69" s="155" t="s">
        <v>475</v>
      </c>
    </row>
    <row r="70" spans="1:16" ht="53.25" customHeight="1" x14ac:dyDescent="0.35">
      <c r="A70" s="58"/>
      <c r="B70" s="127" t="s">
        <v>32</v>
      </c>
      <c r="C70" s="45" t="s">
        <v>156</v>
      </c>
      <c r="D70" s="127" t="s">
        <v>32</v>
      </c>
      <c r="E70" s="45" t="s">
        <v>156</v>
      </c>
      <c r="F70" s="5">
        <f>ROUND(Data!D32*Data!D23,0)</f>
        <v>42</v>
      </c>
      <c r="G70" s="5">
        <v>1</v>
      </c>
      <c r="H70" s="48">
        <f t="shared" ref="H70" si="29">F70*G70</f>
        <v>42</v>
      </c>
      <c r="I70" s="5">
        <v>0.5</v>
      </c>
      <c r="J70" s="48">
        <f t="shared" ref="J70" si="30">H70*I70</f>
        <v>21</v>
      </c>
      <c r="K70" s="48">
        <v>21</v>
      </c>
      <c r="L70" s="123">
        <v>0</v>
      </c>
      <c r="M70" s="124">
        <f t="shared" ref="M70:M99" si="31">J70-K70</f>
        <v>0</v>
      </c>
      <c r="N70" s="124">
        <v>0</v>
      </c>
      <c r="O70" s="138">
        <f t="shared" ref="O70:O100" si="32">+J70-K70</f>
        <v>0</v>
      </c>
      <c r="P70" s="43"/>
    </row>
    <row r="71" spans="1:16" ht="72.5" x14ac:dyDescent="0.35">
      <c r="A71" s="59"/>
      <c r="B71" s="59" t="s">
        <v>157</v>
      </c>
      <c r="C71" s="63" t="s">
        <v>158</v>
      </c>
      <c r="D71" s="64" t="s">
        <v>159</v>
      </c>
      <c r="E71" s="45" t="s">
        <v>160</v>
      </c>
      <c r="F71" s="48">
        <f>ROUND(Data!$D$27*Data!D23,0)</f>
        <v>3257</v>
      </c>
      <c r="G71" s="5">
        <v>1</v>
      </c>
      <c r="H71" s="48">
        <f t="shared" si="11"/>
        <v>3257</v>
      </c>
      <c r="I71" s="60">
        <v>8.3500000000000005E-2</v>
      </c>
      <c r="J71" s="60">
        <f t="shared" ref="J71:J98" si="33">H71*I71</f>
        <v>271.95949999999999</v>
      </c>
      <c r="K71" s="48">
        <f t="shared" ref="K71:K99" si="34">J71</f>
        <v>271.95949999999999</v>
      </c>
      <c r="L71" s="123">
        <v>0</v>
      </c>
      <c r="M71" s="124">
        <f t="shared" si="31"/>
        <v>0</v>
      </c>
      <c r="N71" s="124">
        <v>0</v>
      </c>
      <c r="O71" s="138">
        <f t="shared" si="32"/>
        <v>0</v>
      </c>
      <c r="P71" s="133"/>
    </row>
    <row r="72" spans="1:16" ht="51.75" customHeight="1" x14ac:dyDescent="0.35">
      <c r="A72" s="59"/>
      <c r="B72" s="59" t="s">
        <v>161</v>
      </c>
      <c r="C72" s="63" t="s">
        <v>162</v>
      </c>
      <c r="D72" s="59" t="s">
        <v>161</v>
      </c>
      <c r="E72" s="45" t="s">
        <v>163</v>
      </c>
      <c r="F72" s="48">
        <f>ROUND(Data!$D$27*Data!D23,0)</f>
        <v>3257</v>
      </c>
      <c r="G72" s="5">
        <v>12</v>
      </c>
      <c r="H72" s="48">
        <f t="shared" ref="H72:H73" si="35">F72*G72</f>
        <v>39084</v>
      </c>
      <c r="I72" s="49">
        <v>0.5</v>
      </c>
      <c r="J72" s="48">
        <f t="shared" si="33"/>
        <v>19542</v>
      </c>
      <c r="K72" s="48">
        <f t="shared" si="34"/>
        <v>19542</v>
      </c>
      <c r="L72" s="123">
        <v>0</v>
      </c>
      <c r="M72" s="124">
        <f t="shared" si="31"/>
        <v>0</v>
      </c>
      <c r="N72" s="124">
        <v>0</v>
      </c>
      <c r="O72" s="138">
        <f t="shared" si="32"/>
        <v>0</v>
      </c>
      <c r="P72" s="43"/>
    </row>
    <row r="73" spans="1:16" ht="101.5" x14ac:dyDescent="0.35">
      <c r="A73" s="159" t="s">
        <v>476</v>
      </c>
      <c r="B73" s="159" t="s">
        <v>441</v>
      </c>
      <c r="C73" s="162" t="s">
        <v>442</v>
      </c>
      <c r="D73" s="159" t="s">
        <v>441</v>
      </c>
      <c r="E73" s="149" t="s">
        <v>442</v>
      </c>
      <c r="F73" s="151">
        <f>ROUND(Data!$D$28*Data!$D$25,0)</f>
        <v>83</v>
      </c>
      <c r="G73" s="150">
        <v>1</v>
      </c>
      <c r="H73" s="151">
        <f t="shared" si="35"/>
        <v>83</v>
      </c>
      <c r="I73" s="156">
        <v>1</v>
      </c>
      <c r="J73" s="151">
        <f t="shared" si="33"/>
        <v>83</v>
      </c>
      <c r="K73" s="151">
        <v>0</v>
      </c>
      <c r="L73" s="152">
        <v>0</v>
      </c>
      <c r="M73" s="153">
        <f>J73-K73</f>
        <v>83</v>
      </c>
      <c r="N73" s="153">
        <v>0</v>
      </c>
      <c r="O73" s="163">
        <f t="shared" si="32"/>
        <v>83</v>
      </c>
      <c r="P73" s="155" t="s">
        <v>412</v>
      </c>
    </row>
    <row r="74" spans="1:16" ht="58" x14ac:dyDescent="0.35">
      <c r="A74" s="59"/>
      <c r="B74" s="59" t="s">
        <v>78</v>
      </c>
      <c r="C74" s="63" t="s">
        <v>164</v>
      </c>
      <c r="D74" s="45" t="s">
        <v>78</v>
      </c>
      <c r="E74" s="45" t="s">
        <v>165</v>
      </c>
      <c r="F74" s="5">
        <f>ROUND(Data!$D$28*Data!$D$25,0)</f>
        <v>83</v>
      </c>
      <c r="G74" s="5">
        <v>1</v>
      </c>
      <c r="H74" s="48">
        <f t="shared" si="11"/>
        <v>83</v>
      </c>
      <c r="I74" s="60">
        <v>1.67E-2</v>
      </c>
      <c r="J74" s="60">
        <f t="shared" si="33"/>
        <v>1.3860999999999999</v>
      </c>
      <c r="K74" s="48">
        <f t="shared" si="34"/>
        <v>1.3860999999999999</v>
      </c>
      <c r="L74" s="123">
        <v>0</v>
      </c>
      <c r="M74" s="124">
        <f t="shared" si="31"/>
        <v>0</v>
      </c>
      <c r="N74" s="124">
        <v>0</v>
      </c>
      <c r="O74" s="138">
        <f t="shared" si="32"/>
        <v>0</v>
      </c>
      <c r="P74" s="46"/>
    </row>
    <row r="75" spans="1:16" ht="43.5" x14ac:dyDescent="0.35">
      <c r="A75" s="130"/>
      <c r="B75" s="45" t="s">
        <v>166</v>
      </c>
      <c r="C75" s="45" t="s">
        <v>167</v>
      </c>
      <c r="D75" s="45" t="s">
        <v>166</v>
      </c>
      <c r="E75" s="45" t="s">
        <v>167</v>
      </c>
      <c r="F75" s="48">
        <v>0</v>
      </c>
      <c r="G75" s="5">
        <v>0</v>
      </c>
      <c r="H75" s="48">
        <v>0</v>
      </c>
      <c r="I75" s="49">
        <v>0</v>
      </c>
      <c r="J75" s="49">
        <v>0</v>
      </c>
      <c r="K75" s="48">
        <f t="shared" si="34"/>
        <v>0</v>
      </c>
      <c r="L75" s="123">
        <v>0</v>
      </c>
      <c r="M75" s="124">
        <f t="shared" si="31"/>
        <v>0</v>
      </c>
      <c r="N75" s="124">
        <v>0</v>
      </c>
      <c r="O75" s="138">
        <f t="shared" si="32"/>
        <v>0</v>
      </c>
      <c r="P75" s="42" t="s">
        <v>473</v>
      </c>
    </row>
    <row r="76" spans="1:16" ht="58" x14ac:dyDescent="0.35">
      <c r="A76" s="59"/>
      <c r="B76" s="59" t="s">
        <v>434</v>
      </c>
      <c r="C76" s="63" t="s">
        <v>168</v>
      </c>
      <c r="D76" s="45" t="s">
        <v>169</v>
      </c>
      <c r="E76" s="45" t="s">
        <v>170</v>
      </c>
      <c r="F76" s="5">
        <f>ROUND(Data!$D$29*Data!D23,0)</f>
        <v>9</v>
      </c>
      <c r="G76" s="5">
        <v>1</v>
      </c>
      <c r="H76" s="48">
        <f t="shared" si="11"/>
        <v>9</v>
      </c>
      <c r="I76" s="49">
        <v>1.5</v>
      </c>
      <c r="J76" s="49">
        <f t="shared" si="33"/>
        <v>13.5</v>
      </c>
      <c r="K76" s="48">
        <f t="shared" si="34"/>
        <v>13.5</v>
      </c>
      <c r="L76" s="123">
        <v>0</v>
      </c>
      <c r="M76" s="124">
        <f t="shared" si="31"/>
        <v>0</v>
      </c>
      <c r="N76" s="124">
        <v>0</v>
      </c>
      <c r="O76" s="138">
        <f t="shared" si="32"/>
        <v>0</v>
      </c>
      <c r="P76" s="46"/>
    </row>
    <row r="77" spans="1:16" ht="72.5" x14ac:dyDescent="0.35">
      <c r="A77" s="159" t="s">
        <v>476</v>
      </c>
      <c r="B77" s="159" t="s">
        <v>439</v>
      </c>
      <c r="C77" s="162" t="s">
        <v>440</v>
      </c>
      <c r="D77" s="159" t="s">
        <v>439</v>
      </c>
      <c r="E77" s="149" t="s">
        <v>440</v>
      </c>
      <c r="F77" s="151">
        <v>32</v>
      </c>
      <c r="G77" s="150">
        <v>10</v>
      </c>
      <c r="H77" s="151">
        <f t="shared" si="11"/>
        <v>320</v>
      </c>
      <c r="I77" s="156">
        <v>0.5</v>
      </c>
      <c r="J77" s="151">
        <f t="shared" si="33"/>
        <v>160</v>
      </c>
      <c r="K77" s="151">
        <v>0</v>
      </c>
      <c r="L77" s="152">
        <v>0</v>
      </c>
      <c r="M77" s="153">
        <f>J77-K77</f>
        <v>160</v>
      </c>
      <c r="N77" s="153">
        <v>0</v>
      </c>
      <c r="O77" s="163">
        <f t="shared" si="32"/>
        <v>160</v>
      </c>
      <c r="P77" s="155" t="s">
        <v>412</v>
      </c>
    </row>
    <row r="78" spans="1:16" ht="58" x14ac:dyDescent="0.35">
      <c r="A78" s="159" t="s">
        <v>476</v>
      </c>
      <c r="B78" s="159" t="s">
        <v>418</v>
      </c>
      <c r="C78" s="162" t="s">
        <v>435</v>
      </c>
      <c r="D78" s="159" t="s">
        <v>418</v>
      </c>
      <c r="E78" s="149" t="s">
        <v>435</v>
      </c>
      <c r="F78" s="151">
        <v>3257</v>
      </c>
      <c r="G78" s="150">
        <v>1</v>
      </c>
      <c r="H78" s="151">
        <f>F78*G78</f>
        <v>3257</v>
      </c>
      <c r="I78" s="156">
        <v>0.25</v>
      </c>
      <c r="J78" s="151">
        <f>H78*I78</f>
        <v>814.25</v>
      </c>
      <c r="K78" s="151">
        <v>0</v>
      </c>
      <c r="L78" s="152">
        <v>0</v>
      </c>
      <c r="M78" s="153">
        <f>J78-K78</f>
        <v>814.25</v>
      </c>
      <c r="N78" s="153">
        <v>0</v>
      </c>
      <c r="O78" s="163">
        <f t="shared" si="32"/>
        <v>814.25</v>
      </c>
      <c r="P78" s="155" t="s">
        <v>412</v>
      </c>
    </row>
    <row r="79" spans="1:16" ht="72.5" x14ac:dyDescent="0.35">
      <c r="A79" s="159" t="s">
        <v>476</v>
      </c>
      <c r="B79" s="159" t="s">
        <v>436</v>
      </c>
      <c r="C79" s="162" t="s">
        <v>437</v>
      </c>
      <c r="D79" s="159" t="s">
        <v>436</v>
      </c>
      <c r="E79" s="149" t="s">
        <v>437</v>
      </c>
      <c r="F79" s="151">
        <v>32</v>
      </c>
      <c r="G79" s="150">
        <v>1</v>
      </c>
      <c r="H79" s="151">
        <f>F79*G79</f>
        <v>32</v>
      </c>
      <c r="I79" s="156">
        <v>1</v>
      </c>
      <c r="J79" s="151">
        <f>H79*I79</f>
        <v>32</v>
      </c>
      <c r="K79" s="151">
        <v>0</v>
      </c>
      <c r="L79" s="152">
        <v>0</v>
      </c>
      <c r="M79" s="153">
        <f>J79-K79</f>
        <v>32</v>
      </c>
      <c r="N79" s="153">
        <v>0</v>
      </c>
      <c r="O79" s="163">
        <f t="shared" si="32"/>
        <v>32</v>
      </c>
      <c r="P79" s="155" t="s">
        <v>412</v>
      </c>
    </row>
    <row r="80" spans="1:16" ht="53.25" customHeight="1" x14ac:dyDescent="0.35">
      <c r="A80" s="130"/>
      <c r="B80" s="130" t="s">
        <v>171</v>
      </c>
      <c r="C80" s="45" t="s">
        <v>172</v>
      </c>
      <c r="D80" s="130" t="s">
        <v>171</v>
      </c>
      <c r="E80" s="45" t="s">
        <v>172</v>
      </c>
      <c r="F80" s="48">
        <f>ROUND(Data!$D$27*Data!D23,0)</f>
        <v>3257</v>
      </c>
      <c r="G80" s="5">
        <v>1</v>
      </c>
      <c r="H80" s="48">
        <f t="shared" si="11"/>
        <v>3257</v>
      </c>
      <c r="I80" s="49">
        <v>0.5</v>
      </c>
      <c r="J80" s="49">
        <f t="shared" si="33"/>
        <v>1628.5</v>
      </c>
      <c r="K80" s="48">
        <f t="shared" si="34"/>
        <v>1628.5</v>
      </c>
      <c r="L80" s="123">
        <v>0</v>
      </c>
      <c r="M80" s="124">
        <f t="shared" si="31"/>
        <v>0</v>
      </c>
      <c r="N80" s="124">
        <v>0</v>
      </c>
      <c r="O80" s="138">
        <f t="shared" si="32"/>
        <v>0</v>
      </c>
      <c r="P80" s="43"/>
    </row>
    <row r="81" spans="1:16" ht="43.5" x14ac:dyDescent="0.35">
      <c r="A81" s="59"/>
      <c r="B81" s="59" t="s">
        <v>173</v>
      </c>
      <c r="C81" s="63" t="s">
        <v>174</v>
      </c>
      <c r="D81" s="45" t="s">
        <v>175</v>
      </c>
      <c r="E81" s="45" t="s">
        <v>176</v>
      </c>
      <c r="F81" s="48">
        <f>ROUND(Data!$D$27*Data!D23,0)</f>
        <v>3257</v>
      </c>
      <c r="G81" s="5">
        <v>12</v>
      </c>
      <c r="H81" s="48">
        <f t="shared" si="11"/>
        <v>39084</v>
      </c>
      <c r="I81" s="49">
        <v>1.67</v>
      </c>
      <c r="J81" s="49">
        <f t="shared" si="33"/>
        <v>65270.28</v>
      </c>
      <c r="K81" s="48">
        <f t="shared" si="34"/>
        <v>65270.28</v>
      </c>
      <c r="L81" s="123">
        <v>0</v>
      </c>
      <c r="M81" s="124">
        <f t="shared" si="31"/>
        <v>0</v>
      </c>
      <c r="N81" s="124">
        <v>0</v>
      </c>
      <c r="O81" s="138">
        <f t="shared" si="32"/>
        <v>0</v>
      </c>
      <c r="P81" s="43"/>
    </row>
    <row r="82" spans="1:16" ht="43.5" x14ac:dyDescent="0.35">
      <c r="A82" s="59"/>
      <c r="B82" s="45" t="s">
        <v>177</v>
      </c>
      <c r="C82" s="45" t="s">
        <v>178</v>
      </c>
      <c r="D82" s="45" t="s">
        <v>177</v>
      </c>
      <c r="E82" s="45" t="s">
        <v>178</v>
      </c>
      <c r="F82" s="48">
        <f>ROUND(Data!$D$30*Data!D23,0)</f>
        <v>1456</v>
      </c>
      <c r="G82" s="5">
        <v>12</v>
      </c>
      <c r="H82" s="48">
        <f t="shared" si="11"/>
        <v>17472</v>
      </c>
      <c r="I82" s="49">
        <v>0.5</v>
      </c>
      <c r="J82" s="48">
        <f t="shared" si="33"/>
        <v>8736</v>
      </c>
      <c r="K82" s="48">
        <f t="shared" si="34"/>
        <v>8736</v>
      </c>
      <c r="L82" s="123">
        <v>0</v>
      </c>
      <c r="M82" s="124">
        <f t="shared" si="31"/>
        <v>0</v>
      </c>
      <c r="N82" s="124">
        <v>0</v>
      </c>
      <c r="O82" s="138">
        <f t="shared" si="32"/>
        <v>0</v>
      </c>
      <c r="P82" s="43"/>
    </row>
    <row r="83" spans="1:16" ht="43.5" x14ac:dyDescent="0.35">
      <c r="A83" s="59"/>
      <c r="B83" s="59" t="s">
        <v>179</v>
      </c>
      <c r="C83" s="59" t="s">
        <v>180</v>
      </c>
      <c r="D83" s="128" t="s">
        <v>181</v>
      </c>
      <c r="E83" s="45" t="s">
        <v>182</v>
      </c>
      <c r="F83" s="5">
        <f>ROUND(Data!$D$28*Data!$D$25,0)</f>
        <v>83</v>
      </c>
      <c r="G83" s="5">
        <v>5</v>
      </c>
      <c r="H83" s="48">
        <f t="shared" ref="H83:H147" si="36">F83*G83</f>
        <v>415</v>
      </c>
      <c r="I83" s="49">
        <v>0.30059999999999998</v>
      </c>
      <c r="J83" s="49">
        <f t="shared" si="33"/>
        <v>124.749</v>
      </c>
      <c r="K83" s="48">
        <f t="shared" si="34"/>
        <v>124.749</v>
      </c>
      <c r="L83" s="123">
        <v>0</v>
      </c>
      <c r="M83" s="124">
        <f t="shared" si="31"/>
        <v>0</v>
      </c>
      <c r="N83" s="124">
        <v>0</v>
      </c>
      <c r="O83" s="138">
        <f t="shared" si="32"/>
        <v>0</v>
      </c>
      <c r="P83" s="43"/>
    </row>
    <row r="84" spans="1:16" ht="72.5" x14ac:dyDescent="0.35">
      <c r="A84" s="59"/>
      <c r="B84" s="59" t="s">
        <v>183</v>
      </c>
      <c r="C84" s="59" t="s">
        <v>184</v>
      </c>
      <c r="D84" s="45" t="s">
        <v>183</v>
      </c>
      <c r="E84" s="45" t="s">
        <v>185</v>
      </c>
      <c r="F84" s="5">
        <f>ROUND(Data!D32*Data!D23,0)</f>
        <v>42</v>
      </c>
      <c r="G84" s="5">
        <v>1</v>
      </c>
      <c r="H84" s="48">
        <f t="shared" si="36"/>
        <v>42</v>
      </c>
      <c r="I84" s="48">
        <v>8</v>
      </c>
      <c r="J84" s="48">
        <f t="shared" si="33"/>
        <v>336</v>
      </c>
      <c r="K84" s="48">
        <f t="shared" si="34"/>
        <v>336</v>
      </c>
      <c r="L84" s="123">
        <v>0</v>
      </c>
      <c r="M84" s="124">
        <f t="shared" si="31"/>
        <v>0</v>
      </c>
      <c r="N84" s="124">
        <v>0</v>
      </c>
      <c r="O84" s="138">
        <f t="shared" si="32"/>
        <v>0</v>
      </c>
      <c r="P84" s="46"/>
    </row>
    <row r="85" spans="1:16" ht="29" x14ac:dyDescent="0.35">
      <c r="A85" s="59"/>
      <c r="B85" s="59" t="s">
        <v>183</v>
      </c>
      <c r="C85" s="59" t="s">
        <v>186</v>
      </c>
      <c r="D85" s="45" t="s">
        <v>183</v>
      </c>
      <c r="E85" s="45" t="s">
        <v>187</v>
      </c>
      <c r="F85" s="48">
        <f>ROUND(Data!$D$27*Data!D23,0)</f>
        <v>3257</v>
      </c>
      <c r="G85" s="5">
        <v>1</v>
      </c>
      <c r="H85" s="48">
        <f t="shared" si="36"/>
        <v>3257</v>
      </c>
      <c r="I85" s="49">
        <v>0.25</v>
      </c>
      <c r="J85" s="49">
        <f t="shared" si="33"/>
        <v>814.25</v>
      </c>
      <c r="K85" s="48">
        <f t="shared" si="34"/>
        <v>814.25</v>
      </c>
      <c r="L85" s="123">
        <v>0</v>
      </c>
      <c r="M85" s="124">
        <f t="shared" si="31"/>
        <v>0</v>
      </c>
      <c r="N85" s="124">
        <v>0</v>
      </c>
      <c r="O85" s="138">
        <f t="shared" si="32"/>
        <v>0</v>
      </c>
      <c r="P85" s="46"/>
    </row>
    <row r="86" spans="1:16" ht="58" x14ac:dyDescent="0.35">
      <c r="A86" s="130"/>
      <c r="B86" s="130" t="s">
        <v>188</v>
      </c>
      <c r="C86" s="45" t="s">
        <v>189</v>
      </c>
      <c r="D86" s="130" t="s">
        <v>188</v>
      </c>
      <c r="E86" s="45" t="s">
        <v>189</v>
      </c>
      <c r="F86" s="48">
        <f>ROUND(Data!$D$27*Data!D23,0)</f>
        <v>3257</v>
      </c>
      <c r="G86" s="5">
        <v>1</v>
      </c>
      <c r="H86" s="48">
        <f t="shared" si="36"/>
        <v>3257</v>
      </c>
      <c r="I86" s="49">
        <v>0.25</v>
      </c>
      <c r="J86" s="49">
        <f t="shared" si="33"/>
        <v>814.25</v>
      </c>
      <c r="K86" s="48">
        <f t="shared" si="34"/>
        <v>814.25</v>
      </c>
      <c r="L86" s="123">
        <v>0</v>
      </c>
      <c r="M86" s="124">
        <f t="shared" si="31"/>
        <v>0</v>
      </c>
      <c r="N86" s="124">
        <v>0</v>
      </c>
      <c r="O86" s="138">
        <f t="shared" si="32"/>
        <v>0</v>
      </c>
      <c r="P86" s="46"/>
    </row>
    <row r="87" spans="1:16" ht="99.65" customHeight="1" x14ac:dyDescent="0.35">
      <c r="A87" s="130"/>
      <c r="B87" s="130" t="s">
        <v>190</v>
      </c>
      <c r="C87" s="45" t="s">
        <v>191</v>
      </c>
      <c r="D87" s="130" t="s">
        <v>190</v>
      </c>
      <c r="E87" s="45" t="s">
        <v>496</v>
      </c>
      <c r="F87" s="48">
        <f>ROUND(Data!$D$27*Data!D23,0)</f>
        <v>3257</v>
      </c>
      <c r="G87" s="5">
        <v>1</v>
      </c>
      <c r="H87" s="48">
        <f>F87*G87</f>
        <v>3257</v>
      </c>
      <c r="I87" s="48">
        <v>36</v>
      </c>
      <c r="J87" s="48">
        <f t="shared" si="33"/>
        <v>117252</v>
      </c>
      <c r="K87" s="48">
        <f t="shared" si="34"/>
        <v>117252</v>
      </c>
      <c r="L87" s="123">
        <v>0</v>
      </c>
      <c r="M87" s="124">
        <f t="shared" si="31"/>
        <v>0</v>
      </c>
      <c r="N87" s="124">
        <v>0</v>
      </c>
      <c r="O87" s="138">
        <f t="shared" si="32"/>
        <v>0</v>
      </c>
      <c r="P87" s="50" t="s">
        <v>192</v>
      </c>
    </row>
    <row r="88" spans="1:16" ht="130.5" x14ac:dyDescent="0.35">
      <c r="A88" s="46"/>
      <c r="B88" s="130" t="s">
        <v>193</v>
      </c>
      <c r="C88" s="45" t="s">
        <v>194</v>
      </c>
      <c r="D88" s="130" t="s">
        <v>193</v>
      </c>
      <c r="E88" s="45" t="s">
        <v>194</v>
      </c>
      <c r="F88" s="48">
        <f>ROUND(Data!$D$27*Data!D23,0)</f>
        <v>3257</v>
      </c>
      <c r="G88" s="5">
        <v>1</v>
      </c>
      <c r="H88" s="48">
        <f t="shared" ref="H88" si="37">F88*G88</f>
        <v>3257</v>
      </c>
      <c r="I88" s="5">
        <v>0.25</v>
      </c>
      <c r="J88" s="49">
        <f t="shared" si="33"/>
        <v>814.25</v>
      </c>
      <c r="K88" s="48">
        <f t="shared" si="34"/>
        <v>814.25</v>
      </c>
      <c r="L88" s="123">
        <v>0</v>
      </c>
      <c r="M88" s="124">
        <f t="shared" si="31"/>
        <v>0</v>
      </c>
      <c r="N88" s="124">
        <v>0</v>
      </c>
      <c r="O88" s="138">
        <f t="shared" si="32"/>
        <v>0</v>
      </c>
      <c r="P88" s="43"/>
    </row>
    <row r="89" spans="1:16" ht="116" x14ac:dyDescent="0.35">
      <c r="A89" s="130"/>
      <c r="B89" s="45" t="s">
        <v>195</v>
      </c>
      <c r="C89" s="45" t="s">
        <v>196</v>
      </c>
      <c r="D89" s="45" t="s">
        <v>195</v>
      </c>
      <c r="E89" s="45" t="s">
        <v>196</v>
      </c>
      <c r="F89" s="48">
        <f>ROUND(Data!$D$27*Data!D23,0)</f>
        <v>3257</v>
      </c>
      <c r="G89" s="5">
        <v>0</v>
      </c>
      <c r="H89" s="48">
        <f t="shared" si="36"/>
        <v>0</v>
      </c>
      <c r="I89" s="48">
        <v>0</v>
      </c>
      <c r="J89" s="48">
        <f t="shared" si="33"/>
        <v>0</v>
      </c>
      <c r="K89" s="48">
        <f t="shared" si="34"/>
        <v>0</v>
      </c>
      <c r="L89" s="123">
        <v>0</v>
      </c>
      <c r="M89" s="124">
        <f t="shared" si="31"/>
        <v>0</v>
      </c>
      <c r="N89" s="124">
        <v>0</v>
      </c>
      <c r="O89" s="138">
        <f t="shared" si="32"/>
        <v>0</v>
      </c>
      <c r="P89" s="43"/>
    </row>
    <row r="90" spans="1:16" ht="145" x14ac:dyDescent="0.35">
      <c r="A90" s="130"/>
      <c r="B90" s="45" t="s">
        <v>197</v>
      </c>
      <c r="C90" s="45" t="s">
        <v>198</v>
      </c>
      <c r="D90" s="45" t="s">
        <v>197</v>
      </c>
      <c r="E90" s="45" t="s">
        <v>198</v>
      </c>
      <c r="F90" s="48">
        <f>ROUND(Data!$D$27*Data!D23,0)</f>
        <v>3257</v>
      </c>
      <c r="G90" s="5">
        <v>1</v>
      </c>
      <c r="H90" s="48">
        <f t="shared" si="36"/>
        <v>3257</v>
      </c>
      <c r="I90" s="5">
        <v>0.25</v>
      </c>
      <c r="J90" s="49">
        <f t="shared" si="33"/>
        <v>814.25</v>
      </c>
      <c r="K90" s="48">
        <f t="shared" si="34"/>
        <v>814.25</v>
      </c>
      <c r="L90" s="123">
        <v>0</v>
      </c>
      <c r="M90" s="124">
        <f t="shared" si="31"/>
        <v>0</v>
      </c>
      <c r="N90" s="124">
        <v>0</v>
      </c>
      <c r="O90" s="138">
        <f t="shared" si="32"/>
        <v>0</v>
      </c>
      <c r="P90" s="43"/>
    </row>
    <row r="91" spans="1:16" ht="77.5" customHeight="1" x14ac:dyDescent="0.35">
      <c r="A91" s="130"/>
      <c r="B91" s="45" t="s">
        <v>199</v>
      </c>
      <c r="C91" s="45" t="s">
        <v>200</v>
      </c>
      <c r="D91" s="45" t="s">
        <v>199</v>
      </c>
      <c r="E91" s="45" t="s">
        <v>200</v>
      </c>
      <c r="F91" s="48">
        <f>ROUND(ROUND(Data!$D$27*Data!D23,0)*0.25,0)</f>
        <v>814</v>
      </c>
      <c r="G91" s="5">
        <v>1</v>
      </c>
      <c r="H91" s="48">
        <f t="shared" si="36"/>
        <v>814</v>
      </c>
      <c r="I91" s="5">
        <v>0.25</v>
      </c>
      <c r="J91" s="49">
        <f t="shared" si="33"/>
        <v>203.5</v>
      </c>
      <c r="K91" s="48">
        <f t="shared" si="34"/>
        <v>203.5</v>
      </c>
      <c r="L91" s="123">
        <v>0</v>
      </c>
      <c r="M91" s="124">
        <f t="shared" si="31"/>
        <v>0</v>
      </c>
      <c r="N91" s="124">
        <v>0</v>
      </c>
      <c r="O91" s="138">
        <f t="shared" si="32"/>
        <v>0</v>
      </c>
      <c r="P91" s="43"/>
    </row>
    <row r="92" spans="1:16" ht="32.25" customHeight="1" x14ac:dyDescent="0.35">
      <c r="A92" s="130"/>
      <c r="B92" s="45" t="s">
        <v>201</v>
      </c>
      <c r="C92" s="45" t="s">
        <v>202</v>
      </c>
      <c r="D92" s="45" t="s">
        <v>201</v>
      </c>
      <c r="E92" s="45" t="s">
        <v>202</v>
      </c>
      <c r="F92" s="5">
        <f>ROUND(Data!$D$28*Data!$D$25,0)</f>
        <v>83</v>
      </c>
      <c r="G92" s="5">
        <v>1</v>
      </c>
      <c r="H92" s="48">
        <f t="shared" si="36"/>
        <v>83</v>
      </c>
      <c r="I92" s="5">
        <v>0.25</v>
      </c>
      <c r="J92" s="49">
        <f t="shared" si="33"/>
        <v>20.75</v>
      </c>
      <c r="K92" s="48">
        <f t="shared" si="34"/>
        <v>20.75</v>
      </c>
      <c r="L92" s="123">
        <v>0</v>
      </c>
      <c r="M92" s="124">
        <f t="shared" si="31"/>
        <v>0</v>
      </c>
      <c r="N92" s="124">
        <v>0</v>
      </c>
      <c r="O92" s="138">
        <f t="shared" si="32"/>
        <v>0</v>
      </c>
      <c r="P92" s="43"/>
    </row>
    <row r="93" spans="1:16" ht="188.5" x14ac:dyDescent="0.35">
      <c r="A93" s="130"/>
      <c r="B93" s="45" t="s">
        <v>203</v>
      </c>
      <c r="C93" s="45" t="s">
        <v>204</v>
      </c>
      <c r="D93" s="45" t="s">
        <v>203</v>
      </c>
      <c r="E93" s="45" t="s">
        <v>204</v>
      </c>
      <c r="F93" s="5">
        <f>ROUND(ROUND(Data!$D$28*Data!$D$25,0)*0.25,0)</f>
        <v>21</v>
      </c>
      <c r="G93" s="5">
        <v>1</v>
      </c>
      <c r="H93" s="48">
        <f t="shared" si="36"/>
        <v>21</v>
      </c>
      <c r="I93" s="5">
        <v>0.25</v>
      </c>
      <c r="J93" s="49">
        <f t="shared" si="33"/>
        <v>5.25</v>
      </c>
      <c r="K93" s="48">
        <f t="shared" si="34"/>
        <v>5.25</v>
      </c>
      <c r="L93" s="123">
        <v>0</v>
      </c>
      <c r="M93" s="124">
        <f t="shared" si="31"/>
        <v>0</v>
      </c>
      <c r="N93" s="124">
        <v>0</v>
      </c>
      <c r="O93" s="138">
        <f t="shared" si="32"/>
        <v>0</v>
      </c>
      <c r="P93" s="43"/>
    </row>
    <row r="94" spans="1:16" ht="58" x14ac:dyDescent="0.35">
      <c r="A94" s="130"/>
      <c r="B94" s="50" t="s">
        <v>205</v>
      </c>
      <c r="C94" s="45" t="s">
        <v>206</v>
      </c>
      <c r="D94" s="50" t="s">
        <v>205</v>
      </c>
      <c r="E94" s="45" t="s">
        <v>206</v>
      </c>
      <c r="F94" s="48">
        <f>ROUND(Data!D33*Data!D23,0)</f>
        <v>564</v>
      </c>
      <c r="G94" s="5">
        <v>1</v>
      </c>
      <c r="H94" s="48">
        <f t="shared" si="36"/>
        <v>564</v>
      </c>
      <c r="I94" s="5">
        <v>1</v>
      </c>
      <c r="J94" s="48">
        <f t="shared" si="33"/>
        <v>564</v>
      </c>
      <c r="K94" s="48">
        <f t="shared" si="34"/>
        <v>564</v>
      </c>
      <c r="L94" s="123">
        <v>0</v>
      </c>
      <c r="M94" s="124">
        <f t="shared" si="31"/>
        <v>0</v>
      </c>
      <c r="N94" s="124">
        <v>0</v>
      </c>
      <c r="O94" s="138">
        <f t="shared" si="32"/>
        <v>0</v>
      </c>
      <c r="P94" s="43"/>
    </row>
    <row r="95" spans="1:16" ht="116" x14ac:dyDescent="0.35">
      <c r="A95" s="130"/>
      <c r="B95" s="50" t="s">
        <v>207</v>
      </c>
      <c r="C95" s="45" t="s">
        <v>208</v>
      </c>
      <c r="D95" s="50" t="s">
        <v>207</v>
      </c>
      <c r="E95" s="45" t="s">
        <v>208</v>
      </c>
      <c r="F95" s="48">
        <f>ROUND(Data!D33*Data!D23,0)</f>
        <v>564</v>
      </c>
      <c r="G95" s="5">
        <v>1</v>
      </c>
      <c r="H95" s="48">
        <f t="shared" si="36"/>
        <v>564</v>
      </c>
      <c r="I95" s="5">
        <v>0.5</v>
      </c>
      <c r="J95" s="48">
        <f t="shared" si="33"/>
        <v>282</v>
      </c>
      <c r="K95" s="48">
        <f t="shared" si="34"/>
        <v>282</v>
      </c>
      <c r="L95" s="123">
        <v>0</v>
      </c>
      <c r="M95" s="124">
        <f t="shared" si="31"/>
        <v>0</v>
      </c>
      <c r="N95" s="124">
        <v>0</v>
      </c>
      <c r="O95" s="138">
        <f t="shared" si="32"/>
        <v>0</v>
      </c>
      <c r="P95" s="43"/>
    </row>
    <row r="96" spans="1:16" ht="87" x14ac:dyDescent="0.35">
      <c r="A96" s="130"/>
      <c r="B96" s="130">
        <v>226.23</v>
      </c>
      <c r="C96" s="50" t="s">
        <v>209</v>
      </c>
      <c r="D96" s="130">
        <v>226.23</v>
      </c>
      <c r="E96" s="50" t="s">
        <v>210</v>
      </c>
      <c r="F96" s="48">
        <f>ROUND(Data!$D$34*Data!D23,0)</f>
        <v>3791</v>
      </c>
      <c r="G96" s="5">
        <v>1</v>
      </c>
      <c r="H96" s="48">
        <f>F96*G96</f>
        <v>3791</v>
      </c>
      <c r="I96" s="60">
        <v>1.67E-2</v>
      </c>
      <c r="J96" s="60">
        <f t="shared" si="33"/>
        <v>63.309699999999999</v>
      </c>
      <c r="K96" s="48">
        <f t="shared" si="34"/>
        <v>63.309699999999999</v>
      </c>
      <c r="L96" s="123">
        <v>0</v>
      </c>
      <c r="M96" s="124">
        <f t="shared" si="31"/>
        <v>0</v>
      </c>
      <c r="N96" s="124">
        <v>0</v>
      </c>
      <c r="O96" s="138">
        <f t="shared" si="32"/>
        <v>0</v>
      </c>
      <c r="P96" s="43" t="s">
        <v>211</v>
      </c>
    </row>
    <row r="97" spans="1:16" ht="72.5" x14ac:dyDescent="0.35">
      <c r="A97" s="164" t="s">
        <v>476</v>
      </c>
      <c r="B97" s="159" t="s">
        <v>443</v>
      </c>
      <c r="C97" s="162" t="s">
        <v>444</v>
      </c>
      <c r="D97" s="159" t="s">
        <v>443</v>
      </c>
      <c r="E97" s="149" t="s">
        <v>444</v>
      </c>
      <c r="F97" s="151">
        <v>83</v>
      </c>
      <c r="G97" s="150">
        <v>1</v>
      </c>
      <c r="H97" s="151">
        <f>F97*G97</f>
        <v>83</v>
      </c>
      <c r="I97" s="156">
        <v>1</v>
      </c>
      <c r="J97" s="151">
        <f>H97*I97</f>
        <v>83</v>
      </c>
      <c r="K97" s="151">
        <v>0</v>
      </c>
      <c r="L97" s="152">
        <v>0</v>
      </c>
      <c r="M97" s="153">
        <f>J97-K97</f>
        <v>83</v>
      </c>
      <c r="N97" s="153">
        <v>0</v>
      </c>
      <c r="O97" s="163">
        <f t="shared" si="32"/>
        <v>83</v>
      </c>
      <c r="P97" s="155" t="s">
        <v>412</v>
      </c>
    </row>
    <row r="98" spans="1:16" ht="58" x14ac:dyDescent="0.35">
      <c r="A98" s="59"/>
      <c r="B98" s="59" t="s">
        <v>148</v>
      </c>
      <c r="C98" s="63" t="s">
        <v>212</v>
      </c>
      <c r="D98" s="45" t="s">
        <v>148</v>
      </c>
      <c r="E98" s="45" t="s">
        <v>213</v>
      </c>
      <c r="F98" s="48">
        <f>ROUND(Data!$D$35*Data!D23,0)</f>
        <v>29</v>
      </c>
      <c r="G98" s="5">
        <v>1</v>
      </c>
      <c r="H98" s="48">
        <f t="shared" ref="H98" si="38">F98*G98</f>
        <v>29</v>
      </c>
      <c r="I98" s="60">
        <v>8.3500000000000005E-2</v>
      </c>
      <c r="J98" s="60">
        <f t="shared" si="33"/>
        <v>2.4215</v>
      </c>
      <c r="K98" s="48">
        <f t="shared" si="34"/>
        <v>2.4215</v>
      </c>
      <c r="L98" s="123">
        <v>0</v>
      </c>
      <c r="M98" s="124">
        <f t="shared" si="31"/>
        <v>0</v>
      </c>
      <c r="N98" s="124">
        <v>0</v>
      </c>
      <c r="O98" s="138">
        <f t="shared" si="32"/>
        <v>0</v>
      </c>
      <c r="P98" s="26"/>
    </row>
    <row r="99" spans="1:16" ht="58" x14ac:dyDescent="0.35">
      <c r="A99" s="59"/>
      <c r="B99" s="59" t="s">
        <v>214</v>
      </c>
      <c r="C99" s="63" t="s">
        <v>151</v>
      </c>
      <c r="D99" s="45" t="s">
        <v>214</v>
      </c>
      <c r="E99" s="45" t="s">
        <v>215</v>
      </c>
      <c r="F99" s="48">
        <f>ROUND(Data!$D$35*Data!D23,0)</f>
        <v>29</v>
      </c>
      <c r="G99" s="48">
        <v>1</v>
      </c>
      <c r="H99" s="48">
        <f t="shared" ref="H99" si="39">F99*G99</f>
        <v>29</v>
      </c>
      <c r="I99" s="60">
        <v>8.3500000000000005E-2</v>
      </c>
      <c r="J99" s="60">
        <f t="shared" ref="J99:J100" si="40">H99*I99</f>
        <v>2.4215</v>
      </c>
      <c r="K99" s="48">
        <f t="shared" si="34"/>
        <v>2.4215</v>
      </c>
      <c r="L99" s="123">
        <v>0</v>
      </c>
      <c r="M99" s="124">
        <f t="shared" si="31"/>
        <v>0</v>
      </c>
      <c r="N99" s="124">
        <v>0</v>
      </c>
      <c r="O99" s="138">
        <f t="shared" si="32"/>
        <v>0</v>
      </c>
      <c r="P99" s="26"/>
    </row>
    <row r="100" spans="1:16" ht="72.5" x14ac:dyDescent="0.35">
      <c r="A100" s="159" t="s">
        <v>476</v>
      </c>
      <c r="B100" s="159">
        <v>226.25</v>
      </c>
      <c r="C100" s="162" t="s">
        <v>445</v>
      </c>
      <c r="D100" s="159">
        <v>226.25</v>
      </c>
      <c r="E100" s="149" t="s">
        <v>445</v>
      </c>
      <c r="F100" s="151">
        <v>5</v>
      </c>
      <c r="G100" s="150">
        <v>1</v>
      </c>
      <c r="H100" s="151">
        <f>F100*G100</f>
        <v>5</v>
      </c>
      <c r="I100" s="156">
        <v>8</v>
      </c>
      <c r="J100" s="151">
        <f t="shared" si="40"/>
        <v>40</v>
      </c>
      <c r="K100" s="151">
        <v>0</v>
      </c>
      <c r="L100" s="152">
        <v>0</v>
      </c>
      <c r="M100" s="153">
        <f>J100-K100</f>
        <v>40</v>
      </c>
      <c r="N100" s="153">
        <v>0</v>
      </c>
      <c r="O100" s="163">
        <f t="shared" si="32"/>
        <v>40</v>
      </c>
      <c r="P100" s="155" t="s">
        <v>412</v>
      </c>
    </row>
    <row r="101" spans="1:16" x14ac:dyDescent="0.35">
      <c r="A101" s="59"/>
      <c r="B101" s="59"/>
      <c r="C101" s="63"/>
      <c r="D101" s="173" t="s">
        <v>154</v>
      </c>
      <c r="E101" s="174"/>
      <c r="F101" s="77">
        <f>ROUND(Data!D34*Data!D23,0)</f>
        <v>3791</v>
      </c>
      <c r="G101" s="76">
        <f>H101/F101</f>
        <v>34.809285149037194</v>
      </c>
      <c r="H101" s="76">
        <f>SUM(H69:H100)</f>
        <v>131962</v>
      </c>
      <c r="I101" s="76">
        <f>J101/H101</f>
        <v>1.666374526757703</v>
      </c>
      <c r="J101" s="76">
        <f t="shared" ref="J101:O101" si="41">SUM(J69:J100)</f>
        <v>219898.1153</v>
      </c>
      <c r="K101" s="76">
        <f t="shared" si="41"/>
        <v>219226.52729999999</v>
      </c>
      <c r="L101" s="76">
        <f t="shared" si="41"/>
        <v>0</v>
      </c>
      <c r="M101" s="76">
        <f t="shared" si="41"/>
        <v>671.58799999999997</v>
      </c>
      <c r="N101" s="76">
        <f t="shared" si="41"/>
        <v>0</v>
      </c>
      <c r="O101" s="76">
        <f t="shared" si="41"/>
        <v>671.58799999999997</v>
      </c>
      <c r="P101" s="146"/>
    </row>
    <row r="102" spans="1:16" x14ac:dyDescent="0.35">
      <c r="A102" s="171" t="s">
        <v>216</v>
      </c>
      <c r="B102" s="171"/>
      <c r="C102" s="171"/>
      <c r="D102" s="171"/>
      <c r="E102" s="171"/>
      <c r="F102" s="13">
        <f>F67+F101</f>
        <v>3847</v>
      </c>
      <c r="G102" s="17">
        <f>H102/F102</f>
        <v>62.451531063166101</v>
      </c>
      <c r="H102" s="17">
        <f>H67+H101</f>
        <v>240251.03999999998</v>
      </c>
      <c r="I102" s="17">
        <f>J102/H102</f>
        <v>1.7935650036450761</v>
      </c>
      <c r="J102" s="17">
        <f t="shared" ref="J102:O102" si="42">J67+J101</f>
        <v>430905.85743333329</v>
      </c>
      <c r="K102" s="17">
        <f t="shared" si="42"/>
        <v>424357.7561</v>
      </c>
      <c r="L102" s="17">
        <f t="shared" si="42"/>
        <v>0</v>
      </c>
      <c r="M102" s="17">
        <f t="shared" si="42"/>
        <v>6532.9813333333332</v>
      </c>
      <c r="N102" s="17">
        <f t="shared" si="42"/>
        <v>0</v>
      </c>
      <c r="O102" s="17">
        <f t="shared" si="42"/>
        <v>6532.9813333333332</v>
      </c>
      <c r="P102" s="145"/>
    </row>
    <row r="103" spans="1:16" ht="20.5" customHeight="1" x14ac:dyDescent="0.35">
      <c r="A103" s="181" t="s">
        <v>217</v>
      </c>
      <c r="B103" s="182"/>
      <c r="C103" s="182"/>
      <c r="D103" s="187"/>
      <c r="E103" s="187"/>
      <c r="F103" s="187"/>
      <c r="G103" s="187"/>
      <c r="H103" s="187"/>
      <c r="I103" s="187"/>
      <c r="J103" s="187"/>
      <c r="K103" s="187"/>
      <c r="L103" s="187"/>
      <c r="M103" s="187"/>
      <c r="N103" s="187"/>
      <c r="O103" s="187"/>
      <c r="P103" s="72"/>
    </row>
    <row r="104" spans="1:16" ht="35.25" customHeight="1" x14ac:dyDescent="0.35">
      <c r="A104" s="184" t="s">
        <v>218</v>
      </c>
      <c r="B104" s="184"/>
      <c r="C104" s="184"/>
      <c r="D104" s="185" t="s">
        <v>218</v>
      </c>
      <c r="E104" s="186"/>
      <c r="F104" s="186"/>
      <c r="G104" s="186"/>
      <c r="H104" s="186"/>
      <c r="I104" s="186"/>
      <c r="J104" s="186"/>
      <c r="K104" s="186"/>
      <c r="L104" s="186"/>
      <c r="M104" s="186"/>
      <c r="N104" s="186"/>
      <c r="O104" s="186"/>
      <c r="P104" s="72"/>
    </row>
    <row r="105" spans="1:16" ht="58" x14ac:dyDescent="0.35">
      <c r="A105" s="159" t="s">
        <v>476</v>
      </c>
      <c r="B105" s="159" t="s">
        <v>30</v>
      </c>
      <c r="C105" s="162" t="s">
        <v>438</v>
      </c>
      <c r="D105" s="159" t="s">
        <v>30</v>
      </c>
      <c r="E105" s="149" t="s">
        <v>438</v>
      </c>
      <c r="F105" s="151">
        <f>ROUND(Data!$D$27*Data!D24,0)</f>
        <v>18601</v>
      </c>
      <c r="G105" s="150">
        <v>1</v>
      </c>
      <c r="H105" s="151">
        <f>F105*G105</f>
        <v>18601</v>
      </c>
      <c r="I105" s="156">
        <v>0.33400000000000002</v>
      </c>
      <c r="J105" s="151">
        <f>H105*I105</f>
        <v>6212.7340000000004</v>
      </c>
      <c r="K105" s="151">
        <v>9300.5</v>
      </c>
      <c r="L105" s="152">
        <v>0</v>
      </c>
      <c r="M105" s="153">
        <f>J105-K105</f>
        <v>-3087.7659999999996</v>
      </c>
      <c r="N105" s="153">
        <v>0</v>
      </c>
      <c r="O105" s="163">
        <f>+J105-K105</f>
        <v>-3087.7659999999996</v>
      </c>
      <c r="P105" s="155" t="s">
        <v>474</v>
      </c>
    </row>
    <row r="106" spans="1:16" ht="58" x14ac:dyDescent="0.35">
      <c r="A106" s="58"/>
      <c r="B106" s="127" t="s">
        <v>32</v>
      </c>
      <c r="C106" s="45" t="s">
        <v>219</v>
      </c>
      <c r="D106" s="127" t="s">
        <v>32</v>
      </c>
      <c r="E106" s="45" t="s">
        <v>219</v>
      </c>
      <c r="F106" s="5">
        <f>ROUND(Data!D32*Data!D24,0)</f>
        <v>238</v>
      </c>
      <c r="G106" s="5">
        <v>1</v>
      </c>
      <c r="H106" s="48">
        <f t="shared" ref="H106" si="43">F106*G106</f>
        <v>238</v>
      </c>
      <c r="I106" s="5">
        <v>0.5</v>
      </c>
      <c r="J106" s="48">
        <f t="shared" ref="J106" si="44">H106*I106</f>
        <v>119</v>
      </c>
      <c r="K106" s="48">
        <f>J106</f>
        <v>119</v>
      </c>
      <c r="L106" s="123">
        <v>0</v>
      </c>
      <c r="M106" s="124">
        <f t="shared" ref="M106" si="45">J106-K106</f>
        <v>0</v>
      </c>
      <c r="N106" s="124">
        <v>0</v>
      </c>
      <c r="O106" s="138">
        <f t="shared" ref="O106" si="46">+J106-K106</f>
        <v>0</v>
      </c>
      <c r="P106" s="43"/>
    </row>
    <row r="107" spans="1:16" ht="72.5" x14ac:dyDescent="0.35">
      <c r="A107" s="59"/>
      <c r="B107" s="59" t="s">
        <v>157</v>
      </c>
      <c r="C107" s="63" t="s">
        <v>158</v>
      </c>
      <c r="D107" s="64" t="s">
        <v>159</v>
      </c>
      <c r="E107" s="45" t="s">
        <v>220</v>
      </c>
      <c r="F107" s="48">
        <f>ROUND(Data!$D$27*Data!D24,0)</f>
        <v>18601</v>
      </c>
      <c r="G107" s="5">
        <v>1</v>
      </c>
      <c r="H107" s="48">
        <f t="shared" ref="H107:H122" si="47">F107*G107</f>
        <v>18601</v>
      </c>
      <c r="I107" s="60">
        <v>8.3500000000000005E-2</v>
      </c>
      <c r="J107" s="48">
        <f t="shared" ref="J107:J134" si="48">H107*I107</f>
        <v>1553.1835000000001</v>
      </c>
      <c r="K107" s="48">
        <f t="shared" ref="K107:K135" si="49">J107</f>
        <v>1553.1835000000001</v>
      </c>
      <c r="L107" s="123">
        <v>0</v>
      </c>
      <c r="M107" s="124">
        <f t="shared" ref="M107:M135" si="50">J107-K107</f>
        <v>0</v>
      </c>
      <c r="N107" s="124">
        <v>0</v>
      </c>
      <c r="O107" s="138">
        <f t="shared" ref="O107:O135" si="51">+J107-K107</f>
        <v>0</v>
      </c>
      <c r="P107" s="46"/>
    </row>
    <row r="108" spans="1:16" ht="47.25" customHeight="1" x14ac:dyDescent="0.35">
      <c r="A108" s="59"/>
      <c r="B108" s="59" t="s">
        <v>161</v>
      </c>
      <c r="C108" s="63" t="s">
        <v>162</v>
      </c>
      <c r="D108" s="59" t="s">
        <v>161</v>
      </c>
      <c r="E108" s="45" t="s">
        <v>163</v>
      </c>
      <c r="F108" s="48">
        <f>ROUND(Data!$D$27*Data!D24,0)</f>
        <v>18601</v>
      </c>
      <c r="G108" s="5">
        <v>12</v>
      </c>
      <c r="H108" s="48">
        <f t="shared" si="47"/>
        <v>223212</v>
      </c>
      <c r="I108" s="49">
        <v>0.5</v>
      </c>
      <c r="J108" s="48">
        <f t="shared" si="48"/>
        <v>111606</v>
      </c>
      <c r="K108" s="48">
        <f t="shared" si="49"/>
        <v>111606</v>
      </c>
      <c r="L108" s="123">
        <v>0</v>
      </c>
      <c r="M108" s="124">
        <f t="shared" si="50"/>
        <v>0</v>
      </c>
      <c r="N108" s="124">
        <v>0</v>
      </c>
      <c r="O108" s="138">
        <f t="shared" si="51"/>
        <v>0</v>
      </c>
      <c r="P108" s="43"/>
    </row>
    <row r="109" spans="1:16" ht="69.5" customHeight="1" x14ac:dyDescent="0.35">
      <c r="A109" s="159" t="s">
        <v>476</v>
      </c>
      <c r="B109" s="159" t="s">
        <v>441</v>
      </c>
      <c r="C109" s="162" t="s">
        <v>442</v>
      </c>
      <c r="D109" s="159" t="s">
        <v>441</v>
      </c>
      <c r="E109" s="149" t="s">
        <v>442</v>
      </c>
      <c r="F109" s="151">
        <f>ROUND(Data!$D$28*Data!$D$24,0)</f>
        <v>540</v>
      </c>
      <c r="G109" s="150">
        <v>1</v>
      </c>
      <c r="H109" s="151">
        <f>F109*G109</f>
        <v>540</v>
      </c>
      <c r="I109" s="156">
        <v>1</v>
      </c>
      <c r="J109" s="151">
        <f>H109*I109</f>
        <v>540</v>
      </c>
      <c r="K109" s="151">
        <v>0</v>
      </c>
      <c r="L109" s="152">
        <v>0</v>
      </c>
      <c r="M109" s="153">
        <f>J109-K109</f>
        <v>540</v>
      </c>
      <c r="N109" s="153">
        <v>0</v>
      </c>
      <c r="O109" s="163">
        <f t="shared" si="51"/>
        <v>540</v>
      </c>
      <c r="P109" s="155" t="s">
        <v>412</v>
      </c>
    </row>
    <row r="110" spans="1:16" ht="58" x14ac:dyDescent="0.35">
      <c r="A110" s="59"/>
      <c r="B110" s="59" t="s">
        <v>78</v>
      </c>
      <c r="C110" s="63" t="s">
        <v>164</v>
      </c>
      <c r="D110" s="45" t="s">
        <v>78</v>
      </c>
      <c r="E110" s="45" t="s">
        <v>221</v>
      </c>
      <c r="F110" s="5">
        <f>ROUND(Data!$D$28*Data!$D$24,0)</f>
        <v>540</v>
      </c>
      <c r="G110" s="5">
        <v>1</v>
      </c>
      <c r="H110" s="48">
        <f t="shared" si="47"/>
        <v>540</v>
      </c>
      <c r="I110" s="60">
        <v>1.67E-2</v>
      </c>
      <c r="J110" s="60">
        <f t="shared" si="48"/>
        <v>9.0179999999999989</v>
      </c>
      <c r="K110" s="48">
        <f t="shared" si="49"/>
        <v>9.0179999999999989</v>
      </c>
      <c r="L110" s="123">
        <v>0</v>
      </c>
      <c r="M110" s="124">
        <f t="shared" si="50"/>
        <v>0</v>
      </c>
      <c r="N110" s="124">
        <v>0</v>
      </c>
      <c r="O110" s="138">
        <f t="shared" si="51"/>
        <v>0</v>
      </c>
      <c r="P110" s="46"/>
    </row>
    <row r="111" spans="1:16" ht="43.5" x14ac:dyDescent="0.35">
      <c r="A111" s="130"/>
      <c r="B111" s="45" t="s">
        <v>166</v>
      </c>
      <c r="C111" s="45" t="s">
        <v>167</v>
      </c>
      <c r="D111" s="45" t="s">
        <v>166</v>
      </c>
      <c r="E111" s="45" t="s">
        <v>167</v>
      </c>
      <c r="F111" s="48">
        <v>0</v>
      </c>
      <c r="G111" s="5">
        <v>0</v>
      </c>
      <c r="H111" s="48">
        <v>0</v>
      </c>
      <c r="I111" s="49">
        <v>0</v>
      </c>
      <c r="J111" s="49">
        <f>H111*I111</f>
        <v>0</v>
      </c>
      <c r="K111" s="48">
        <f t="shared" si="49"/>
        <v>0</v>
      </c>
      <c r="L111" s="123">
        <v>0</v>
      </c>
      <c r="M111" s="124">
        <f t="shared" si="50"/>
        <v>0</v>
      </c>
      <c r="N111" s="124">
        <v>0</v>
      </c>
      <c r="O111" s="138">
        <f t="shared" si="51"/>
        <v>0</v>
      </c>
      <c r="P111" s="42" t="s">
        <v>473</v>
      </c>
    </row>
    <row r="112" spans="1:16" ht="58" x14ac:dyDescent="0.35">
      <c r="A112" s="59"/>
      <c r="B112" s="59" t="s">
        <v>434</v>
      </c>
      <c r="C112" s="63" t="s">
        <v>168</v>
      </c>
      <c r="D112" s="45" t="s">
        <v>169</v>
      </c>
      <c r="E112" s="45" t="s">
        <v>170</v>
      </c>
      <c r="F112" s="48">
        <f>ROUND(Data!$D$29*Data!D24,0)</f>
        <v>51</v>
      </c>
      <c r="G112" s="5">
        <v>1</v>
      </c>
      <c r="H112" s="48">
        <f t="shared" si="47"/>
        <v>51</v>
      </c>
      <c r="I112" s="49">
        <v>1.5</v>
      </c>
      <c r="J112" s="49">
        <f t="shared" si="48"/>
        <v>76.5</v>
      </c>
      <c r="K112" s="48">
        <f t="shared" si="49"/>
        <v>76.5</v>
      </c>
      <c r="L112" s="123">
        <v>0</v>
      </c>
      <c r="M112" s="124">
        <f t="shared" si="50"/>
        <v>0</v>
      </c>
      <c r="N112" s="124">
        <v>0</v>
      </c>
      <c r="O112" s="138">
        <f t="shared" si="51"/>
        <v>0</v>
      </c>
      <c r="P112" s="46"/>
    </row>
    <row r="113" spans="1:16" ht="72.5" x14ac:dyDescent="0.35">
      <c r="A113" s="159" t="s">
        <v>476</v>
      </c>
      <c r="B113" s="159" t="s">
        <v>439</v>
      </c>
      <c r="C113" s="162" t="s">
        <v>440</v>
      </c>
      <c r="D113" s="159" t="s">
        <v>439</v>
      </c>
      <c r="E113" s="149" t="s">
        <v>440</v>
      </c>
      <c r="F113" s="151">
        <v>1030</v>
      </c>
      <c r="G113" s="150">
        <v>10</v>
      </c>
      <c r="H113" s="151">
        <f t="shared" si="47"/>
        <v>10300</v>
      </c>
      <c r="I113" s="156">
        <v>0.5</v>
      </c>
      <c r="J113" s="151">
        <f t="shared" si="48"/>
        <v>5150</v>
      </c>
      <c r="K113" s="151">
        <v>0</v>
      </c>
      <c r="L113" s="152">
        <v>0</v>
      </c>
      <c r="M113" s="153">
        <f>J113-K113</f>
        <v>5150</v>
      </c>
      <c r="N113" s="153">
        <v>0</v>
      </c>
      <c r="O113" s="163">
        <f t="shared" si="51"/>
        <v>5150</v>
      </c>
      <c r="P113" s="155" t="s">
        <v>412</v>
      </c>
    </row>
    <row r="114" spans="1:16" ht="72.5" x14ac:dyDescent="0.35">
      <c r="A114" s="159" t="s">
        <v>476</v>
      </c>
      <c r="B114" s="159" t="s">
        <v>446</v>
      </c>
      <c r="C114" s="162" t="s">
        <v>437</v>
      </c>
      <c r="D114" s="159" t="s">
        <v>446</v>
      </c>
      <c r="E114" s="149" t="s">
        <v>437</v>
      </c>
      <c r="F114" s="151">
        <v>1030</v>
      </c>
      <c r="G114" s="150">
        <v>1</v>
      </c>
      <c r="H114" s="151">
        <f>F114*G114</f>
        <v>1030</v>
      </c>
      <c r="I114" s="156">
        <v>1</v>
      </c>
      <c r="J114" s="151">
        <f>H114*I114</f>
        <v>1030</v>
      </c>
      <c r="K114" s="151">
        <v>0</v>
      </c>
      <c r="L114" s="152">
        <v>0</v>
      </c>
      <c r="M114" s="153">
        <f>J114-K114</f>
        <v>1030</v>
      </c>
      <c r="N114" s="153">
        <v>0</v>
      </c>
      <c r="O114" s="163">
        <f t="shared" si="51"/>
        <v>1030</v>
      </c>
      <c r="P114" s="155" t="s">
        <v>412</v>
      </c>
    </row>
    <row r="115" spans="1:16" ht="58" x14ac:dyDescent="0.35">
      <c r="A115" s="159" t="s">
        <v>476</v>
      </c>
      <c r="B115" s="159" t="s">
        <v>436</v>
      </c>
      <c r="C115" s="162" t="s">
        <v>435</v>
      </c>
      <c r="D115" s="159" t="s">
        <v>436</v>
      </c>
      <c r="E115" s="149" t="s">
        <v>435</v>
      </c>
      <c r="F115" s="151">
        <f>ROUND(Data!$D$27*Data!D24,0)</f>
        <v>18601</v>
      </c>
      <c r="G115" s="150">
        <v>1</v>
      </c>
      <c r="H115" s="151">
        <f>F115*G115</f>
        <v>18601</v>
      </c>
      <c r="I115" s="156">
        <v>0.25</v>
      </c>
      <c r="J115" s="151">
        <f>H115*I115</f>
        <v>4650.25</v>
      </c>
      <c r="K115" s="151">
        <v>0</v>
      </c>
      <c r="L115" s="152">
        <v>0</v>
      </c>
      <c r="M115" s="153">
        <f>J115-K115</f>
        <v>4650.25</v>
      </c>
      <c r="N115" s="153">
        <v>0</v>
      </c>
      <c r="O115" s="163">
        <f t="shared" ref="O115" si="52">+J115-K115</f>
        <v>4650.25</v>
      </c>
      <c r="P115" s="155" t="s">
        <v>412</v>
      </c>
    </row>
    <row r="116" spans="1:16" ht="58" x14ac:dyDescent="0.35">
      <c r="A116" s="130"/>
      <c r="B116" s="130" t="s">
        <v>171</v>
      </c>
      <c r="C116" s="45" t="s">
        <v>222</v>
      </c>
      <c r="D116" s="130" t="s">
        <v>171</v>
      </c>
      <c r="E116" s="45" t="s">
        <v>222</v>
      </c>
      <c r="F116" s="48">
        <f>ROUND(Data!$D$27*Data!D24,0)</f>
        <v>18601</v>
      </c>
      <c r="G116" s="5">
        <v>1</v>
      </c>
      <c r="H116" s="48">
        <f t="shared" si="47"/>
        <v>18601</v>
      </c>
      <c r="I116" s="49">
        <v>0.5</v>
      </c>
      <c r="J116" s="49">
        <f t="shared" si="48"/>
        <v>9300.5</v>
      </c>
      <c r="K116" s="48">
        <f t="shared" si="49"/>
        <v>9300.5</v>
      </c>
      <c r="L116" s="123">
        <v>0</v>
      </c>
      <c r="M116" s="124">
        <f t="shared" si="50"/>
        <v>0</v>
      </c>
      <c r="N116" s="124">
        <v>0</v>
      </c>
      <c r="O116" s="138">
        <f t="shared" si="51"/>
        <v>0</v>
      </c>
      <c r="P116" s="43"/>
    </row>
    <row r="117" spans="1:16" ht="43.5" x14ac:dyDescent="0.35">
      <c r="A117" s="59"/>
      <c r="B117" s="59" t="s">
        <v>173</v>
      </c>
      <c r="C117" s="63" t="s">
        <v>174</v>
      </c>
      <c r="D117" s="45" t="s">
        <v>175</v>
      </c>
      <c r="E117" s="45" t="s">
        <v>223</v>
      </c>
      <c r="F117" s="48">
        <f>ROUND(Data!$D$27*Data!D24,0)</f>
        <v>18601</v>
      </c>
      <c r="G117" s="5">
        <v>12</v>
      </c>
      <c r="H117" s="48">
        <f t="shared" si="47"/>
        <v>223212</v>
      </c>
      <c r="I117" s="49">
        <v>1.67</v>
      </c>
      <c r="J117" s="48">
        <f t="shared" si="48"/>
        <v>372764.04</v>
      </c>
      <c r="K117" s="48">
        <f t="shared" si="49"/>
        <v>372764.04</v>
      </c>
      <c r="L117" s="123">
        <v>0</v>
      </c>
      <c r="M117" s="124">
        <f t="shared" si="50"/>
        <v>0</v>
      </c>
      <c r="N117" s="124">
        <v>0</v>
      </c>
      <c r="O117" s="138">
        <f t="shared" si="51"/>
        <v>0</v>
      </c>
      <c r="P117" s="43"/>
    </row>
    <row r="118" spans="1:16" ht="29" x14ac:dyDescent="0.35">
      <c r="A118" s="59"/>
      <c r="B118" s="45" t="s">
        <v>177</v>
      </c>
      <c r="C118" s="45" t="s">
        <v>224</v>
      </c>
      <c r="D118" s="45" t="s">
        <v>177</v>
      </c>
      <c r="E118" s="45" t="s">
        <v>224</v>
      </c>
      <c r="F118" s="48">
        <f>ROUND(Data!$D$30*Data!D24,0)</f>
        <v>8314</v>
      </c>
      <c r="G118" s="5">
        <v>12</v>
      </c>
      <c r="H118" s="48">
        <f t="shared" si="47"/>
        <v>99768</v>
      </c>
      <c r="I118" s="49">
        <v>0.5</v>
      </c>
      <c r="J118" s="48">
        <f t="shared" si="48"/>
        <v>49884</v>
      </c>
      <c r="K118" s="48">
        <f t="shared" si="49"/>
        <v>49884</v>
      </c>
      <c r="L118" s="123">
        <v>0</v>
      </c>
      <c r="M118" s="124">
        <f t="shared" si="50"/>
        <v>0</v>
      </c>
      <c r="N118" s="124">
        <v>0</v>
      </c>
      <c r="O118" s="138">
        <f t="shared" si="51"/>
        <v>0</v>
      </c>
      <c r="P118" s="43"/>
    </row>
    <row r="119" spans="1:16" ht="32.25" customHeight="1" x14ac:dyDescent="0.35">
      <c r="A119" s="59"/>
      <c r="B119" s="59" t="s">
        <v>179</v>
      </c>
      <c r="C119" s="59" t="s">
        <v>180</v>
      </c>
      <c r="D119" s="128" t="s">
        <v>181</v>
      </c>
      <c r="E119" s="45" t="s">
        <v>225</v>
      </c>
      <c r="F119" s="5">
        <f>ROUND(Data!$D$28*Data!D24,0)</f>
        <v>540</v>
      </c>
      <c r="G119" s="5">
        <v>5</v>
      </c>
      <c r="H119" s="48">
        <f t="shared" si="47"/>
        <v>2700</v>
      </c>
      <c r="I119" s="60">
        <v>0.30059999999999998</v>
      </c>
      <c r="J119" s="49">
        <f t="shared" si="48"/>
        <v>811.61999999999989</v>
      </c>
      <c r="K119" s="48">
        <f t="shared" si="49"/>
        <v>811.61999999999989</v>
      </c>
      <c r="L119" s="123">
        <v>0</v>
      </c>
      <c r="M119" s="124">
        <f t="shared" si="50"/>
        <v>0</v>
      </c>
      <c r="N119" s="124">
        <v>0</v>
      </c>
      <c r="O119" s="138">
        <f t="shared" si="51"/>
        <v>0</v>
      </c>
      <c r="P119" s="43"/>
    </row>
    <row r="120" spans="1:16" ht="60" customHeight="1" x14ac:dyDescent="0.35">
      <c r="A120" s="59"/>
      <c r="B120" s="59" t="s">
        <v>183</v>
      </c>
      <c r="C120" s="59" t="s">
        <v>226</v>
      </c>
      <c r="D120" s="45" t="s">
        <v>183</v>
      </c>
      <c r="E120" s="100" t="s">
        <v>185</v>
      </c>
      <c r="F120" s="5">
        <f>ROUND(Data!D32*Data!D24,0)</f>
        <v>238</v>
      </c>
      <c r="G120" s="5">
        <v>1</v>
      </c>
      <c r="H120" s="48">
        <f t="shared" si="47"/>
        <v>238</v>
      </c>
      <c r="I120" s="48">
        <v>8</v>
      </c>
      <c r="J120" s="48">
        <f t="shared" si="48"/>
        <v>1904</v>
      </c>
      <c r="K120" s="48">
        <f t="shared" si="49"/>
        <v>1904</v>
      </c>
      <c r="L120" s="123">
        <v>0</v>
      </c>
      <c r="M120" s="124">
        <f t="shared" si="50"/>
        <v>0</v>
      </c>
      <c r="N120" s="124">
        <v>0</v>
      </c>
      <c r="O120" s="138">
        <f t="shared" si="51"/>
        <v>0</v>
      </c>
      <c r="P120" s="46"/>
    </row>
    <row r="121" spans="1:16" ht="33.75" customHeight="1" x14ac:dyDescent="0.35">
      <c r="A121" s="59"/>
      <c r="B121" s="59" t="s">
        <v>183</v>
      </c>
      <c r="C121" s="59" t="s">
        <v>186</v>
      </c>
      <c r="D121" s="45" t="s">
        <v>183</v>
      </c>
      <c r="E121" s="45" t="s">
        <v>227</v>
      </c>
      <c r="F121" s="48">
        <f>ROUND(Data!$D$27*Data!D24,0)</f>
        <v>18601</v>
      </c>
      <c r="G121" s="5">
        <v>1</v>
      </c>
      <c r="H121" s="48">
        <f t="shared" si="47"/>
        <v>18601</v>
      </c>
      <c r="I121" s="49">
        <v>0.25</v>
      </c>
      <c r="J121" s="49">
        <f>H121*I121</f>
        <v>4650.25</v>
      </c>
      <c r="K121" s="48">
        <f t="shared" si="49"/>
        <v>4650.25</v>
      </c>
      <c r="L121" s="123">
        <v>0</v>
      </c>
      <c r="M121" s="124">
        <f t="shared" si="50"/>
        <v>0</v>
      </c>
      <c r="N121" s="124">
        <v>0</v>
      </c>
      <c r="O121" s="138">
        <f t="shared" si="51"/>
        <v>0</v>
      </c>
      <c r="P121" s="46"/>
    </row>
    <row r="122" spans="1:16" ht="58" x14ac:dyDescent="0.35">
      <c r="A122" s="130"/>
      <c r="B122" s="130" t="s">
        <v>188</v>
      </c>
      <c r="C122" s="45" t="s">
        <v>189</v>
      </c>
      <c r="D122" s="130" t="s">
        <v>188</v>
      </c>
      <c r="E122" s="45" t="s">
        <v>189</v>
      </c>
      <c r="F122" s="48">
        <f>ROUND(Data!D27*Data!D24,0)</f>
        <v>18601</v>
      </c>
      <c r="G122" s="5">
        <v>1</v>
      </c>
      <c r="H122" s="48">
        <f t="shared" si="47"/>
        <v>18601</v>
      </c>
      <c r="I122" s="49">
        <v>0.25</v>
      </c>
      <c r="J122" s="49">
        <f t="shared" si="48"/>
        <v>4650.25</v>
      </c>
      <c r="K122" s="48">
        <f t="shared" si="49"/>
        <v>4650.25</v>
      </c>
      <c r="L122" s="123">
        <v>0</v>
      </c>
      <c r="M122" s="124">
        <f t="shared" si="50"/>
        <v>0</v>
      </c>
      <c r="N122" s="124">
        <v>0</v>
      </c>
      <c r="O122" s="138">
        <f t="shared" si="51"/>
        <v>0</v>
      </c>
      <c r="P122" s="46"/>
    </row>
    <row r="123" spans="1:16" ht="90.65" customHeight="1" x14ac:dyDescent="0.35">
      <c r="A123" s="130"/>
      <c r="B123" s="130" t="s">
        <v>190</v>
      </c>
      <c r="C123" s="45" t="s">
        <v>191</v>
      </c>
      <c r="D123" s="130" t="s">
        <v>190</v>
      </c>
      <c r="E123" s="45" t="s">
        <v>496</v>
      </c>
      <c r="F123" s="48">
        <f>ROUND(Data!$D$27*Data!D24,0)</f>
        <v>18601</v>
      </c>
      <c r="G123" s="5">
        <v>1</v>
      </c>
      <c r="H123" s="48">
        <f>F123*G123</f>
        <v>18601</v>
      </c>
      <c r="I123" s="48">
        <v>36</v>
      </c>
      <c r="J123" s="48">
        <f t="shared" si="48"/>
        <v>669636</v>
      </c>
      <c r="K123" s="48">
        <f t="shared" si="49"/>
        <v>669636</v>
      </c>
      <c r="L123" s="123">
        <v>0</v>
      </c>
      <c r="M123" s="124">
        <f t="shared" si="50"/>
        <v>0</v>
      </c>
      <c r="N123" s="124">
        <v>0</v>
      </c>
      <c r="O123" s="138">
        <f t="shared" si="51"/>
        <v>0</v>
      </c>
      <c r="P123" s="50" t="s">
        <v>192</v>
      </c>
    </row>
    <row r="124" spans="1:16" ht="130.5" x14ac:dyDescent="0.35">
      <c r="A124" s="46"/>
      <c r="B124" s="130" t="s">
        <v>193</v>
      </c>
      <c r="C124" s="45" t="s">
        <v>194</v>
      </c>
      <c r="D124" s="130" t="s">
        <v>193</v>
      </c>
      <c r="E124" s="45" t="s">
        <v>194</v>
      </c>
      <c r="F124" s="48">
        <f>ROUND(Data!$D$27*Data!D24,0)</f>
        <v>18601</v>
      </c>
      <c r="G124" s="5">
        <v>1</v>
      </c>
      <c r="H124" s="48">
        <f t="shared" ref="H124" si="53">F124*G124</f>
        <v>18601</v>
      </c>
      <c r="I124" s="5">
        <v>0.25</v>
      </c>
      <c r="J124" s="49">
        <f t="shared" si="48"/>
        <v>4650.25</v>
      </c>
      <c r="K124" s="48">
        <f t="shared" si="49"/>
        <v>4650.25</v>
      </c>
      <c r="L124" s="123">
        <v>0</v>
      </c>
      <c r="M124" s="124">
        <f t="shared" si="50"/>
        <v>0</v>
      </c>
      <c r="N124" s="124">
        <v>0</v>
      </c>
      <c r="O124" s="138">
        <f t="shared" si="51"/>
        <v>0</v>
      </c>
      <c r="P124" s="43"/>
    </row>
    <row r="125" spans="1:16" ht="86.15" customHeight="1" x14ac:dyDescent="0.35">
      <c r="A125" s="130"/>
      <c r="B125" s="45" t="s">
        <v>195</v>
      </c>
      <c r="C125" s="45" t="s">
        <v>196</v>
      </c>
      <c r="D125" s="45" t="s">
        <v>195</v>
      </c>
      <c r="E125" s="45" t="s">
        <v>196</v>
      </c>
      <c r="F125" s="48">
        <f>ROUND(Data!$D$27*Data!D24,0)</f>
        <v>18601</v>
      </c>
      <c r="G125" s="5">
        <v>0</v>
      </c>
      <c r="H125" s="48">
        <f t="shared" ref="H125:H126" si="54">F125*G125</f>
        <v>0</v>
      </c>
      <c r="I125" s="49">
        <v>0</v>
      </c>
      <c r="J125" s="49">
        <f t="shared" si="48"/>
        <v>0</v>
      </c>
      <c r="K125" s="48">
        <f t="shared" si="49"/>
        <v>0</v>
      </c>
      <c r="L125" s="123">
        <v>0</v>
      </c>
      <c r="M125" s="124">
        <f t="shared" si="50"/>
        <v>0</v>
      </c>
      <c r="N125" s="124">
        <v>0</v>
      </c>
      <c r="O125" s="138">
        <f t="shared" si="51"/>
        <v>0</v>
      </c>
      <c r="P125" s="43"/>
    </row>
    <row r="126" spans="1:16" ht="110.5" customHeight="1" x14ac:dyDescent="0.35">
      <c r="A126" s="130"/>
      <c r="B126" s="45" t="s">
        <v>197</v>
      </c>
      <c r="C126" s="45" t="s">
        <v>228</v>
      </c>
      <c r="D126" s="45" t="s">
        <v>197</v>
      </c>
      <c r="E126" s="45" t="s">
        <v>228</v>
      </c>
      <c r="F126" s="48">
        <f>ROUND(Data!$D$27*Data!D24,0)</f>
        <v>18601</v>
      </c>
      <c r="G126" s="5">
        <v>1</v>
      </c>
      <c r="H126" s="48">
        <f t="shared" si="54"/>
        <v>18601</v>
      </c>
      <c r="I126" s="5">
        <v>0.25</v>
      </c>
      <c r="J126" s="49">
        <f t="shared" ref="J126" si="55">H126*I126</f>
        <v>4650.25</v>
      </c>
      <c r="K126" s="48">
        <f t="shared" si="49"/>
        <v>4650.25</v>
      </c>
      <c r="L126" s="123">
        <v>0</v>
      </c>
      <c r="M126" s="124">
        <f t="shared" si="50"/>
        <v>0</v>
      </c>
      <c r="N126" s="124">
        <v>0</v>
      </c>
      <c r="O126" s="138">
        <f t="shared" si="51"/>
        <v>0</v>
      </c>
      <c r="P126" s="43"/>
    </row>
    <row r="127" spans="1:16" ht="88" customHeight="1" x14ac:dyDescent="0.35">
      <c r="A127" s="130"/>
      <c r="B127" s="45" t="s">
        <v>199</v>
      </c>
      <c r="C127" s="45" t="s">
        <v>200</v>
      </c>
      <c r="D127" s="45" t="s">
        <v>199</v>
      </c>
      <c r="E127" s="45" t="s">
        <v>200</v>
      </c>
      <c r="F127" s="48">
        <f>ROUND(ROUND(Data!$D$27*Data!D24,0)*0.25,0)</f>
        <v>4650</v>
      </c>
      <c r="G127" s="5">
        <v>1</v>
      </c>
      <c r="H127" s="48">
        <f t="shared" ref="H127:H129" si="56">F127*G127</f>
        <v>4650</v>
      </c>
      <c r="I127" s="5">
        <v>0.25</v>
      </c>
      <c r="J127" s="49">
        <f t="shared" ref="J127:J129" si="57">H127*I127</f>
        <v>1162.5</v>
      </c>
      <c r="K127" s="48">
        <f t="shared" si="49"/>
        <v>1162.5</v>
      </c>
      <c r="L127" s="123">
        <v>0</v>
      </c>
      <c r="M127" s="124">
        <f t="shared" si="50"/>
        <v>0</v>
      </c>
      <c r="N127" s="124">
        <v>0</v>
      </c>
      <c r="O127" s="138">
        <f t="shared" si="51"/>
        <v>0</v>
      </c>
      <c r="P127" s="43"/>
    </row>
    <row r="128" spans="1:16" ht="32.25" customHeight="1" x14ac:dyDescent="0.35">
      <c r="A128" s="130"/>
      <c r="B128" s="45" t="s">
        <v>201</v>
      </c>
      <c r="C128" s="45" t="s">
        <v>202</v>
      </c>
      <c r="D128" s="45" t="s">
        <v>201</v>
      </c>
      <c r="E128" s="45" t="s">
        <v>202</v>
      </c>
      <c r="F128" s="48">
        <f>ROUND(Data!$D$28*Data!D24,0)</f>
        <v>540</v>
      </c>
      <c r="G128" s="5">
        <v>1</v>
      </c>
      <c r="H128" s="48">
        <f t="shared" si="56"/>
        <v>540</v>
      </c>
      <c r="I128" s="5">
        <v>0.25</v>
      </c>
      <c r="J128" s="48">
        <f t="shared" si="57"/>
        <v>135</v>
      </c>
      <c r="K128" s="48">
        <f t="shared" si="49"/>
        <v>135</v>
      </c>
      <c r="L128" s="123">
        <v>0</v>
      </c>
      <c r="M128" s="124">
        <f t="shared" si="50"/>
        <v>0</v>
      </c>
      <c r="N128" s="124">
        <v>0</v>
      </c>
      <c r="O128" s="138">
        <f t="shared" si="51"/>
        <v>0</v>
      </c>
      <c r="P128" s="43"/>
    </row>
    <row r="129" spans="1:16" ht="129.65" customHeight="1" x14ac:dyDescent="0.35">
      <c r="A129" s="130"/>
      <c r="B129" s="45" t="s">
        <v>203</v>
      </c>
      <c r="C129" s="45" t="s">
        <v>229</v>
      </c>
      <c r="D129" s="45" t="s">
        <v>203</v>
      </c>
      <c r="E129" s="45" t="s">
        <v>229</v>
      </c>
      <c r="F129" s="48">
        <f>ROUND(ROUND(Data!$D$28*Data!D24,0)*0.25,0)</f>
        <v>135</v>
      </c>
      <c r="G129" s="5">
        <v>1</v>
      </c>
      <c r="H129" s="48">
        <f t="shared" si="56"/>
        <v>135</v>
      </c>
      <c r="I129" s="5">
        <v>0.25</v>
      </c>
      <c r="J129" s="49">
        <f t="shared" si="57"/>
        <v>33.75</v>
      </c>
      <c r="K129" s="48">
        <f t="shared" si="49"/>
        <v>33.75</v>
      </c>
      <c r="L129" s="123">
        <v>0</v>
      </c>
      <c r="M129" s="124">
        <f t="shared" si="50"/>
        <v>0</v>
      </c>
      <c r="N129" s="124">
        <v>0</v>
      </c>
      <c r="O129" s="138">
        <f t="shared" si="51"/>
        <v>0</v>
      </c>
      <c r="P129" s="43"/>
    </row>
    <row r="130" spans="1:16" ht="43" customHeight="1" x14ac:dyDescent="0.35">
      <c r="A130" s="130"/>
      <c r="B130" s="50" t="s">
        <v>205</v>
      </c>
      <c r="C130" s="45" t="s">
        <v>230</v>
      </c>
      <c r="D130" s="50" t="s">
        <v>205</v>
      </c>
      <c r="E130" s="45" t="s">
        <v>230</v>
      </c>
      <c r="F130" s="48">
        <f>ROUND(Data!D33*Data!D24,0)</f>
        <v>3220</v>
      </c>
      <c r="G130" s="5">
        <v>1</v>
      </c>
      <c r="H130" s="48">
        <f t="shared" ref="H130:H131" si="58">F130*G130</f>
        <v>3220</v>
      </c>
      <c r="I130" s="5">
        <v>1</v>
      </c>
      <c r="J130" s="48">
        <f t="shared" ref="J130:J131" si="59">H130*I130</f>
        <v>3220</v>
      </c>
      <c r="K130" s="48">
        <f t="shared" si="49"/>
        <v>3220</v>
      </c>
      <c r="L130" s="123">
        <v>0</v>
      </c>
      <c r="M130" s="124">
        <f t="shared" si="50"/>
        <v>0</v>
      </c>
      <c r="N130" s="124">
        <v>0</v>
      </c>
      <c r="O130" s="138">
        <f t="shared" si="51"/>
        <v>0</v>
      </c>
      <c r="P130" s="43"/>
    </row>
    <row r="131" spans="1:16" ht="100" customHeight="1" x14ac:dyDescent="0.35">
      <c r="A131" s="130"/>
      <c r="B131" s="50" t="s">
        <v>207</v>
      </c>
      <c r="C131" s="45" t="s">
        <v>231</v>
      </c>
      <c r="D131" s="50" t="s">
        <v>207</v>
      </c>
      <c r="E131" s="45" t="s">
        <v>231</v>
      </c>
      <c r="F131" s="48">
        <f>ROUND(Data!D33*Data!D24,0)</f>
        <v>3220</v>
      </c>
      <c r="G131" s="5">
        <v>1</v>
      </c>
      <c r="H131" s="48">
        <f t="shared" si="58"/>
        <v>3220</v>
      </c>
      <c r="I131" s="5">
        <v>0.5</v>
      </c>
      <c r="J131" s="48">
        <f t="shared" si="59"/>
        <v>1610</v>
      </c>
      <c r="K131" s="48">
        <f t="shared" si="49"/>
        <v>1610</v>
      </c>
      <c r="L131" s="123">
        <v>0</v>
      </c>
      <c r="M131" s="124">
        <f t="shared" si="50"/>
        <v>0</v>
      </c>
      <c r="N131" s="124">
        <v>0</v>
      </c>
      <c r="O131" s="138">
        <f t="shared" si="51"/>
        <v>0</v>
      </c>
      <c r="P131" s="43"/>
    </row>
    <row r="132" spans="1:16" ht="87" x14ac:dyDescent="0.35">
      <c r="A132" s="130"/>
      <c r="B132" s="130">
        <v>226.23</v>
      </c>
      <c r="C132" s="50" t="s">
        <v>209</v>
      </c>
      <c r="D132" s="130">
        <v>226.23</v>
      </c>
      <c r="E132" s="50" t="s">
        <v>210</v>
      </c>
      <c r="F132" s="48">
        <f>ROUND(Data!$D$34*Data!D24,0)</f>
        <v>21650</v>
      </c>
      <c r="G132" s="5">
        <v>1</v>
      </c>
      <c r="H132" s="48">
        <f>F132*G132</f>
        <v>21650</v>
      </c>
      <c r="I132" s="60">
        <v>1.67E-2</v>
      </c>
      <c r="J132" s="60">
        <f t="shared" si="48"/>
        <v>361.55500000000001</v>
      </c>
      <c r="K132" s="48">
        <f t="shared" si="49"/>
        <v>361.55500000000001</v>
      </c>
      <c r="L132" s="123">
        <v>0</v>
      </c>
      <c r="M132" s="124">
        <f t="shared" si="50"/>
        <v>0</v>
      </c>
      <c r="N132" s="124">
        <v>0</v>
      </c>
      <c r="O132" s="138">
        <f t="shared" si="51"/>
        <v>0</v>
      </c>
      <c r="P132" s="43" t="s">
        <v>211</v>
      </c>
    </row>
    <row r="133" spans="1:16" ht="72.5" x14ac:dyDescent="0.35">
      <c r="A133" s="164" t="s">
        <v>476</v>
      </c>
      <c r="B133" s="159" t="s">
        <v>443</v>
      </c>
      <c r="C133" s="162" t="s">
        <v>444</v>
      </c>
      <c r="D133" s="159" t="s">
        <v>443</v>
      </c>
      <c r="E133" s="149" t="s">
        <v>444</v>
      </c>
      <c r="F133" s="151">
        <f>ROUND(Data!$D$28*Data!D24,0)</f>
        <v>540</v>
      </c>
      <c r="G133" s="150">
        <v>1</v>
      </c>
      <c r="H133" s="151">
        <f>F133*G133</f>
        <v>540</v>
      </c>
      <c r="I133" s="156">
        <v>1</v>
      </c>
      <c r="J133" s="151">
        <f>H133*I133</f>
        <v>540</v>
      </c>
      <c r="K133" s="151">
        <v>0</v>
      </c>
      <c r="L133" s="152">
        <v>0</v>
      </c>
      <c r="M133" s="153">
        <f>J133-K133</f>
        <v>540</v>
      </c>
      <c r="N133" s="153">
        <v>0</v>
      </c>
      <c r="O133" s="163">
        <f t="shared" ref="O133" si="60">+J133-K133</f>
        <v>540</v>
      </c>
      <c r="P133" s="155" t="s">
        <v>412</v>
      </c>
    </row>
    <row r="134" spans="1:16" ht="58" x14ac:dyDescent="0.35">
      <c r="A134" s="59"/>
      <c r="B134" s="59" t="s">
        <v>148</v>
      </c>
      <c r="C134" s="63" t="s">
        <v>212</v>
      </c>
      <c r="D134" s="45" t="s">
        <v>148</v>
      </c>
      <c r="E134" s="45" t="s">
        <v>213</v>
      </c>
      <c r="F134" s="48">
        <f>ROUND(Data!$D$35*Data!D24,0)</f>
        <v>167</v>
      </c>
      <c r="G134" s="5">
        <v>1</v>
      </c>
      <c r="H134" s="48">
        <f t="shared" ref="H134" si="61">F134*G134</f>
        <v>167</v>
      </c>
      <c r="I134" s="60">
        <v>8.3500000000000005E-2</v>
      </c>
      <c r="J134" s="60">
        <f t="shared" si="48"/>
        <v>13.944500000000001</v>
      </c>
      <c r="K134" s="48">
        <f t="shared" si="49"/>
        <v>13.944500000000001</v>
      </c>
      <c r="L134" s="123">
        <v>0</v>
      </c>
      <c r="M134" s="124">
        <f t="shared" si="50"/>
        <v>0</v>
      </c>
      <c r="N134" s="124">
        <v>0</v>
      </c>
      <c r="O134" s="138">
        <f t="shared" si="51"/>
        <v>0</v>
      </c>
      <c r="P134" s="26"/>
    </row>
    <row r="135" spans="1:16" ht="58" x14ac:dyDescent="0.35">
      <c r="A135" s="59"/>
      <c r="B135" s="59" t="s">
        <v>214</v>
      </c>
      <c r="C135" s="63" t="s">
        <v>151</v>
      </c>
      <c r="D135" s="45" t="s">
        <v>214</v>
      </c>
      <c r="E135" s="45" t="s">
        <v>215</v>
      </c>
      <c r="F135" s="48">
        <f>ROUND(Data!$D$35*Data!D24,0)</f>
        <v>167</v>
      </c>
      <c r="G135" s="48">
        <v>1</v>
      </c>
      <c r="H135" s="48">
        <f t="shared" ref="H135" si="62">F135*G135</f>
        <v>167</v>
      </c>
      <c r="I135" s="60">
        <v>8.3500000000000005E-2</v>
      </c>
      <c r="J135" s="60">
        <f t="shared" ref="J135" si="63">H135*I135</f>
        <v>13.944500000000001</v>
      </c>
      <c r="K135" s="48">
        <f t="shared" si="49"/>
        <v>13.944500000000001</v>
      </c>
      <c r="L135" s="123">
        <v>0</v>
      </c>
      <c r="M135" s="124">
        <f t="shared" si="50"/>
        <v>0</v>
      </c>
      <c r="N135" s="124">
        <v>0</v>
      </c>
      <c r="O135" s="138">
        <f t="shared" si="51"/>
        <v>0</v>
      </c>
      <c r="P135" s="26"/>
    </row>
    <row r="136" spans="1:16" x14ac:dyDescent="0.35">
      <c r="A136" s="59"/>
      <c r="B136" s="59"/>
      <c r="C136" s="63"/>
      <c r="D136" s="173" t="s">
        <v>154</v>
      </c>
      <c r="E136" s="174"/>
      <c r="F136" s="77">
        <f>ROUND(Data!D34*Data!D24,0)</f>
        <v>21650</v>
      </c>
      <c r="G136" s="76">
        <f>H136/F136</f>
        <v>35.266836027713623</v>
      </c>
      <c r="H136" s="76">
        <f>SUM(H105:H135)</f>
        <v>763527</v>
      </c>
      <c r="I136" s="76">
        <f>J136/H136</f>
        <v>1.6514655532810232</v>
      </c>
      <c r="J136" s="76">
        <f t="shared" ref="J136:O136" si="64">SUM(J105:J135)</f>
        <v>1260938.5394999997</v>
      </c>
      <c r="K136" s="76">
        <f t="shared" si="64"/>
        <v>1252116.0555</v>
      </c>
      <c r="L136" s="76">
        <f t="shared" si="64"/>
        <v>0</v>
      </c>
      <c r="M136" s="76">
        <f t="shared" si="64"/>
        <v>8822.4840000000004</v>
      </c>
      <c r="N136" s="76">
        <f t="shared" si="64"/>
        <v>0</v>
      </c>
      <c r="O136" s="76">
        <f t="shared" si="64"/>
        <v>8822.4840000000004</v>
      </c>
      <c r="P136" s="146"/>
    </row>
    <row r="137" spans="1:16" ht="35.25" customHeight="1" x14ac:dyDescent="0.35">
      <c r="A137" s="172" t="s">
        <v>232</v>
      </c>
      <c r="B137" s="172"/>
      <c r="C137" s="172"/>
      <c r="D137" s="175" t="s">
        <v>232</v>
      </c>
      <c r="E137" s="176"/>
      <c r="F137" s="176"/>
      <c r="G137" s="176"/>
      <c r="H137" s="176"/>
      <c r="I137" s="176"/>
      <c r="J137" s="176"/>
      <c r="K137" s="176"/>
      <c r="L137" s="176"/>
      <c r="M137" s="176"/>
      <c r="N137" s="176"/>
      <c r="O137" s="176"/>
      <c r="P137" s="73"/>
    </row>
    <row r="138" spans="1:16" ht="43.5" x14ac:dyDescent="0.35">
      <c r="A138" s="59"/>
      <c r="B138" s="59" t="s">
        <v>464</v>
      </c>
      <c r="C138" s="59" t="s">
        <v>233</v>
      </c>
      <c r="D138" s="45" t="s">
        <v>234</v>
      </c>
      <c r="E138" s="45" t="s">
        <v>235</v>
      </c>
      <c r="F138" s="48">
        <f>Data!D37</f>
        <v>69647</v>
      </c>
      <c r="G138" s="5">
        <v>12</v>
      </c>
      <c r="H138" s="48">
        <f>F138*G138</f>
        <v>835764</v>
      </c>
      <c r="I138" s="49">
        <v>0.25</v>
      </c>
      <c r="J138" s="48">
        <f>H138*I138</f>
        <v>208941</v>
      </c>
      <c r="K138" s="48">
        <f>J138</f>
        <v>208941</v>
      </c>
      <c r="L138" s="123">
        <v>0</v>
      </c>
      <c r="M138" s="124">
        <f t="shared" ref="M138:M142" si="65">J138-K138</f>
        <v>0</v>
      </c>
      <c r="N138" s="124">
        <v>0</v>
      </c>
      <c r="O138" s="125">
        <f t="shared" ref="O138:O142" si="66">+J138-K138</f>
        <v>0</v>
      </c>
      <c r="P138" s="43"/>
    </row>
    <row r="139" spans="1:16" ht="58" x14ac:dyDescent="0.35">
      <c r="A139" s="59"/>
      <c r="B139" s="59" t="s">
        <v>236</v>
      </c>
      <c r="C139" s="59" t="s">
        <v>237</v>
      </c>
      <c r="D139" s="64" t="s">
        <v>238</v>
      </c>
      <c r="E139" s="45" t="s">
        <v>239</v>
      </c>
      <c r="F139" s="48">
        <f>Data!D38</f>
        <v>89843</v>
      </c>
      <c r="G139" s="5">
        <v>12</v>
      </c>
      <c r="H139" s="48">
        <f>F139*G139</f>
        <v>1078116</v>
      </c>
      <c r="I139" s="49">
        <v>0.5</v>
      </c>
      <c r="J139" s="48">
        <f>H139*I139</f>
        <v>539058</v>
      </c>
      <c r="K139" s="48">
        <f t="shared" ref="K139:K142" si="67">J139</f>
        <v>539058</v>
      </c>
      <c r="L139" s="123">
        <v>0</v>
      </c>
      <c r="M139" s="124">
        <f t="shared" si="65"/>
        <v>0</v>
      </c>
      <c r="N139" s="124">
        <v>0</v>
      </c>
      <c r="O139" s="125">
        <f t="shared" si="66"/>
        <v>0</v>
      </c>
      <c r="P139" s="46"/>
    </row>
    <row r="140" spans="1:16" ht="58" x14ac:dyDescent="0.35">
      <c r="A140" s="130"/>
      <c r="B140" s="50" t="s">
        <v>240</v>
      </c>
      <c r="C140" s="45" t="s">
        <v>241</v>
      </c>
      <c r="D140" s="50" t="s">
        <v>240</v>
      </c>
      <c r="E140" s="45" t="s">
        <v>241</v>
      </c>
      <c r="F140" s="48">
        <f>Data!D37</f>
        <v>69647</v>
      </c>
      <c r="G140" s="5">
        <v>1</v>
      </c>
      <c r="H140" s="48">
        <f>F140*G140</f>
        <v>69647</v>
      </c>
      <c r="I140" s="5">
        <v>0.25</v>
      </c>
      <c r="J140" s="49">
        <f>H140*I140</f>
        <v>17411.75</v>
      </c>
      <c r="K140" s="48">
        <f t="shared" si="67"/>
        <v>17411.75</v>
      </c>
      <c r="L140" s="123">
        <v>0</v>
      </c>
      <c r="M140" s="124">
        <f t="shared" si="65"/>
        <v>0</v>
      </c>
      <c r="N140" s="124">
        <v>0</v>
      </c>
      <c r="O140" s="125">
        <f t="shared" si="66"/>
        <v>0</v>
      </c>
      <c r="P140" s="43"/>
    </row>
    <row r="141" spans="1:16" ht="46.5" customHeight="1" x14ac:dyDescent="0.35">
      <c r="A141" s="59"/>
      <c r="B141" s="64" t="s">
        <v>242</v>
      </c>
      <c r="C141" s="45" t="s">
        <v>243</v>
      </c>
      <c r="D141" s="64" t="s">
        <v>242</v>
      </c>
      <c r="E141" s="45" t="s">
        <v>243</v>
      </c>
      <c r="F141" s="48">
        <f>Data!D38</f>
        <v>89843</v>
      </c>
      <c r="G141" s="5">
        <v>5</v>
      </c>
      <c r="H141" s="48">
        <f t="shared" ref="H141:H142" si="68">F141*G141</f>
        <v>449215</v>
      </c>
      <c r="I141" s="5">
        <v>0.25</v>
      </c>
      <c r="J141" s="49">
        <f t="shared" ref="J141:J142" si="69">H141*I141</f>
        <v>112303.75</v>
      </c>
      <c r="K141" s="48">
        <f t="shared" si="67"/>
        <v>112303.75</v>
      </c>
      <c r="L141" s="123">
        <v>0</v>
      </c>
      <c r="M141" s="124">
        <f t="shared" si="65"/>
        <v>0</v>
      </c>
      <c r="N141" s="124">
        <v>0</v>
      </c>
      <c r="O141" s="125">
        <f t="shared" si="66"/>
        <v>0</v>
      </c>
      <c r="P141" s="43"/>
    </row>
    <row r="142" spans="1:16" ht="48.75" customHeight="1" x14ac:dyDescent="0.35">
      <c r="A142" s="130"/>
      <c r="B142" s="64" t="s">
        <v>244</v>
      </c>
      <c r="C142" s="45" t="s">
        <v>245</v>
      </c>
      <c r="D142" s="64" t="s">
        <v>244</v>
      </c>
      <c r="E142" s="45" t="s">
        <v>245</v>
      </c>
      <c r="F142" s="48">
        <f>Data!D38</f>
        <v>89843</v>
      </c>
      <c r="G142" s="5">
        <v>5</v>
      </c>
      <c r="H142" s="48">
        <f t="shared" si="68"/>
        <v>449215</v>
      </c>
      <c r="I142" s="5">
        <v>0.25</v>
      </c>
      <c r="J142" s="49">
        <f t="shared" si="69"/>
        <v>112303.75</v>
      </c>
      <c r="K142" s="48">
        <f t="shared" si="67"/>
        <v>112303.75</v>
      </c>
      <c r="L142" s="123">
        <v>0</v>
      </c>
      <c r="M142" s="124">
        <f t="shared" si="65"/>
        <v>0</v>
      </c>
      <c r="N142" s="124">
        <v>0</v>
      </c>
      <c r="O142" s="125">
        <f t="shared" si="66"/>
        <v>0</v>
      </c>
      <c r="P142" s="46"/>
    </row>
    <row r="143" spans="1:16" ht="48.75" customHeight="1" x14ac:dyDescent="0.35">
      <c r="A143" s="164" t="s">
        <v>476</v>
      </c>
      <c r="B143" s="159" t="s">
        <v>447</v>
      </c>
      <c r="C143" s="162" t="s">
        <v>448</v>
      </c>
      <c r="D143" s="159" t="s">
        <v>447</v>
      </c>
      <c r="E143" s="149" t="s">
        <v>448</v>
      </c>
      <c r="F143" s="151">
        <v>9321</v>
      </c>
      <c r="G143" s="165">
        <f>H143/F143</f>
        <v>5.8796266495011267</v>
      </c>
      <c r="H143" s="151">
        <v>54804</v>
      </c>
      <c r="I143" s="156">
        <v>8.3500000000000005E-2</v>
      </c>
      <c r="J143" s="151">
        <f>H143*I143</f>
        <v>4576.134</v>
      </c>
      <c r="K143" s="151">
        <v>0</v>
      </c>
      <c r="L143" s="152">
        <v>0</v>
      </c>
      <c r="M143" s="153">
        <f>J143-K143</f>
        <v>4576.134</v>
      </c>
      <c r="N143" s="153">
        <v>0</v>
      </c>
      <c r="O143" s="154">
        <f>+J143-K143</f>
        <v>4576.134</v>
      </c>
      <c r="P143" s="155" t="s">
        <v>412</v>
      </c>
    </row>
    <row r="144" spans="1:16" x14ac:dyDescent="0.35">
      <c r="A144" s="59"/>
      <c r="B144" s="59"/>
      <c r="C144" s="59"/>
      <c r="D144" s="173" t="s">
        <v>154</v>
      </c>
      <c r="E144" s="174"/>
      <c r="F144" s="77">
        <f>Data!D37+Data!D38</f>
        <v>159490</v>
      </c>
      <c r="G144" s="76">
        <f>H144/F144</f>
        <v>18.413449119067025</v>
      </c>
      <c r="H144" s="76">
        <f>SUM(H138:H143)</f>
        <v>2936761</v>
      </c>
      <c r="I144" s="76">
        <f>J144/H144</f>
        <v>0.33867052306946327</v>
      </c>
      <c r="J144" s="76">
        <f>SUM(J138:J143)</f>
        <v>994594.38399999996</v>
      </c>
      <c r="K144" s="76">
        <f>SUM(K138:K143)</f>
        <v>990018.25</v>
      </c>
      <c r="L144" s="76">
        <f>SUM(L138:L143)</f>
        <v>0</v>
      </c>
      <c r="M144" s="76">
        <f>SUM(M138:M143)</f>
        <v>4576.134</v>
      </c>
      <c r="N144" s="91">
        <f>SUM(N138:N143)</f>
        <v>0</v>
      </c>
      <c r="O144" s="76">
        <f t="shared" ref="O144" si="70">SUM(O138:O142)</f>
        <v>0</v>
      </c>
      <c r="P144" s="146"/>
    </row>
    <row r="145" spans="1:16" x14ac:dyDescent="0.35">
      <c r="A145" s="171" t="s">
        <v>246</v>
      </c>
      <c r="B145" s="171"/>
      <c r="C145" s="171"/>
      <c r="D145" s="171"/>
      <c r="E145" s="171"/>
      <c r="F145" s="13">
        <f>F136+F144</f>
        <v>181140</v>
      </c>
      <c r="G145" s="17">
        <f>H145/F145</f>
        <v>20.427779617975048</v>
      </c>
      <c r="H145" s="17">
        <f>H136+H144</f>
        <v>3700288</v>
      </c>
      <c r="I145" s="17">
        <f>J145/H145</f>
        <v>0.60955604631315174</v>
      </c>
      <c r="J145" s="17">
        <f t="shared" ref="J145:O145" si="71">J136+J144</f>
        <v>2255532.9234999996</v>
      </c>
      <c r="K145" s="17">
        <f t="shared" si="71"/>
        <v>2242134.3054999998</v>
      </c>
      <c r="L145" s="17">
        <f t="shared" si="71"/>
        <v>0</v>
      </c>
      <c r="M145" s="17">
        <f t="shared" si="71"/>
        <v>13398.618</v>
      </c>
      <c r="N145" s="92">
        <f t="shared" si="71"/>
        <v>0</v>
      </c>
      <c r="O145" s="17">
        <f t="shared" si="71"/>
        <v>8822.4840000000004</v>
      </c>
      <c r="P145" s="62"/>
    </row>
    <row r="146" spans="1:16" ht="35.25" customHeight="1" x14ac:dyDescent="0.35">
      <c r="A146" s="172" t="s">
        <v>247</v>
      </c>
      <c r="B146" s="172"/>
      <c r="C146" s="172"/>
      <c r="D146" s="175" t="s">
        <v>247</v>
      </c>
      <c r="E146" s="176"/>
      <c r="F146" s="176"/>
      <c r="G146" s="176"/>
      <c r="H146" s="176"/>
      <c r="I146" s="176"/>
      <c r="J146" s="176"/>
      <c r="K146" s="176"/>
      <c r="L146" s="176"/>
      <c r="M146" s="176"/>
      <c r="N146" s="176"/>
      <c r="O146" s="176"/>
      <c r="P146" s="73"/>
    </row>
    <row r="147" spans="1:16" ht="94.5" customHeight="1" x14ac:dyDescent="0.35">
      <c r="A147" s="59"/>
      <c r="B147" s="59" t="s">
        <v>248</v>
      </c>
      <c r="C147" s="59" t="s">
        <v>249</v>
      </c>
      <c r="D147" s="45" t="s">
        <v>250</v>
      </c>
      <c r="E147" s="45" t="s">
        <v>251</v>
      </c>
      <c r="F147" s="48">
        <f>Data!D44</f>
        <v>3599004</v>
      </c>
      <c r="G147" s="5">
        <v>1.59</v>
      </c>
      <c r="H147" s="48">
        <f t="shared" si="36"/>
        <v>5722416.3600000003</v>
      </c>
      <c r="I147" s="60">
        <v>8.3500000000000005E-2</v>
      </c>
      <c r="J147" s="48">
        <f>H147*I147</f>
        <v>477821.76606000005</v>
      </c>
      <c r="K147" s="48">
        <f>J147</f>
        <v>477821.76606000005</v>
      </c>
      <c r="L147" s="48"/>
      <c r="M147" s="60">
        <f t="shared" ref="M147:M149" si="72">J147-K147</f>
        <v>0</v>
      </c>
      <c r="N147" s="99">
        <f t="shared" ref="N147:N149" si="73">L147+M147</f>
        <v>0</v>
      </c>
      <c r="O147" s="125">
        <f t="shared" ref="O147:O149" si="74">+J147-K147</f>
        <v>0</v>
      </c>
      <c r="P147" s="43" t="s">
        <v>252</v>
      </c>
    </row>
    <row r="148" spans="1:16" ht="95.5" customHeight="1" x14ac:dyDescent="0.35">
      <c r="A148" s="88"/>
      <c r="B148" s="128" t="s">
        <v>253</v>
      </c>
      <c r="C148" s="45" t="s">
        <v>254</v>
      </c>
      <c r="D148" s="128" t="s">
        <v>253</v>
      </c>
      <c r="E148" s="45" t="s">
        <v>254</v>
      </c>
      <c r="F148" s="48">
        <f>Data!D44</f>
        <v>3599004</v>
      </c>
      <c r="G148" s="5">
        <v>1.59</v>
      </c>
      <c r="H148" s="48">
        <f t="shared" ref="H148" si="75">F148*G148</f>
        <v>5722416.3600000003</v>
      </c>
      <c r="I148" s="60">
        <v>8.3500000000000005E-2</v>
      </c>
      <c r="J148" s="48">
        <f>H148*I148</f>
        <v>477821.76606000005</v>
      </c>
      <c r="K148" s="48">
        <f t="shared" ref="K148" si="76">J148</f>
        <v>477821.76606000005</v>
      </c>
      <c r="L148" s="48"/>
      <c r="M148" s="60">
        <f t="shared" si="72"/>
        <v>0</v>
      </c>
      <c r="N148" s="99">
        <f t="shared" ref="N148" si="77">L148+M148</f>
        <v>0</v>
      </c>
      <c r="O148" s="125">
        <f t="shared" si="74"/>
        <v>0</v>
      </c>
      <c r="P148" s="43" t="s">
        <v>255</v>
      </c>
    </row>
    <row r="149" spans="1:16" ht="88.5" customHeight="1" x14ac:dyDescent="0.35">
      <c r="A149" s="87" t="s">
        <v>454</v>
      </c>
      <c r="B149" s="88" t="s">
        <v>256</v>
      </c>
      <c r="C149" s="59" t="s">
        <v>258</v>
      </c>
      <c r="D149" s="45" t="s">
        <v>257</v>
      </c>
      <c r="E149" s="59" t="s">
        <v>258</v>
      </c>
      <c r="F149" s="48">
        <f>Data!D46</f>
        <v>267355</v>
      </c>
      <c r="G149" s="5">
        <f>1</f>
        <v>1</v>
      </c>
      <c r="H149" s="48">
        <f>F149*G149</f>
        <v>267355</v>
      </c>
      <c r="I149" s="60">
        <f>0.0835</f>
        <v>8.3500000000000005E-2</v>
      </c>
      <c r="J149" s="49">
        <f>H149*I149</f>
        <v>22324.142500000002</v>
      </c>
      <c r="K149" s="48">
        <v>22324.142500000002</v>
      </c>
      <c r="L149" s="48"/>
      <c r="M149" s="60">
        <f t="shared" si="72"/>
        <v>0</v>
      </c>
      <c r="N149" s="99">
        <f t="shared" si="73"/>
        <v>0</v>
      </c>
      <c r="O149" s="125">
        <f t="shared" si="74"/>
        <v>0</v>
      </c>
      <c r="P149" s="43"/>
    </row>
    <row r="150" spans="1:16" x14ac:dyDescent="0.35">
      <c r="A150" s="171" t="s">
        <v>259</v>
      </c>
      <c r="B150" s="171"/>
      <c r="C150" s="171"/>
      <c r="D150" s="171"/>
      <c r="E150" s="171"/>
      <c r="F150" s="13">
        <f>Data!D44</f>
        <v>3599004</v>
      </c>
      <c r="G150" s="61">
        <f>H150/F150</f>
        <v>3.2542858301907973</v>
      </c>
      <c r="H150" s="17">
        <f>SUM(H147:H149)</f>
        <v>11712187.720000001</v>
      </c>
      <c r="I150" s="96">
        <f>J150/H150</f>
        <v>8.3500000000000005E-2</v>
      </c>
      <c r="J150" s="17">
        <f>SUM(J147:J149)</f>
        <v>977967.67462000006</v>
      </c>
      <c r="K150" s="17">
        <f t="shared" ref="K150:O150" si="78">SUM(K147:K149)</f>
        <v>977967.67462000006</v>
      </c>
      <c r="L150" s="17">
        <f t="shared" si="78"/>
        <v>0</v>
      </c>
      <c r="M150" s="17">
        <f t="shared" si="78"/>
        <v>0</v>
      </c>
      <c r="N150" s="92">
        <f t="shared" si="78"/>
        <v>0</v>
      </c>
      <c r="O150" s="17">
        <f t="shared" si="78"/>
        <v>0</v>
      </c>
      <c r="P150" s="43"/>
    </row>
    <row r="151" spans="1:16" x14ac:dyDescent="0.35">
      <c r="E151" s="134"/>
      <c r="K151"/>
      <c r="O151"/>
      <c r="P151" s="46"/>
    </row>
    <row r="152" spans="1:16" x14ac:dyDescent="0.35">
      <c r="K152" s="177" t="s">
        <v>3</v>
      </c>
      <c r="L152" s="177"/>
      <c r="M152" s="177"/>
      <c r="N152" s="177"/>
      <c r="O152" s="106" t="s">
        <v>4</v>
      </c>
    </row>
    <row r="153" spans="1:16" ht="67.400000000000006" customHeight="1" x14ac:dyDescent="0.35">
      <c r="E153" s="170" t="s">
        <v>260</v>
      </c>
      <c r="F153" s="6" t="s">
        <v>6</v>
      </c>
      <c r="G153" s="7" t="s">
        <v>7</v>
      </c>
      <c r="H153" s="10" t="s">
        <v>8</v>
      </c>
      <c r="I153" s="21" t="s">
        <v>9</v>
      </c>
      <c r="J153" s="21" t="s">
        <v>10</v>
      </c>
      <c r="K153" s="21" t="s">
        <v>11</v>
      </c>
      <c r="L153" s="21" t="s">
        <v>12</v>
      </c>
      <c r="M153" s="21" t="s">
        <v>13</v>
      </c>
      <c r="N153" s="21" t="s">
        <v>14</v>
      </c>
      <c r="O153" s="21" t="s">
        <v>11</v>
      </c>
    </row>
    <row r="154" spans="1:16" x14ac:dyDescent="0.35">
      <c r="E154" s="170"/>
      <c r="F154" s="101" t="s">
        <v>16</v>
      </c>
      <c r="G154" s="8" t="s">
        <v>17</v>
      </c>
      <c r="H154" s="11" t="s">
        <v>261</v>
      </c>
      <c r="I154" s="22" t="s">
        <v>18</v>
      </c>
      <c r="J154" s="22" t="s">
        <v>19</v>
      </c>
      <c r="K154" s="22" t="s">
        <v>20</v>
      </c>
      <c r="L154" s="22" t="s">
        <v>262</v>
      </c>
      <c r="M154" s="22" t="s">
        <v>263</v>
      </c>
      <c r="N154" s="22" t="s">
        <v>264</v>
      </c>
      <c r="O154" s="22" t="s">
        <v>22</v>
      </c>
    </row>
    <row r="155" spans="1:16" x14ac:dyDescent="0.35">
      <c r="E155" s="12" t="s">
        <v>265</v>
      </c>
      <c r="F155" s="24">
        <f t="shared" ref="F155:O155" si="79">F102</f>
        <v>3847</v>
      </c>
      <c r="G155" s="18">
        <f t="shared" si="79"/>
        <v>62.451531063166101</v>
      </c>
      <c r="H155" s="136">
        <f t="shared" si="79"/>
        <v>240251.03999999998</v>
      </c>
      <c r="I155" s="18">
        <f t="shared" si="79"/>
        <v>1.7935650036450761</v>
      </c>
      <c r="J155" s="18">
        <f t="shared" si="79"/>
        <v>430905.85743333329</v>
      </c>
      <c r="K155" s="18">
        <f t="shared" si="79"/>
        <v>424357.7561</v>
      </c>
      <c r="L155" s="18">
        <f t="shared" si="79"/>
        <v>0</v>
      </c>
      <c r="M155" s="18">
        <f t="shared" si="79"/>
        <v>6532.9813333333332</v>
      </c>
      <c r="N155" s="18">
        <f t="shared" si="79"/>
        <v>0</v>
      </c>
      <c r="O155" s="18">
        <f t="shared" si="79"/>
        <v>6532.9813333333332</v>
      </c>
    </row>
    <row r="156" spans="1:16" x14ac:dyDescent="0.35">
      <c r="E156" s="12" t="s">
        <v>266</v>
      </c>
      <c r="F156" s="24">
        <f t="shared" ref="F156:K156" si="80">F145</f>
        <v>181140</v>
      </c>
      <c r="G156" s="18">
        <f t="shared" si="80"/>
        <v>20.427779617975048</v>
      </c>
      <c r="H156" s="136">
        <f t="shared" si="80"/>
        <v>3700288</v>
      </c>
      <c r="I156" s="18">
        <f t="shared" si="80"/>
        <v>0.60955604631315174</v>
      </c>
      <c r="J156" s="18">
        <f t="shared" si="80"/>
        <v>2255532.9234999996</v>
      </c>
      <c r="K156" s="18">
        <f t="shared" si="80"/>
        <v>2242134.3054999998</v>
      </c>
      <c r="L156" s="18">
        <f t="shared" ref="L156:O156" si="81">L145</f>
        <v>0</v>
      </c>
      <c r="M156" s="18">
        <f t="shared" si="81"/>
        <v>13398.618</v>
      </c>
      <c r="N156" s="18">
        <f t="shared" si="81"/>
        <v>0</v>
      </c>
      <c r="O156" s="18">
        <f t="shared" si="81"/>
        <v>8822.4840000000004</v>
      </c>
    </row>
    <row r="157" spans="1:16" x14ac:dyDescent="0.35">
      <c r="E157" s="12" t="s">
        <v>267</v>
      </c>
      <c r="F157" s="24">
        <f t="shared" ref="F157:K157" si="82">F150</f>
        <v>3599004</v>
      </c>
      <c r="G157" s="18">
        <f t="shared" si="82"/>
        <v>3.2542858301907973</v>
      </c>
      <c r="H157" s="18">
        <f t="shared" si="82"/>
        <v>11712187.720000001</v>
      </c>
      <c r="I157" s="18">
        <f t="shared" si="82"/>
        <v>8.3500000000000005E-2</v>
      </c>
      <c r="J157" s="18">
        <f t="shared" si="82"/>
        <v>977967.67462000006</v>
      </c>
      <c r="K157" s="18">
        <f t="shared" si="82"/>
        <v>977967.67462000006</v>
      </c>
      <c r="L157" s="18">
        <f t="shared" ref="L157:O157" si="83">L150</f>
        <v>0</v>
      </c>
      <c r="M157" s="18">
        <f t="shared" si="83"/>
        <v>0</v>
      </c>
      <c r="N157" s="18">
        <f t="shared" si="83"/>
        <v>0</v>
      </c>
      <c r="O157" s="18">
        <f t="shared" si="83"/>
        <v>0</v>
      </c>
    </row>
    <row r="158" spans="1:16" x14ac:dyDescent="0.35">
      <c r="E158" s="12" t="s">
        <v>268</v>
      </c>
      <c r="F158" s="23">
        <f>SUM(F155:F157)</f>
        <v>3783991</v>
      </c>
      <c r="G158" s="25">
        <f>H158/F158</f>
        <v>4.1365655362288125</v>
      </c>
      <c r="H158" s="19">
        <f>SUM(H155:H157)</f>
        <v>15652726.760000002</v>
      </c>
      <c r="I158" s="25">
        <f>J158/H158</f>
        <v>0.23410658805580098</v>
      </c>
      <c r="J158" s="19">
        <f t="shared" ref="J158:O158" si="84">SUM(J155:J157)</f>
        <v>3664406.4555533328</v>
      </c>
      <c r="K158" s="19">
        <f t="shared" si="84"/>
        <v>3644459.7362199998</v>
      </c>
      <c r="L158" s="19">
        <f t="shared" si="84"/>
        <v>0</v>
      </c>
      <c r="M158" s="19">
        <f t="shared" si="84"/>
        <v>19931.599333333332</v>
      </c>
      <c r="N158" s="19">
        <f t="shared" si="84"/>
        <v>0</v>
      </c>
      <c r="O158" s="19">
        <f t="shared" si="84"/>
        <v>15355.465333333334</v>
      </c>
    </row>
    <row r="160" spans="1:16" x14ac:dyDescent="0.35">
      <c r="J160"/>
      <c r="K160" s="74"/>
      <c r="O160" s="74"/>
    </row>
    <row r="161" spans="1:15" x14ac:dyDescent="0.35">
      <c r="E161" s="20"/>
      <c r="F161" s="20"/>
      <c r="G161" s="20"/>
      <c r="H161" s="20"/>
      <c r="K161" s="2"/>
      <c r="L161" s="2"/>
      <c r="M161" s="2"/>
      <c r="N161" s="2"/>
      <c r="O161" s="2"/>
    </row>
    <row r="162" spans="1:15" x14ac:dyDescent="0.35">
      <c r="E162" s="20"/>
      <c r="F162" s="20"/>
      <c r="G162" s="20"/>
      <c r="H162" s="20"/>
      <c r="K162" s="2"/>
      <c r="L162" s="2"/>
      <c r="M162" s="2"/>
      <c r="N162" s="2"/>
      <c r="O162" s="2"/>
    </row>
    <row r="163" spans="1:15" x14ac:dyDescent="0.35">
      <c r="A163" s="2"/>
      <c r="B163" s="2"/>
      <c r="C163" s="2"/>
      <c r="D163" s="2"/>
      <c r="E163" s="2"/>
      <c r="F163"/>
      <c r="G163"/>
      <c r="H163"/>
      <c r="I163"/>
      <c r="J163"/>
      <c r="K163" s="2"/>
      <c r="L163" s="2"/>
      <c r="M163" s="2"/>
      <c r="N163" s="2"/>
      <c r="O163" s="2"/>
    </row>
    <row r="164" spans="1:15" ht="15" customHeight="1" x14ac:dyDescent="0.35">
      <c r="A164" s="2"/>
      <c r="B164" s="2"/>
      <c r="C164" s="2"/>
      <c r="D164" s="2"/>
      <c r="F164" s="9"/>
      <c r="G164"/>
      <c r="H164"/>
      <c r="I164"/>
      <c r="J164"/>
      <c r="K164"/>
      <c r="L164"/>
      <c r="M164" s="2"/>
      <c r="N164" s="2"/>
      <c r="O164" s="2"/>
    </row>
    <row r="165" spans="1:15" ht="15" customHeight="1" x14ac:dyDescent="0.35">
      <c r="A165" s="2"/>
      <c r="B165" s="2"/>
      <c r="C165" s="2"/>
      <c r="D165" s="2"/>
      <c r="F165" s="9"/>
      <c r="G165"/>
      <c r="H165"/>
      <c r="I165"/>
      <c r="J165"/>
      <c r="K165"/>
      <c r="L165"/>
      <c r="M165" s="2"/>
      <c r="N165" s="2"/>
      <c r="O165" s="2"/>
    </row>
    <row r="166" spans="1:15" x14ac:dyDescent="0.35">
      <c r="A166" s="2"/>
      <c r="B166" s="2"/>
      <c r="C166" s="2"/>
      <c r="D166" s="2"/>
      <c r="E166" s="139"/>
      <c r="F166" s="140"/>
      <c r="G166"/>
      <c r="H166"/>
      <c r="I166"/>
      <c r="J166"/>
      <c r="K166"/>
      <c r="L166"/>
      <c r="M166" s="2"/>
      <c r="N166" s="2"/>
      <c r="O166" s="2"/>
    </row>
    <row r="167" spans="1:15" x14ac:dyDescent="0.35">
      <c r="A167" s="2"/>
      <c r="B167" s="2"/>
      <c r="C167" s="2"/>
      <c r="D167" s="2"/>
      <c r="F167" s="98"/>
      <c r="G167"/>
      <c r="H167"/>
      <c r="I167"/>
      <c r="J167"/>
      <c r="K167"/>
      <c r="L167"/>
      <c r="M167" s="2"/>
      <c r="N167" s="2"/>
      <c r="O167" s="2"/>
    </row>
    <row r="168" spans="1:15" x14ac:dyDescent="0.35">
      <c r="A168" s="2"/>
      <c r="B168" s="2"/>
      <c r="C168" s="2"/>
      <c r="D168" s="2"/>
      <c r="F168"/>
      <c r="G168"/>
      <c r="H168"/>
      <c r="I168"/>
      <c r="J168"/>
      <c r="K168"/>
      <c r="L168"/>
      <c r="M168" s="2"/>
      <c r="N168" s="2"/>
      <c r="O168" s="2"/>
    </row>
    <row r="169" spans="1:15" x14ac:dyDescent="0.35">
      <c r="A169" s="2"/>
      <c r="B169" s="2"/>
      <c r="C169" s="2"/>
      <c r="D169" s="2"/>
      <c r="F169" s="69"/>
      <c r="G169"/>
      <c r="H169"/>
      <c r="I169"/>
      <c r="J169"/>
      <c r="K169"/>
      <c r="L169"/>
      <c r="M169" s="2"/>
      <c r="N169" s="2"/>
      <c r="O169" s="2"/>
    </row>
    <row r="170" spans="1:15" x14ac:dyDescent="0.35">
      <c r="A170" s="2"/>
      <c r="B170" s="2"/>
      <c r="C170" s="2"/>
      <c r="D170" s="2"/>
      <c r="F170"/>
      <c r="G170"/>
      <c r="H170"/>
      <c r="I170"/>
      <c r="J170"/>
      <c r="K170"/>
      <c r="L170"/>
      <c r="M170" s="2"/>
      <c r="N170" s="2"/>
      <c r="O170" s="2"/>
    </row>
    <row r="171" spans="1:15" x14ac:dyDescent="0.35">
      <c r="A171" s="2"/>
      <c r="B171" s="2"/>
      <c r="C171" s="2"/>
      <c r="D171" s="2"/>
      <c r="F171"/>
      <c r="G171"/>
      <c r="H171"/>
      <c r="I171"/>
      <c r="J171"/>
      <c r="K171"/>
      <c r="L171"/>
      <c r="M171" s="2"/>
      <c r="N171" s="2"/>
      <c r="O171" s="2"/>
    </row>
    <row r="172" spans="1:15" x14ac:dyDescent="0.35">
      <c r="A172" s="2"/>
      <c r="B172" s="2"/>
      <c r="C172" s="2"/>
      <c r="D172" s="2"/>
      <c r="F172"/>
      <c r="G172"/>
      <c r="H172"/>
      <c r="I172"/>
      <c r="J172"/>
      <c r="K172"/>
      <c r="L172"/>
      <c r="M172" s="2"/>
      <c r="N172" s="2"/>
      <c r="O172" s="2"/>
    </row>
    <row r="173" spans="1:15" x14ac:dyDescent="0.35">
      <c r="A173" s="2"/>
      <c r="B173" s="2"/>
      <c r="C173" s="2"/>
      <c r="D173" s="2"/>
      <c r="F173"/>
      <c r="G173"/>
      <c r="H173"/>
      <c r="I173"/>
      <c r="J173"/>
      <c r="K173"/>
      <c r="L173"/>
      <c r="M173"/>
      <c r="N173"/>
      <c r="O173"/>
    </row>
    <row r="174" spans="1:15" x14ac:dyDescent="0.35">
      <c r="A174" s="2"/>
      <c r="B174" s="2"/>
      <c r="C174" s="2"/>
      <c r="D174" s="2"/>
      <c r="F174"/>
      <c r="G174"/>
      <c r="H174"/>
      <c r="I174"/>
      <c r="J174"/>
      <c r="K174"/>
      <c r="L174"/>
      <c r="M174"/>
      <c r="N174"/>
      <c r="O174"/>
    </row>
    <row r="175" spans="1:15" x14ac:dyDescent="0.35">
      <c r="A175" s="2"/>
      <c r="B175" s="2"/>
      <c r="C175" s="2"/>
      <c r="D175" s="2"/>
      <c r="F175"/>
      <c r="G175"/>
      <c r="H175"/>
      <c r="I175"/>
      <c r="J175"/>
      <c r="K175"/>
      <c r="L175"/>
      <c r="M175"/>
      <c r="N175"/>
      <c r="O175"/>
    </row>
    <row r="176" spans="1:15" x14ac:dyDescent="0.35">
      <c r="A176" s="2"/>
      <c r="B176" s="2"/>
      <c r="C176" s="2"/>
      <c r="D176" s="2"/>
      <c r="F176"/>
      <c r="G176"/>
      <c r="H176"/>
      <c r="I176"/>
      <c r="J176"/>
      <c r="K176"/>
      <c r="L176"/>
      <c r="M176"/>
      <c r="N176"/>
      <c r="O176"/>
    </row>
    <row r="177" spans="1:15" x14ac:dyDescent="0.35">
      <c r="A177" s="2"/>
      <c r="B177" s="2"/>
      <c r="C177" s="2"/>
      <c r="D177" s="2"/>
      <c r="F177"/>
      <c r="G177"/>
      <c r="H177"/>
      <c r="I177"/>
      <c r="J177"/>
      <c r="K177"/>
      <c r="L177"/>
      <c r="M177"/>
      <c r="N177"/>
      <c r="O177"/>
    </row>
  </sheetData>
  <mergeCells count="19">
    <mergeCell ref="A2:C2"/>
    <mergeCell ref="D2:E2"/>
    <mergeCell ref="A4:O4"/>
    <mergeCell ref="D101:E101"/>
    <mergeCell ref="A104:C104"/>
    <mergeCell ref="D104:O104"/>
    <mergeCell ref="A68:O68"/>
    <mergeCell ref="A103:O103"/>
    <mergeCell ref="E153:E154"/>
    <mergeCell ref="A150:E150"/>
    <mergeCell ref="A102:E102"/>
    <mergeCell ref="A145:E145"/>
    <mergeCell ref="A146:C146"/>
    <mergeCell ref="A137:C137"/>
    <mergeCell ref="D136:E136"/>
    <mergeCell ref="D144:E144"/>
    <mergeCell ref="D146:O146"/>
    <mergeCell ref="K152:N152"/>
    <mergeCell ref="D137:O137"/>
  </mergeCells>
  <printOptions headings="1" gridLines="1"/>
  <pageMargins left="0.45" right="0.2" top="0.5" bottom="0.5" header="0.05" footer="0.05"/>
  <pageSetup paperSize="5" scale="33" fitToHeight="0" orientation="landscape" r:id="rId1"/>
  <headerFooter>
    <oddHeader>&amp;C&amp;"-,Bold"&amp;14Appendix I: Estimates of the Hour Burden of the Collection of Information Reporting – OMB Control Number 0584-0055
REPORTING</oddHeader>
    <oddFooter>&amp;CPage &amp;P</oddFooter>
  </headerFooter>
  <ignoredErrors>
    <ignoredError sqref="F31 F56 I144:I145 G144:G145 J158 I158 G158 I67 G102 J136 F139 F106" 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50"/>
  <sheetViews>
    <sheetView topLeftCell="F1" zoomScale="80" zoomScaleNormal="80" zoomScalePageLayoutView="90" workbookViewId="0">
      <pane ySplit="3" topLeftCell="A29" activePane="bottomLeft" state="frozen"/>
      <selection pane="bottomLeft" activeCell="E35" sqref="E35:O37"/>
    </sheetView>
  </sheetViews>
  <sheetFormatPr defaultColWidth="9.453125" defaultRowHeight="14.5" x14ac:dyDescent="0.35"/>
  <cols>
    <col min="1" max="1" width="13.1796875" style="87" customWidth="1"/>
    <col min="2" max="2" width="18.54296875" style="87" customWidth="1"/>
    <col min="3" max="3" width="46.1796875" customWidth="1"/>
    <col min="4" max="4" width="18.54296875" style="90" customWidth="1"/>
    <col min="5" max="5" width="64.453125" style="3" customWidth="1"/>
    <col min="6" max="6" width="17.54296875" style="4" customWidth="1"/>
    <col min="7" max="8" width="17.54296875" style="9" customWidth="1"/>
    <col min="9" max="15" width="17.54296875" style="16" customWidth="1"/>
    <col min="16" max="16" width="45.26953125" style="3" customWidth="1"/>
  </cols>
  <sheetData>
    <row r="1" spans="1:16" ht="24" customHeight="1" thickBot="1" x14ac:dyDescent="0.4">
      <c r="A1" s="169" t="s">
        <v>477</v>
      </c>
      <c r="B1" s="107"/>
      <c r="D1"/>
      <c r="E1"/>
      <c r="F1"/>
      <c r="G1"/>
      <c r="H1"/>
      <c r="I1"/>
      <c r="J1"/>
      <c r="K1"/>
      <c r="L1"/>
      <c r="M1"/>
    </row>
    <row r="2" spans="1:16" x14ac:dyDescent="0.35">
      <c r="A2" s="178" t="s">
        <v>1</v>
      </c>
      <c r="B2" s="178"/>
      <c r="C2" s="178"/>
      <c r="D2" s="179" t="s">
        <v>2</v>
      </c>
      <c r="E2" s="179"/>
      <c r="F2" s="108" t="s">
        <v>16</v>
      </c>
      <c r="G2" s="108" t="s">
        <v>17</v>
      </c>
      <c r="H2" s="108" t="s">
        <v>399</v>
      </c>
      <c r="I2" s="108" t="s">
        <v>18</v>
      </c>
      <c r="J2" s="119" t="s">
        <v>400</v>
      </c>
      <c r="K2" s="119" t="s">
        <v>20</v>
      </c>
      <c r="L2" s="119"/>
      <c r="M2" s="119"/>
      <c r="N2" s="119"/>
      <c r="O2" s="119" t="s">
        <v>401</v>
      </c>
      <c r="P2" s="121"/>
    </row>
    <row r="3" spans="1:16" s="97" customFormat="1" ht="47.9" customHeight="1" x14ac:dyDescent="0.35">
      <c r="A3" s="109" t="s">
        <v>403</v>
      </c>
      <c r="B3" s="109" t="s">
        <v>402</v>
      </c>
      <c r="C3" s="110" t="s">
        <v>5</v>
      </c>
      <c r="D3" s="109" t="s">
        <v>402</v>
      </c>
      <c r="E3" s="110" t="s">
        <v>5</v>
      </c>
      <c r="F3" s="111" t="s">
        <v>6</v>
      </c>
      <c r="G3" s="112" t="s">
        <v>7</v>
      </c>
      <c r="H3" s="113" t="s">
        <v>8</v>
      </c>
      <c r="I3" s="114" t="s">
        <v>9</v>
      </c>
      <c r="J3" s="114" t="s">
        <v>10</v>
      </c>
      <c r="K3" s="114" t="s">
        <v>405</v>
      </c>
      <c r="L3" s="114" t="s">
        <v>406</v>
      </c>
      <c r="M3" s="114" t="s">
        <v>407</v>
      </c>
      <c r="N3" s="114" t="s">
        <v>408</v>
      </c>
      <c r="O3" s="114" t="s">
        <v>409</v>
      </c>
      <c r="P3" s="116" t="s">
        <v>15</v>
      </c>
    </row>
    <row r="4" spans="1:16" s="2" customFormat="1" ht="20.5" customHeight="1" x14ac:dyDescent="0.35">
      <c r="A4" s="181" t="s">
        <v>398</v>
      </c>
      <c r="B4" s="182"/>
      <c r="C4" s="182"/>
      <c r="D4" s="183"/>
      <c r="E4" s="183"/>
      <c r="F4" s="183"/>
      <c r="G4" s="183"/>
      <c r="H4" s="183"/>
      <c r="I4" s="183"/>
      <c r="J4" s="183"/>
      <c r="K4" s="183"/>
      <c r="L4" s="183"/>
      <c r="M4" s="183"/>
      <c r="N4" s="183"/>
      <c r="O4" s="183"/>
      <c r="P4" s="89"/>
    </row>
    <row r="5" spans="1:16" s="2" customFormat="1" ht="29" x14ac:dyDescent="0.35">
      <c r="A5" s="164" t="s">
        <v>476</v>
      </c>
      <c r="B5" s="158" t="s">
        <v>410</v>
      </c>
      <c r="C5" s="159" t="s">
        <v>452</v>
      </c>
      <c r="D5" s="149" t="s">
        <v>410</v>
      </c>
      <c r="E5" s="166" t="s">
        <v>452</v>
      </c>
      <c r="F5" s="150">
        <v>8</v>
      </c>
      <c r="G5" s="151">
        <v>1</v>
      </c>
      <c r="H5" s="151">
        <f>F5*G5</f>
        <v>8</v>
      </c>
      <c r="I5" s="216">
        <v>0.5</v>
      </c>
      <c r="J5" s="151">
        <f>H5*I5</f>
        <v>4</v>
      </c>
      <c r="K5" s="151">
        <v>0</v>
      </c>
      <c r="L5" s="152">
        <v>0</v>
      </c>
      <c r="M5" s="153">
        <f>J5-K5</f>
        <v>4</v>
      </c>
      <c r="N5" s="153">
        <v>0</v>
      </c>
      <c r="O5" s="154">
        <f t="shared" ref="O5" si="0">+J5-K5</f>
        <v>4</v>
      </c>
      <c r="P5" s="155" t="s">
        <v>412</v>
      </c>
    </row>
    <row r="6" spans="1:16" s="1" customFormat="1" ht="80.25" customHeight="1" x14ac:dyDescent="0.35">
      <c r="A6" s="117" t="s">
        <v>404</v>
      </c>
      <c r="B6" s="58">
        <v>226.6</v>
      </c>
      <c r="C6" s="59" t="s">
        <v>269</v>
      </c>
      <c r="D6" s="45">
        <v>226.6</v>
      </c>
      <c r="E6" s="128" t="s">
        <v>270</v>
      </c>
      <c r="F6" s="5">
        <f>Data!D10</f>
        <v>56</v>
      </c>
      <c r="G6" s="48">
        <v>5</v>
      </c>
      <c r="H6" s="48">
        <f>F6*G6</f>
        <v>280</v>
      </c>
      <c r="I6" s="48">
        <v>5</v>
      </c>
      <c r="J6" s="48">
        <f>H6*I6</f>
        <v>1400</v>
      </c>
      <c r="K6" s="48">
        <f>J6</f>
        <v>1400</v>
      </c>
      <c r="L6" s="123">
        <v>0</v>
      </c>
      <c r="M6" s="124">
        <f>J6-K6</f>
        <v>0</v>
      </c>
      <c r="N6" s="124">
        <v>0</v>
      </c>
      <c r="O6" s="125">
        <f t="shared" ref="O6" si="1">+J6-K6</f>
        <v>0</v>
      </c>
      <c r="P6" s="43"/>
    </row>
    <row r="7" spans="1:16" s="1" customFormat="1" ht="122.25" customHeight="1" x14ac:dyDescent="0.35">
      <c r="A7" s="117"/>
      <c r="B7" s="45" t="s">
        <v>271</v>
      </c>
      <c r="C7" s="128" t="s">
        <v>272</v>
      </c>
      <c r="D7" s="45" t="s">
        <v>271</v>
      </c>
      <c r="E7" s="128" t="s">
        <v>272</v>
      </c>
      <c r="F7" s="5">
        <f>Data!D10</f>
        <v>56</v>
      </c>
      <c r="G7" s="48">
        <v>1</v>
      </c>
      <c r="H7" s="48">
        <f>F7*G7</f>
        <v>56</v>
      </c>
      <c r="I7" s="215">
        <v>16</v>
      </c>
      <c r="J7" s="48">
        <f>H7*I7</f>
        <v>896</v>
      </c>
      <c r="K7" s="48">
        <f>J7</f>
        <v>896</v>
      </c>
      <c r="L7" s="123">
        <v>0</v>
      </c>
      <c r="M7" s="124">
        <f t="shared" ref="M7:M10" si="2">J7-K7</f>
        <v>0</v>
      </c>
      <c r="N7" s="124">
        <v>0</v>
      </c>
      <c r="O7" s="125">
        <f t="shared" ref="O7:O10" si="3">+J7-K7</f>
        <v>0</v>
      </c>
      <c r="P7" s="43"/>
    </row>
    <row r="8" spans="1:16" s="1" customFormat="1" ht="72.5" x14ac:dyDescent="0.35">
      <c r="A8" s="167" t="s">
        <v>476</v>
      </c>
      <c r="B8" s="149" t="s">
        <v>116</v>
      </c>
      <c r="C8" s="166" t="s">
        <v>453</v>
      </c>
      <c r="D8" s="149" t="s">
        <v>116</v>
      </c>
      <c r="E8" s="166" t="s">
        <v>453</v>
      </c>
      <c r="F8" s="150">
        <f>Data!D10</f>
        <v>56</v>
      </c>
      <c r="G8" s="151">
        <v>20</v>
      </c>
      <c r="H8" s="151">
        <f>F8*G8</f>
        <v>1120</v>
      </c>
      <c r="I8" s="151">
        <v>2</v>
      </c>
      <c r="J8" s="151">
        <f>H8*I8</f>
        <v>2240</v>
      </c>
      <c r="K8" s="151">
        <v>0</v>
      </c>
      <c r="L8" s="152">
        <v>0</v>
      </c>
      <c r="M8" s="153">
        <f t="shared" ref="M8" si="4">J8-K8</f>
        <v>2240</v>
      </c>
      <c r="N8" s="153">
        <v>0</v>
      </c>
      <c r="O8" s="154">
        <f t="shared" ref="O8" si="5">+J8-K8</f>
        <v>2240</v>
      </c>
      <c r="P8" s="155" t="s">
        <v>412</v>
      </c>
    </row>
    <row r="9" spans="1:16" s="1" customFormat="1" ht="62.9" customHeight="1" x14ac:dyDescent="0.35">
      <c r="A9" s="117"/>
      <c r="B9" s="58" t="s">
        <v>273</v>
      </c>
      <c r="C9" s="59" t="s">
        <v>274</v>
      </c>
      <c r="D9" s="45" t="s">
        <v>169</v>
      </c>
      <c r="E9" s="50" t="s">
        <v>275</v>
      </c>
      <c r="F9" s="5">
        <f>Data!D10</f>
        <v>56</v>
      </c>
      <c r="G9" s="48">
        <v>21</v>
      </c>
      <c r="H9" s="48">
        <f t="shared" ref="H9" si="6">F9*G9</f>
        <v>1176</v>
      </c>
      <c r="I9" s="49">
        <v>1.5</v>
      </c>
      <c r="J9" s="48">
        <f t="shared" ref="J9" si="7">H9*I9</f>
        <v>1764</v>
      </c>
      <c r="K9" s="48">
        <f>J9</f>
        <v>1764</v>
      </c>
      <c r="L9" s="123">
        <v>0</v>
      </c>
      <c r="M9" s="124">
        <f t="shared" si="2"/>
        <v>0</v>
      </c>
      <c r="N9" s="124">
        <v>0</v>
      </c>
      <c r="O9" s="125">
        <f t="shared" si="3"/>
        <v>0</v>
      </c>
      <c r="P9" s="50"/>
    </row>
    <row r="10" spans="1:16" s="1" customFormat="1" ht="75.75" customHeight="1" x14ac:dyDescent="0.35">
      <c r="A10" s="117"/>
      <c r="B10" s="45" t="s">
        <v>276</v>
      </c>
      <c r="C10" s="50" t="s">
        <v>277</v>
      </c>
      <c r="D10" s="45" t="s">
        <v>276</v>
      </c>
      <c r="E10" s="50" t="s">
        <v>277</v>
      </c>
      <c r="F10" s="5">
        <f>Data!D10</f>
        <v>56</v>
      </c>
      <c r="G10" s="48">
        <v>1</v>
      </c>
      <c r="H10" s="48">
        <f>F10*G10</f>
        <v>56</v>
      </c>
      <c r="I10" s="48">
        <v>80</v>
      </c>
      <c r="J10" s="48">
        <f>H10*I10</f>
        <v>4480</v>
      </c>
      <c r="K10" s="48">
        <f>J10</f>
        <v>4480</v>
      </c>
      <c r="L10" s="123">
        <v>0</v>
      </c>
      <c r="M10" s="124">
        <f t="shared" si="2"/>
        <v>0</v>
      </c>
      <c r="N10" s="124">
        <v>0</v>
      </c>
      <c r="O10" s="125">
        <f t="shared" si="3"/>
        <v>0</v>
      </c>
      <c r="P10" s="50"/>
    </row>
    <row r="11" spans="1:16" s="1" customFormat="1" x14ac:dyDescent="0.35">
      <c r="A11" s="58"/>
      <c r="B11" s="58"/>
      <c r="C11" s="59"/>
      <c r="D11" s="195" t="s">
        <v>154</v>
      </c>
      <c r="E11" s="195"/>
      <c r="F11" s="132">
        <f>Data!D10</f>
        <v>56</v>
      </c>
      <c r="G11" s="75">
        <f>H11/F11</f>
        <v>48.142857142857146</v>
      </c>
      <c r="H11" s="75">
        <f>SUM(H5:H10)</f>
        <v>2696</v>
      </c>
      <c r="I11" s="78">
        <f>J11/H11</f>
        <v>4</v>
      </c>
      <c r="J11" s="75">
        <f t="shared" ref="J11:O11" si="8">SUM(J5:J10)</f>
        <v>10784</v>
      </c>
      <c r="K11" s="75">
        <f t="shared" si="8"/>
        <v>8540</v>
      </c>
      <c r="L11" s="75">
        <f t="shared" si="8"/>
        <v>0</v>
      </c>
      <c r="M11" s="75">
        <f t="shared" si="8"/>
        <v>2244</v>
      </c>
      <c r="N11" s="75">
        <f t="shared" si="8"/>
        <v>0</v>
      </c>
      <c r="O11" s="75">
        <f t="shared" si="8"/>
        <v>2244</v>
      </c>
      <c r="P11" s="50"/>
    </row>
    <row r="12" spans="1:16" ht="35.25" customHeight="1" x14ac:dyDescent="0.35">
      <c r="A12" s="181" t="s">
        <v>155</v>
      </c>
      <c r="B12" s="182"/>
      <c r="C12" s="182"/>
      <c r="D12" s="187"/>
      <c r="E12" s="187"/>
      <c r="F12" s="187"/>
      <c r="G12" s="187"/>
      <c r="H12" s="187"/>
      <c r="I12" s="187"/>
      <c r="J12" s="187"/>
      <c r="K12" s="187"/>
      <c r="L12" s="187"/>
      <c r="M12" s="187"/>
      <c r="N12" s="187"/>
      <c r="O12" s="187"/>
      <c r="P12" s="194"/>
    </row>
    <row r="13" spans="1:16" s="1" customFormat="1" ht="174" x14ac:dyDescent="0.35">
      <c r="A13" s="117"/>
      <c r="B13" s="45" t="s">
        <v>278</v>
      </c>
      <c r="C13" s="50" t="s">
        <v>279</v>
      </c>
      <c r="D13" s="45" t="s">
        <v>278</v>
      </c>
      <c r="E13" s="50" t="s">
        <v>279</v>
      </c>
      <c r="F13" s="48">
        <f>ROUND(Data!$D$34*Data!D23,0)</f>
        <v>3791</v>
      </c>
      <c r="G13" s="48">
        <v>3</v>
      </c>
      <c r="H13" s="48">
        <f t="shared" ref="H13:H15" si="9">F13*G13</f>
        <v>11373</v>
      </c>
      <c r="I13" s="48">
        <v>1</v>
      </c>
      <c r="J13" s="48">
        <f t="shared" ref="J13:J15" si="10">H13*I13</f>
        <v>11373</v>
      </c>
      <c r="K13" s="48">
        <f>J13</f>
        <v>11373</v>
      </c>
      <c r="L13" s="123">
        <v>0</v>
      </c>
      <c r="M13" s="124">
        <f t="shared" ref="M13:M15" si="11">J13-K13</f>
        <v>0</v>
      </c>
      <c r="N13" s="124">
        <v>0</v>
      </c>
      <c r="O13" s="125">
        <f t="shared" ref="O13:O15" si="12">+J13-K13</f>
        <v>0</v>
      </c>
      <c r="P13" s="50"/>
    </row>
    <row r="14" spans="1:16" s="1" customFormat="1" ht="29" x14ac:dyDescent="0.35">
      <c r="A14" s="117"/>
      <c r="B14" s="58" t="s">
        <v>280</v>
      </c>
      <c r="C14" s="63" t="s">
        <v>281</v>
      </c>
      <c r="D14" s="58" t="s">
        <v>280</v>
      </c>
      <c r="E14" s="63" t="s">
        <v>282</v>
      </c>
      <c r="F14" s="5">
        <f>ROUND(Data!$D$28*Data!$D$25,0)</f>
        <v>83</v>
      </c>
      <c r="G14" s="48">
        <f>Data!D40</f>
        <v>127</v>
      </c>
      <c r="H14" s="48">
        <f t="shared" ref="H14" si="13">F14*G14</f>
        <v>10541</v>
      </c>
      <c r="I14" s="28">
        <v>2.5000000000000001E-2</v>
      </c>
      <c r="J14" s="28">
        <f t="shared" ref="J14" si="14">H14*I14</f>
        <v>263.52500000000003</v>
      </c>
      <c r="K14" s="48">
        <f t="shared" ref="K14:K15" si="15">J14</f>
        <v>263.52500000000003</v>
      </c>
      <c r="L14" s="123">
        <v>0</v>
      </c>
      <c r="M14" s="124">
        <f t="shared" si="11"/>
        <v>0</v>
      </c>
      <c r="N14" s="124">
        <v>0</v>
      </c>
      <c r="O14" s="125">
        <f t="shared" si="12"/>
        <v>0</v>
      </c>
      <c r="P14" s="66"/>
    </row>
    <row r="15" spans="1:16" s="1" customFormat="1" ht="29" x14ac:dyDescent="0.35">
      <c r="A15" s="117"/>
      <c r="B15" s="58" t="s">
        <v>283</v>
      </c>
      <c r="C15" s="63" t="s">
        <v>284</v>
      </c>
      <c r="D15" s="64" t="s">
        <v>283</v>
      </c>
      <c r="E15" s="50" t="s">
        <v>285</v>
      </c>
      <c r="F15" s="5">
        <f>ROUND(Data!$D$28*Data!$D$25,0)</f>
        <v>83</v>
      </c>
      <c r="G15" s="48">
        <f>ROUND(Data!D40/3,0)</f>
        <v>42</v>
      </c>
      <c r="H15" s="48">
        <f t="shared" si="9"/>
        <v>3486</v>
      </c>
      <c r="I15" s="28">
        <v>2.5000000000000001E-2</v>
      </c>
      <c r="J15" s="49">
        <f t="shared" si="10"/>
        <v>87.15</v>
      </c>
      <c r="K15" s="48">
        <f t="shared" si="15"/>
        <v>87.15</v>
      </c>
      <c r="L15" s="123">
        <v>0</v>
      </c>
      <c r="M15" s="124">
        <f t="shared" si="11"/>
        <v>0</v>
      </c>
      <c r="N15" s="124">
        <v>0</v>
      </c>
      <c r="O15" s="125">
        <f t="shared" si="12"/>
        <v>0</v>
      </c>
      <c r="P15" s="66"/>
    </row>
    <row r="16" spans="1:16" s="1" customFormat="1" x14ac:dyDescent="0.35">
      <c r="A16" s="117"/>
      <c r="B16" s="58"/>
      <c r="C16" s="63"/>
      <c r="D16" s="195" t="s">
        <v>154</v>
      </c>
      <c r="E16" s="195"/>
      <c r="F16" s="75">
        <f>F13</f>
        <v>3791</v>
      </c>
      <c r="G16" s="75">
        <f>H16/F16</f>
        <v>6.7000791347929303</v>
      </c>
      <c r="H16" s="75">
        <f>SUM(H13:H15)</f>
        <v>25400</v>
      </c>
      <c r="I16" s="76">
        <f>J16/H16</f>
        <v>0.46156200787401575</v>
      </c>
      <c r="J16" s="75">
        <f>SUM(J13:J15)</f>
        <v>11723.674999999999</v>
      </c>
      <c r="K16" s="75">
        <f t="shared" ref="K16:N16" si="16">SUM(K13:K15)</f>
        <v>11723.674999999999</v>
      </c>
      <c r="L16" s="75">
        <f t="shared" si="16"/>
        <v>0</v>
      </c>
      <c r="M16" s="75">
        <f t="shared" si="16"/>
        <v>0</v>
      </c>
      <c r="N16" s="75">
        <f t="shared" si="16"/>
        <v>0</v>
      </c>
      <c r="O16" s="75">
        <f t="shared" ref="O16" si="17">SUM(O13:O15)</f>
        <v>0</v>
      </c>
      <c r="P16" s="89"/>
    </row>
    <row r="17" spans="1:16" s="1" customFormat="1" x14ac:dyDescent="0.35">
      <c r="A17" s="188" t="s">
        <v>216</v>
      </c>
      <c r="B17" s="188"/>
      <c r="C17" s="188"/>
      <c r="D17" s="188"/>
      <c r="E17" s="188"/>
      <c r="F17" s="13">
        <f>F11+F16</f>
        <v>3847</v>
      </c>
      <c r="G17" s="17">
        <f>H17/F17</f>
        <v>7.3033532622822976</v>
      </c>
      <c r="H17" s="17">
        <f>H11+H16</f>
        <v>28096</v>
      </c>
      <c r="I17" s="17">
        <f>J17/H17</f>
        <v>0.80109891087699314</v>
      </c>
      <c r="J17" s="17">
        <f>J11+J16</f>
        <v>22507.674999999999</v>
      </c>
      <c r="K17" s="17">
        <f t="shared" ref="K17:N17" si="18">K11+K16</f>
        <v>20263.674999999999</v>
      </c>
      <c r="L17" s="17">
        <f t="shared" si="18"/>
        <v>0</v>
      </c>
      <c r="M17" s="17">
        <f t="shared" si="18"/>
        <v>2244</v>
      </c>
      <c r="N17" s="17">
        <f t="shared" si="18"/>
        <v>0</v>
      </c>
      <c r="O17" s="17">
        <f t="shared" ref="O17" si="19">O11+O16</f>
        <v>2244</v>
      </c>
      <c r="P17" s="89"/>
    </row>
    <row r="18" spans="1:16" ht="20.5" customHeight="1" x14ac:dyDescent="0.35">
      <c r="A18" s="192" t="s">
        <v>217</v>
      </c>
      <c r="B18" s="193"/>
      <c r="C18" s="193"/>
      <c r="D18" s="187"/>
      <c r="E18" s="187"/>
      <c r="F18" s="187"/>
      <c r="G18" s="187"/>
      <c r="H18" s="187"/>
      <c r="I18" s="187"/>
      <c r="J18" s="187"/>
      <c r="K18" s="187"/>
      <c r="L18" s="187"/>
      <c r="M18" s="187"/>
      <c r="N18" s="187"/>
      <c r="O18" s="187"/>
      <c r="P18" s="194"/>
    </row>
    <row r="19" spans="1:16" ht="35.25" customHeight="1" x14ac:dyDescent="0.35">
      <c r="A19" s="184" t="s">
        <v>218</v>
      </c>
      <c r="B19" s="184"/>
      <c r="C19" s="184"/>
      <c r="D19" s="185" t="s">
        <v>218</v>
      </c>
      <c r="E19" s="186"/>
      <c r="F19" s="186"/>
      <c r="G19" s="186"/>
      <c r="H19" s="186"/>
      <c r="I19" s="186"/>
      <c r="J19" s="186"/>
      <c r="K19" s="186"/>
      <c r="L19" s="186"/>
      <c r="M19" s="186"/>
      <c r="N19" s="186"/>
      <c r="O19" s="186"/>
      <c r="P19" s="89"/>
    </row>
    <row r="20" spans="1:16" s="1" customFormat="1" ht="174" x14ac:dyDescent="0.35">
      <c r="A20" s="117"/>
      <c r="B20" s="45" t="s">
        <v>278</v>
      </c>
      <c r="C20" s="50" t="s">
        <v>286</v>
      </c>
      <c r="D20" s="45" t="s">
        <v>278</v>
      </c>
      <c r="E20" s="50" t="s">
        <v>286</v>
      </c>
      <c r="F20" s="48">
        <f>ROUND(Data!$D$34*Data!D24,0)</f>
        <v>21650</v>
      </c>
      <c r="G20" s="48">
        <v>3</v>
      </c>
      <c r="H20" s="48">
        <f t="shared" ref="H20:H23" si="20">F20*G20</f>
        <v>64950</v>
      </c>
      <c r="I20" s="48">
        <v>1</v>
      </c>
      <c r="J20" s="48">
        <f t="shared" ref="J20:J23" si="21">H20*I20</f>
        <v>64950</v>
      </c>
      <c r="K20" s="48">
        <f>J20</f>
        <v>64950</v>
      </c>
      <c r="L20" s="123">
        <v>0</v>
      </c>
      <c r="M20" s="124">
        <f t="shared" ref="M20" si="22">J20-K20</f>
        <v>0</v>
      </c>
      <c r="N20" s="124">
        <v>0</v>
      </c>
      <c r="O20" s="125">
        <f t="shared" ref="O20" si="23">+J20-K20</f>
        <v>0</v>
      </c>
      <c r="P20" s="50"/>
    </row>
    <row r="21" spans="1:16" s="1" customFormat="1" ht="29" x14ac:dyDescent="0.35">
      <c r="A21" s="117"/>
      <c r="B21" s="58" t="s">
        <v>280</v>
      </c>
      <c r="C21" s="63" t="s">
        <v>281</v>
      </c>
      <c r="D21" s="58" t="s">
        <v>280</v>
      </c>
      <c r="E21" s="63" t="s">
        <v>282</v>
      </c>
      <c r="F21" s="5">
        <f>ROUND(Data!$D$28*Data!$D$26,0)</f>
        <v>551</v>
      </c>
      <c r="G21" s="48">
        <f>Data!D40</f>
        <v>127</v>
      </c>
      <c r="H21" s="48">
        <f t="shared" si="20"/>
        <v>69977</v>
      </c>
      <c r="I21" s="28">
        <v>2.5000000000000001E-2</v>
      </c>
      <c r="J21" s="60">
        <f t="shared" si="21"/>
        <v>1749.4250000000002</v>
      </c>
      <c r="K21" s="48">
        <f t="shared" ref="K21:K23" si="24">J21</f>
        <v>1749.4250000000002</v>
      </c>
      <c r="L21" s="123">
        <v>0</v>
      </c>
      <c r="M21" s="124">
        <f t="shared" ref="M21:M23" si="25">J21-K21</f>
        <v>0</v>
      </c>
      <c r="N21" s="124">
        <v>0</v>
      </c>
      <c r="O21" s="125">
        <f t="shared" ref="O21:O23" si="26">+J21-K21</f>
        <v>0</v>
      </c>
      <c r="P21" s="66"/>
    </row>
    <row r="22" spans="1:16" s="1" customFormat="1" ht="130.5" x14ac:dyDescent="0.35">
      <c r="A22" s="117"/>
      <c r="B22" s="64" t="s">
        <v>395</v>
      </c>
      <c r="C22" s="50" t="s">
        <v>396</v>
      </c>
      <c r="D22" s="64" t="s">
        <v>395</v>
      </c>
      <c r="E22" s="50" t="s">
        <v>396</v>
      </c>
      <c r="F22" s="5">
        <f>70</f>
        <v>70</v>
      </c>
      <c r="G22" s="48">
        <f>1</f>
        <v>1</v>
      </c>
      <c r="H22" s="48">
        <f>F22*G22</f>
        <v>70</v>
      </c>
      <c r="I22" s="28">
        <f>1.25</f>
        <v>1.25</v>
      </c>
      <c r="J22" s="48">
        <f>ROUND(I22*H22,0)</f>
        <v>88</v>
      </c>
      <c r="K22" s="48">
        <v>88</v>
      </c>
      <c r="L22" s="123">
        <v>0</v>
      </c>
      <c r="M22" s="124">
        <f>J22-K22</f>
        <v>0</v>
      </c>
      <c r="N22" s="124">
        <v>0</v>
      </c>
      <c r="O22" s="125">
        <f>+J22-K22</f>
        <v>0</v>
      </c>
      <c r="P22" s="50" t="s">
        <v>462</v>
      </c>
    </row>
    <row r="23" spans="1:16" s="1" customFormat="1" ht="29" x14ac:dyDescent="0.35">
      <c r="A23" s="117"/>
      <c r="B23" s="58" t="s">
        <v>283</v>
      </c>
      <c r="C23" s="63" t="s">
        <v>284</v>
      </c>
      <c r="D23" s="64" t="s">
        <v>283</v>
      </c>
      <c r="E23" s="50" t="s">
        <v>285</v>
      </c>
      <c r="F23" s="5">
        <f>ROUND(Data!$D$28*Data!$D$26,0)</f>
        <v>551</v>
      </c>
      <c r="G23" s="48">
        <f>ROUND(Data!D40/3,0)</f>
        <v>42</v>
      </c>
      <c r="H23" s="48">
        <f t="shared" si="20"/>
        <v>23142</v>
      </c>
      <c r="I23" s="28">
        <v>2.5000000000000001E-2</v>
      </c>
      <c r="J23" s="49">
        <f t="shared" si="21"/>
        <v>578.55000000000007</v>
      </c>
      <c r="K23" s="48">
        <f t="shared" si="24"/>
        <v>578.55000000000007</v>
      </c>
      <c r="L23" s="123">
        <v>0</v>
      </c>
      <c r="M23" s="124">
        <f t="shared" si="25"/>
        <v>0</v>
      </c>
      <c r="N23" s="124">
        <v>0</v>
      </c>
      <c r="O23" s="125">
        <f t="shared" si="26"/>
        <v>0</v>
      </c>
      <c r="P23" s="66"/>
    </row>
    <row r="24" spans="1:16" s="1" customFormat="1" x14ac:dyDescent="0.35">
      <c r="A24" s="117"/>
      <c r="B24" s="58"/>
      <c r="C24" s="63"/>
      <c r="D24" s="195" t="s">
        <v>154</v>
      </c>
      <c r="E24" s="195"/>
      <c r="F24" s="75">
        <f>F20</f>
        <v>21650</v>
      </c>
      <c r="G24" s="78">
        <f>H24/F24</f>
        <v>7.3043418013856813</v>
      </c>
      <c r="H24" s="75">
        <f>SUM(H20:H23)</f>
        <v>158139</v>
      </c>
      <c r="I24" s="78">
        <f>J24/H24</f>
        <v>0.42599216512055854</v>
      </c>
      <c r="J24" s="75">
        <f t="shared" ref="J24:O24" si="27">SUM(J20:J23)</f>
        <v>67365.975000000006</v>
      </c>
      <c r="K24" s="75">
        <f t="shared" si="27"/>
        <v>67365.975000000006</v>
      </c>
      <c r="L24" s="75">
        <f t="shared" si="27"/>
        <v>0</v>
      </c>
      <c r="M24" s="75">
        <f t="shared" si="27"/>
        <v>0</v>
      </c>
      <c r="N24" s="75">
        <f t="shared" si="27"/>
        <v>0</v>
      </c>
      <c r="O24" s="75">
        <f t="shared" si="27"/>
        <v>0</v>
      </c>
      <c r="P24" s="89"/>
    </row>
    <row r="25" spans="1:16" s="2" customFormat="1" ht="35.25" customHeight="1" x14ac:dyDescent="0.35">
      <c r="A25" s="189" t="s">
        <v>232</v>
      </c>
      <c r="B25" s="189"/>
      <c r="C25" s="189"/>
      <c r="D25" s="190" t="s">
        <v>232</v>
      </c>
      <c r="E25" s="191"/>
      <c r="F25" s="191"/>
      <c r="G25" s="191"/>
      <c r="H25" s="191"/>
      <c r="I25" s="191"/>
      <c r="J25" s="191"/>
      <c r="K25" s="191"/>
      <c r="L25" s="191"/>
      <c r="M25" s="191"/>
      <c r="N25" s="191"/>
      <c r="O25" s="191"/>
      <c r="P25" s="89"/>
    </row>
    <row r="26" spans="1:16" s="1" customFormat="1" ht="174" x14ac:dyDescent="0.35">
      <c r="A26" s="117"/>
      <c r="B26" s="100" t="s">
        <v>287</v>
      </c>
      <c r="C26" s="59" t="s">
        <v>288</v>
      </c>
      <c r="D26" s="100" t="s">
        <v>287</v>
      </c>
      <c r="E26" s="59" t="s">
        <v>288</v>
      </c>
      <c r="F26" s="48">
        <f>Data!D37+Data!D38</f>
        <v>159490</v>
      </c>
      <c r="G26" s="48">
        <v>3</v>
      </c>
      <c r="H26" s="48">
        <f t="shared" ref="H26" si="28">F26*G26</f>
        <v>478470</v>
      </c>
      <c r="I26" s="48">
        <v>1</v>
      </c>
      <c r="J26" s="48">
        <f t="shared" ref="J26" si="29">H26*I26</f>
        <v>478470</v>
      </c>
      <c r="K26" s="48">
        <f>J26</f>
        <v>478470</v>
      </c>
      <c r="L26" s="123">
        <v>0</v>
      </c>
      <c r="M26" s="124">
        <f t="shared" ref="M26:M27" si="30">J26-K26</f>
        <v>0</v>
      </c>
      <c r="N26" s="124">
        <v>0</v>
      </c>
      <c r="O26" s="125">
        <f t="shared" ref="O26:O27" si="31">+J26-K26</f>
        <v>0</v>
      </c>
      <c r="P26" s="50"/>
    </row>
    <row r="27" spans="1:16" s="1" customFormat="1" ht="121.75" customHeight="1" x14ac:dyDescent="0.35">
      <c r="A27" s="46"/>
      <c r="B27" s="141" t="s">
        <v>395</v>
      </c>
      <c r="C27" s="59" t="s">
        <v>397</v>
      </c>
      <c r="D27" s="141" t="s">
        <v>395</v>
      </c>
      <c r="E27" s="59" t="s">
        <v>397</v>
      </c>
      <c r="F27" s="48">
        <f>540</f>
        <v>540</v>
      </c>
      <c r="G27" s="48">
        <f>1</f>
        <v>1</v>
      </c>
      <c r="H27" s="48">
        <f>F27*G27</f>
        <v>540</v>
      </c>
      <c r="I27" s="48">
        <f>1.25</f>
        <v>1.25</v>
      </c>
      <c r="J27" s="48">
        <f>H27*I27</f>
        <v>675</v>
      </c>
      <c r="K27" s="48">
        <v>675</v>
      </c>
      <c r="L27" s="123">
        <v>0</v>
      </c>
      <c r="M27" s="124">
        <f t="shared" si="30"/>
        <v>0</v>
      </c>
      <c r="N27" s="124">
        <v>0</v>
      </c>
      <c r="O27" s="125">
        <f t="shared" si="31"/>
        <v>0</v>
      </c>
      <c r="P27" s="50"/>
    </row>
    <row r="28" spans="1:16" s="1" customFormat="1" x14ac:dyDescent="0.35">
      <c r="A28" s="59"/>
      <c r="B28" s="59"/>
      <c r="C28" s="59"/>
      <c r="D28" s="195" t="s">
        <v>154</v>
      </c>
      <c r="E28" s="195"/>
      <c r="F28" s="75">
        <f>F26</f>
        <v>159490</v>
      </c>
      <c r="G28" s="78">
        <f>H28/F28</f>
        <v>3.0033857922126779</v>
      </c>
      <c r="H28" s="75">
        <f>SUM(H26:H27)</f>
        <v>479010</v>
      </c>
      <c r="I28" s="78">
        <f>J28/H28</f>
        <v>1.0002818312770088</v>
      </c>
      <c r="J28" s="75">
        <f>SUM(J26:J27)</f>
        <v>479145</v>
      </c>
      <c r="K28" s="75">
        <f t="shared" ref="K28:N28" si="32">SUM(K26:K27)</f>
        <v>479145</v>
      </c>
      <c r="L28" s="75">
        <f t="shared" si="32"/>
        <v>0</v>
      </c>
      <c r="M28" s="75">
        <f t="shared" si="32"/>
        <v>0</v>
      </c>
      <c r="N28" s="75">
        <f t="shared" si="32"/>
        <v>0</v>
      </c>
      <c r="O28" s="75">
        <f>O26+O27</f>
        <v>0</v>
      </c>
      <c r="P28" s="89"/>
    </row>
    <row r="29" spans="1:16" s="1" customFormat="1" x14ac:dyDescent="0.35">
      <c r="A29" s="188" t="s">
        <v>246</v>
      </c>
      <c r="B29" s="188"/>
      <c r="C29" s="188"/>
      <c r="D29" s="188"/>
      <c r="E29" s="188"/>
      <c r="F29" s="13">
        <f>F24+F28</f>
        <v>181140</v>
      </c>
      <c r="G29" s="17">
        <f>H29/F29</f>
        <v>3.5174395495197084</v>
      </c>
      <c r="H29" s="17">
        <f>H24+H28</f>
        <v>637149</v>
      </c>
      <c r="I29" s="17">
        <f>J29/H29</f>
        <v>0.85774438161246425</v>
      </c>
      <c r="J29" s="17">
        <f t="shared" ref="J29:N29" si="33">J24+J28</f>
        <v>546510.97499999998</v>
      </c>
      <c r="K29" s="17">
        <f>K24+K28</f>
        <v>546510.97499999998</v>
      </c>
      <c r="L29" s="17">
        <f t="shared" si="33"/>
        <v>0</v>
      </c>
      <c r="M29" s="17">
        <f t="shared" si="33"/>
        <v>0</v>
      </c>
      <c r="N29" s="17">
        <f t="shared" si="33"/>
        <v>0</v>
      </c>
      <c r="O29" s="17">
        <f>O24+O28</f>
        <v>0</v>
      </c>
      <c r="P29" s="89"/>
    </row>
    <row r="32" spans="1:16" x14ac:dyDescent="0.35">
      <c r="D32" s="87"/>
      <c r="E32" s="67"/>
      <c r="F32" s="67"/>
      <c r="G32" s="67"/>
      <c r="H32" s="67"/>
      <c r="I32" s="67"/>
      <c r="J32" s="67"/>
      <c r="K32" s="177" t="s">
        <v>3</v>
      </c>
      <c r="L32" s="177"/>
      <c r="M32" s="177"/>
      <c r="N32" s="177"/>
      <c r="O32" s="106" t="s">
        <v>4</v>
      </c>
    </row>
    <row r="33" spans="4:15" ht="43.5" x14ac:dyDescent="0.35">
      <c r="D33" s="87"/>
      <c r="E33" s="170" t="s">
        <v>289</v>
      </c>
      <c r="F33" s="6" t="s">
        <v>6</v>
      </c>
      <c r="G33" s="7" t="s">
        <v>7</v>
      </c>
      <c r="H33" s="10" t="s">
        <v>8</v>
      </c>
      <c r="I33" s="21" t="s">
        <v>9</v>
      </c>
      <c r="J33" s="21" t="s">
        <v>10</v>
      </c>
      <c r="K33" s="21" t="s">
        <v>11</v>
      </c>
      <c r="L33" s="21" t="s">
        <v>12</v>
      </c>
      <c r="M33" s="21" t="s">
        <v>13</v>
      </c>
      <c r="N33" s="21" t="s">
        <v>14</v>
      </c>
      <c r="O33" s="21" t="s">
        <v>11</v>
      </c>
    </row>
    <row r="34" spans="4:15" x14ac:dyDescent="0.35">
      <c r="D34" s="87"/>
      <c r="E34" s="170"/>
      <c r="F34" s="8" t="s">
        <v>16</v>
      </c>
      <c r="G34" s="8" t="s">
        <v>17</v>
      </c>
      <c r="H34" s="8" t="s">
        <v>290</v>
      </c>
      <c r="I34" s="68" t="s">
        <v>18</v>
      </c>
      <c r="J34" s="68" t="s">
        <v>19</v>
      </c>
      <c r="K34" s="68" t="s">
        <v>20</v>
      </c>
      <c r="L34" s="68" t="s">
        <v>262</v>
      </c>
      <c r="M34" s="68" t="s">
        <v>21</v>
      </c>
      <c r="N34" s="68" t="s">
        <v>291</v>
      </c>
      <c r="O34" s="68" t="s">
        <v>20</v>
      </c>
    </row>
    <row r="35" spans="4:15" x14ac:dyDescent="0.35">
      <c r="D35" s="87"/>
      <c r="E35" s="220" t="s">
        <v>265</v>
      </c>
      <c r="F35" s="218">
        <f>F17</f>
        <v>3847</v>
      </c>
      <c r="G35" s="219">
        <f t="shared" ref="G35:O35" si="34">G17</f>
        <v>7.3033532622822976</v>
      </c>
      <c r="H35" s="219">
        <f t="shared" si="34"/>
        <v>28096</v>
      </c>
      <c r="I35" s="219">
        <f t="shared" si="34"/>
        <v>0.80109891087699314</v>
      </c>
      <c r="J35" s="219">
        <f t="shared" si="34"/>
        <v>22507.674999999999</v>
      </c>
      <c r="K35" s="219">
        <f t="shared" si="34"/>
        <v>20263.674999999999</v>
      </c>
      <c r="L35" s="219">
        <f t="shared" si="34"/>
        <v>0</v>
      </c>
      <c r="M35" s="219">
        <f t="shared" si="34"/>
        <v>2244</v>
      </c>
      <c r="N35" s="219">
        <f t="shared" si="34"/>
        <v>0</v>
      </c>
      <c r="O35" s="219">
        <f t="shared" si="34"/>
        <v>2244</v>
      </c>
    </row>
    <row r="36" spans="4:15" x14ac:dyDescent="0.35">
      <c r="D36" s="87"/>
      <c r="E36" s="217" t="s">
        <v>266</v>
      </c>
      <c r="F36" s="218">
        <f t="shared" ref="F36:L36" si="35">F29</f>
        <v>181140</v>
      </c>
      <c r="G36" s="219">
        <f t="shared" si="35"/>
        <v>3.5174395495197084</v>
      </c>
      <c r="H36" s="219">
        <f t="shared" si="35"/>
        <v>637149</v>
      </c>
      <c r="I36" s="219">
        <f t="shared" si="35"/>
        <v>0.85774438161246425</v>
      </c>
      <c r="J36" s="219">
        <f t="shared" si="35"/>
        <v>546510.97499999998</v>
      </c>
      <c r="K36" s="219">
        <f t="shared" si="35"/>
        <v>546510.97499999998</v>
      </c>
      <c r="L36" s="219">
        <f t="shared" si="35"/>
        <v>0</v>
      </c>
      <c r="M36" s="219">
        <f t="shared" ref="M36" si="36">M29</f>
        <v>0</v>
      </c>
      <c r="N36" s="219">
        <f>N29</f>
        <v>0</v>
      </c>
      <c r="O36" s="219">
        <f t="shared" ref="O36" si="37">O29</f>
        <v>0</v>
      </c>
    </row>
    <row r="37" spans="4:15" x14ac:dyDescent="0.35">
      <c r="D37" s="87"/>
      <c r="E37" s="217" t="s">
        <v>292</v>
      </c>
      <c r="F37" s="221">
        <f>SUM(F35:F36)</f>
        <v>184987</v>
      </c>
      <c r="G37" s="222">
        <f>H37/F37</f>
        <v>3.5961716228707963</v>
      </c>
      <c r="H37" s="223">
        <f>SUM(H35:H36)</f>
        <v>665245</v>
      </c>
      <c r="I37" s="222">
        <f>J37/H37</f>
        <v>0.85535201316808096</v>
      </c>
      <c r="J37" s="223">
        <f t="shared" ref="J37:O37" si="38">SUM(J35:J36)</f>
        <v>569018.65</v>
      </c>
      <c r="K37" s="223">
        <f t="shared" si="38"/>
        <v>566774.65</v>
      </c>
      <c r="L37" s="223">
        <f t="shared" si="38"/>
        <v>0</v>
      </c>
      <c r="M37" s="223">
        <f t="shared" si="38"/>
        <v>2244</v>
      </c>
      <c r="N37" s="223">
        <f t="shared" si="38"/>
        <v>0</v>
      </c>
      <c r="O37" s="223">
        <f t="shared" si="38"/>
        <v>2244</v>
      </c>
    </row>
    <row r="38" spans="4:15" x14ac:dyDescent="0.35">
      <c r="D38" s="87"/>
    </row>
    <row r="39" spans="4:15" x14ac:dyDescent="0.35">
      <c r="D39" s="87"/>
    </row>
    <row r="40" spans="4:15" x14ac:dyDescent="0.35">
      <c r="D40" s="87"/>
    </row>
    <row r="41" spans="4:15" x14ac:dyDescent="0.35">
      <c r="D41" s="87"/>
      <c r="E41"/>
      <c r="F41"/>
      <c r="G41"/>
      <c r="H41"/>
      <c r="I41"/>
      <c r="J41"/>
      <c r="K41"/>
      <c r="L41"/>
      <c r="M41"/>
      <c r="N41"/>
      <c r="O41"/>
    </row>
    <row r="42" spans="4:15" x14ac:dyDescent="0.35">
      <c r="D42" s="87"/>
      <c r="E42"/>
      <c r="F42"/>
      <c r="G42"/>
      <c r="H42"/>
      <c r="I42"/>
      <c r="J42"/>
      <c r="K42"/>
      <c r="L42"/>
      <c r="M42"/>
      <c r="N42"/>
      <c r="O42"/>
    </row>
    <row r="43" spans="4:15" x14ac:dyDescent="0.35">
      <c r="D43" s="87"/>
      <c r="E43"/>
      <c r="F43"/>
      <c r="G43"/>
      <c r="H43"/>
      <c r="I43"/>
      <c r="J43"/>
      <c r="K43"/>
      <c r="L43"/>
      <c r="M43"/>
      <c r="N43"/>
      <c r="O43"/>
    </row>
    <row r="44" spans="4:15" x14ac:dyDescent="0.35">
      <c r="D44" s="87"/>
      <c r="E44"/>
      <c r="F44"/>
      <c r="G44"/>
      <c r="H44"/>
      <c r="I44"/>
      <c r="J44"/>
      <c r="K44"/>
      <c r="L44"/>
      <c r="M44"/>
      <c r="N44"/>
      <c r="O44"/>
    </row>
    <row r="45" spans="4:15" x14ac:dyDescent="0.35">
      <c r="D45" s="87"/>
      <c r="E45"/>
      <c r="F45"/>
      <c r="G45"/>
      <c r="H45"/>
      <c r="I45"/>
      <c r="J45"/>
      <c r="K45"/>
      <c r="L45"/>
      <c r="M45"/>
      <c r="N45"/>
      <c r="O45"/>
    </row>
    <row r="46" spans="4:15" x14ac:dyDescent="0.35">
      <c r="D46" s="87"/>
      <c r="E46"/>
      <c r="F46"/>
      <c r="G46"/>
      <c r="H46"/>
      <c r="I46"/>
      <c r="J46"/>
      <c r="K46"/>
      <c r="L46"/>
      <c r="M46"/>
      <c r="N46"/>
      <c r="O46"/>
    </row>
    <row r="47" spans="4:15" x14ac:dyDescent="0.35">
      <c r="D47" s="87"/>
      <c r="E47"/>
      <c r="F47"/>
      <c r="G47"/>
      <c r="H47"/>
      <c r="I47"/>
      <c r="J47"/>
      <c r="K47"/>
      <c r="L47"/>
      <c r="M47"/>
      <c r="N47"/>
      <c r="O47"/>
    </row>
    <row r="48" spans="4:15" x14ac:dyDescent="0.35">
      <c r="D48" s="87"/>
      <c r="E48"/>
      <c r="F48"/>
      <c r="G48"/>
      <c r="H48"/>
      <c r="I48"/>
      <c r="J48"/>
      <c r="K48"/>
      <c r="L48"/>
      <c r="M48"/>
      <c r="N48"/>
      <c r="O48"/>
    </row>
    <row r="49" spans="4:15" x14ac:dyDescent="0.35">
      <c r="D49" s="87"/>
      <c r="E49"/>
      <c r="F49"/>
      <c r="G49"/>
      <c r="H49"/>
      <c r="I49"/>
      <c r="J49"/>
      <c r="K49"/>
      <c r="L49"/>
      <c r="M49"/>
      <c r="N49"/>
      <c r="O49"/>
    </row>
    <row r="50" spans="4:15" x14ac:dyDescent="0.35">
      <c r="D50" s="87"/>
      <c r="E50"/>
      <c r="F50"/>
      <c r="G50"/>
      <c r="H50"/>
      <c r="I50"/>
      <c r="J50"/>
      <c r="K50"/>
      <c r="L50"/>
      <c r="M50"/>
      <c r="N50"/>
      <c r="O50"/>
    </row>
  </sheetData>
  <mergeCells count="17">
    <mergeCell ref="D11:E11"/>
    <mergeCell ref="D16:E16"/>
    <mergeCell ref="D28:E28"/>
    <mergeCell ref="D24:E24"/>
    <mergeCell ref="A2:C2"/>
    <mergeCell ref="D2:E2"/>
    <mergeCell ref="A4:O4"/>
    <mergeCell ref="A12:P12"/>
    <mergeCell ref="E33:E34"/>
    <mergeCell ref="A29:E29"/>
    <mergeCell ref="A17:E17"/>
    <mergeCell ref="A25:C25"/>
    <mergeCell ref="A19:C19"/>
    <mergeCell ref="D19:O19"/>
    <mergeCell ref="D25:O25"/>
    <mergeCell ref="K32:N32"/>
    <mergeCell ref="A18:P18"/>
  </mergeCells>
  <printOptions horizontalCentered="1"/>
  <pageMargins left="0.2" right="0.2" top="0.75" bottom="0.5" header="0.3" footer="0.3"/>
  <pageSetup paperSize="5" scale="34" fitToHeight="0" orientation="landscape" r:id="rId1"/>
  <headerFooter>
    <oddHeader>&amp;C&amp;"-,Bold"&amp;14Appendix I: Estimates of the Hour Burden of the Collection of Information Reporting – OMB Control Number 0584-0055
RECORDKEEPING</oddHeader>
    <oddFooter>&amp;CPage &amp;P</oddFooter>
  </headerFooter>
  <ignoredErrors>
    <ignoredError sqref="J37 H37:I37 G37 I24 I16 J17 G17 G28:G29 I28:I29 J29 I11 H29"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Q20"/>
  <sheetViews>
    <sheetView showGridLines="0" zoomScale="70" zoomScaleNormal="70" zoomScalePageLayoutView="75" workbookViewId="0">
      <pane ySplit="3" topLeftCell="A11" activePane="bottomLeft" state="frozen"/>
      <selection pane="bottomLeft"/>
    </sheetView>
  </sheetViews>
  <sheetFormatPr defaultColWidth="9.453125" defaultRowHeight="14.5" x14ac:dyDescent="0.35"/>
  <cols>
    <col min="1" max="1" width="13.1796875" customWidth="1"/>
    <col min="2" max="2" width="18.54296875" customWidth="1"/>
    <col min="3" max="3" width="40" customWidth="1"/>
    <col min="4" max="4" width="18.54296875" customWidth="1"/>
    <col min="5" max="5" width="49" customWidth="1"/>
    <col min="6" max="8" width="17.54296875" style="4" customWidth="1"/>
    <col min="9" max="15" width="17.54296875" style="16" customWidth="1"/>
    <col min="16" max="16" width="39.453125" customWidth="1"/>
  </cols>
  <sheetData>
    <row r="1" spans="1:17" ht="24" customHeight="1" thickBot="1" x14ac:dyDescent="0.4">
      <c r="A1" s="169" t="s">
        <v>477</v>
      </c>
      <c r="F1"/>
      <c r="G1"/>
      <c r="H1"/>
      <c r="I1"/>
      <c r="J1"/>
      <c r="K1"/>
      <c r="L1"/>
      <c r="M1"/>
      <c r="N1"/>
      <c r="O1" s="103"/>
    </row>
    <row r="2" spans="1:17" x14ac:dyDescent="0.35">
      <c r="A2" s="199" t="s">
        <v>1</v>
      </c>
      <c r="B2" s="178"/>
      <c r="C2" s="178"/>
      <c r="D2" s="200" t="s">
        <v>2</v>
      </c>
      <c r="E2" s="200"/>
      <c r="F2" s="108" t="s">
        <v>16</v>
      </c>
      <c r="G2" s="108" t="s">
        <v>17</v>
      </c>
      <c r="H2" s="108" t="s">
        <v>399</v>
      </c>
      <c r="I2" s="108" t="s">
        <v>18</v>
      </c>
      <c r="J2" s="119" t="s">
        <v>400</v>
      </c>
      <c r="K2" s="119" t="s">
        <v>20</v>
      </c>
      <c r="L2" s="119"/>
      <c r="M2" s="119"/>
      <c r="N2" s="119"/>
      <c r="O2" s="119" t="s">
        <v>401</v>
      </c>
    </row>
    <row r="3" spans="1:17" s="2" customFormat="1" ht="58" x14ac:dyDescent="0.35">
      <c r="A3" s="109" t="s">
        <v>403</v>
      </c>
      <c r="B3" s="109" t="s">
        <v>402</v>
      </c>
      <c r="C3" s="110" t="s">
        <v>5</v>
      </c>
      <c r="D3" s="109" t="s">
        <v>402</v>
      </c>
      <c r="E3" s="110" t="s">
        <v>5</v>
      </c>
      <c r="F3" s="111" t="s">
        <v>6</v>
      </c>
      <c r="G3" s="112" t="s">
        <v>7</v>
      </c>
      <c r="H3" s="113" t="s">
        <v>8</v>
      </c>
      <c r="I3" s="114" t="s">
        <v>9</v>
      </c>
      <c r="J3" s="114" t="s">
        <v>10</v>
      </c>
      <c r="K3" s="114" t="s">
        <v>405</v>
      </c>
      <c r="L3" s="114" t="s">
        <v>406</v>
      </c>
      <c r="M3" s="114" t="s">
        <v>407</v>
      </c>
      <c r="N3" s="114" t="s">
        <v>408</v>
      </c>
      <c r="O3" s="114" t="s">
        <v>409</v>
      </c>
      <c r="P3" s="116" t="s">
        <v>15</v>
      </c>
    </row>
    <row r="4" spans="1:17" ht="20.5" customHeight="1" x14ac:dyDescent="0.35">
      <c r="A4" s="181" t="s">
        <v>398</v>
      </c>
      <c r="B4" s="182"/>
      <c r="C4" s="183"/>
      <c r="D4" s="183"/>
      <c r="E4" s="183"/>
      <c r="F4" s="183"/>
      <c r="G4" s="183"/>
      <c r="H4" s="183"/>
      <c r="I4" s="183"/>
      <c r="J4" s="183"/>
      <c r="K4" s="183"/>
      <c r="L4" s="183"/>
      <c r="M4" s="183"/>
      <c r="N4" s="183"/>
      <c r="O4" s="183"/>
      <c r="P4" s="198"/>
    </row>
    <row r="5" spans="1:17" s="1" customFormat="1" ht="108.65" customHeight="1" x14ac:dyDescent="0.35">
      <c r="A5" s="130"/>
      <c r="B5" s="45" t="s">
        <v>293</v>
      </c>
      <c r="C5" s="45" t="s">
        <v>294</v>
      </c>
      <c r="D5" s="45" t="s">
        <v>293</v>
      </c>
      <c r="E5" s="45" t="s">
        <v>294</v>
      </c>
      <c r="F5" s="48">
        <f>ROUND(Data!D10*0.5,0)</f>
        <v>28</v>
      </c>
      <c r="G5" s="48">
        <v>1</v>
      </c>
      <c r="H5" s="48">
        <f>F5*G5</f>
        <v>28</v>
      </c>
      <c r="I5" s="49">
        <v>0.25</v>
      </c>
      <c r="J5" s="48">
        <f>H5*I5</f>
        <v>7</v>
      </c>
      <c r="K5" s="48">
        <f>J5</f>
        <v>7</v>
      </c>
      <c r="L5" s="123">
        <v>0</v>
      </c>
      <c r="M5" s="124">
        <f>J5-K5</f>
        <v>0</v>
      </c>
      <c r="N5" s="124">
        <v>0</v>
      </c>
      <c r="O5" s="125">
        <f t="shared" ref="O5" si="0">+J5-K5</f>
        <v>0</v>
      </c>
      <c r="P5" s="50"/>
    </row>
    <row r="6" spans="1:17" ht="20.5" customHeight="1" x14ac:dyDescent="0.35">
      <c r="A6" s="181" t="s">
        <v>155</v>
      </c>
      <c r="B6" s="182"/>
      <c r="C6" s="187"/>
      <c r="D6" s="187"/>
      <c r="E6" s="187"/>
      <c r="F6" s="187"/>
      <c r="G6" s="187"/>
      <c r="H6" s="187"/>
      <c r="I6" s="187"/>
      <c r="J6" s="187"/>
      <c r="K6" s="187"/>
      <c r="L6" s="187"/>
      <c r="M6" s="187"/>
      <c r="N6" s="187"/>
      <c r="O6" s="187"/>
      <c r="P6" s="187"/>
      <c r="Q6" s="122"/>
    </row>
    <row r="7" spans="1:17" s="1" customFormat="1" ht="101.5" customHeight="1" x14ac:dyDescent="0.35">
      <c r="A7" s="130"/>
      <c r="B7" s="45" t="s">
        <v>293</v>
      </c>
      <c r="C7" s="45" t="s">
        <v>295</v>
      </c>
      <c r="D7" s="45" t="s">
        <v>293</v>
      </c>
      <c r="E7" s="45" t="s">
        <v>295</v>
      </c>
      <c r="F7" s="48">
        <f>ROUND(ROUND(Data!$D$27*Data!D23,0)*0.5,0)</f>
        <v>1629</v>
      </c>
      <c r="G7" s="48">
        <v>1</v>
      </c>
      <c r="H7" s="48">
        <f>F7*G7</f>
        <v>1629</v>
      </c>
      <c r="I7" s="49">
        <v>0.25</v>
      </c>
      <c r="J7" s="49">
        <f>H7*I7</f>
        <v>407.25</v>
      </c>
      <c r="K7" s="48">
        <f>J7</f>
        <v>407.25</v>
      </c>
      <c r="L7" s="123">
        <v>0</v>
      </c>
      <c r="M7" s="124">
        <f>J7-K7</f>
        <v>0</v>
      </c>
      <c r="N7" s="124">
        <v>0</v>
      </c>
      <c r="O7" s="125">
        <f t="shared" ref="O7" si="1">+J7-K7</f>
        <v>0</v>
      </c>
      <c r="P7" s="50"/>
    </row>
    <row r="8" spans="1:17" ht="22.5" customHeight="1" x14ac:dyDescent="0.35">
      <c r="A8" s="196" t="s">
        <v>216</v>
      </c>
      <c r="B8" s="196"/>
      <c r="C8" s="196"/>
      <c r="D8" s="196"/>
      <c r="E8" s="196"/>
      <c r="F8" s="13">
        <f>F5+F7</f>
        <v>1657</v>
      </c>
      <c r="G8" s="17">
        <f>H8/F8</f>
        <v>1</v>
      </c>
      <c r="H8" s="17">
        <f>H5+H7</f>
        <v>1657</v>
      </c>
      <c r="I8" s="95">
        <f>J8/H8</f>
        <v>0.25</v>
      </c>
      <c r="J8" s="17">
        <f t="shared" ref="J8:O8" si="2">J5+J7</f>
        <v>414.25</v>
      </c>
      <c r="K8" s="17">
        <f t="shared" si="2"/>
        <v>414.25</v>
      </c>
      <c r="L8" s="17">
        <f t="shared" si="2"/>
        <v>0</v>
      </c>
      <c r="M8" s="17">
        <f t="shared" si="2"/>
        <v>0</v>
      </c>
      <c r="N8" s="17">
        <f t="shared" si="2"/>
        <v>0</v>
      </c>
      <c r="O8" s="17">
        <f t="shared" si="2"/>
        <v>0</v>
      </c>
      <c r="P8" s="14"/>
    </row>
    <row r="9" spans="1:17" ht="35.25" customHeight="1" x14ac:dyDescent="0.35">
      <c r="A9" s="197" t="s">
        <v>217</v>
      </c>
      <c r="B9" s="197"/>
      <c r="C9" s="197"/>
      <c r="D9" s="197" t="s">
        <v>217</v>
      </c>
      <c r="E9" s="197"/>
      <c r="F9" s="197"/>
      <c r="G9" s="197"/>
      <c r="H9" s="197"/>
      <c r="I9" s="197"/>
      <c r="J9" s="197"/>
      <c r="K9" s="197"/>
      <c r="L9" s="197"/>
      <c r="M9" s="197"/>
      <c r="N9" s="197"/>
      <c r="O9" s="102"/>
      <c r="P9" s="65"/>
    </row>
    <row r="10" spans="1:17" ht="35.25" customHeight="1" x14ac:dyDescent="0.35">
      <c r="A10" s="197" t="s">
        <v>218</v>
      </c>
      <c r="B10" s="197"/>
      <c r="C10" s="197"/>
      <c r="D10" s="197" t="s">
        <v>218</v>
      </c>
      <c r="E10" s="197"/>
      <c r="F10" s="197"/>
      <c r="G10" s="197"/>
      <c r="H10" s="197"/>
      <c r="I10" s="197"/>
      <c r="J10" s="197"/>
      <c r="K10" s="197"/>
      <c r="L10" s="197"/>
      <c r="M10" s="197"/>
      <c r="N10" s="197"/>
      <c r="O10" s="102"/>
      <c r="P10" s="65"/>
    </row>
    <row r="11" spans="1:17" s="1" customFormat="1" ht="100.5" customHeight="1" x14ac:dyDescent="0.35">
      <c r="A11" s="130"/>
      <c r="B11" s="45" t="s">
        <v>293</v>
      </c>
      <c r="C11" s="45" t="s">
        <v>295</v>
      </c>
      <c r="D11" s="45" t="s">
        <v>293</v>
      </c>
      <c r="E11" s="45" t="s">
        <v>295</v>
      </c>
      <c r="F11" s="48">
        <f>ROUND(ROUND(Data!$D$27*Data!D24,0)*0.5,0)</f>
        <v>9301</v>
      </c>
      <c r="G11" s="48">
        <v>1</v>
      </c>
      <c r="H11" s="48">
        <f>F11*G11</f>
        <v>9301</v>
      </c>
      <c r="I11" s="49">
        <v>0.25</v>
      </c>
      <c r="J11" s="49">
        <f>H11*I11</f>
        <v>2325.25</v>
      </c>
      <c r="K11" s="48">
        <f>J11</f>
        <v>2325.25</v>
      </c>
      <c r="L11" s="123">
        <v>0</v>
      </c>
      <c r="M11" s="124">
        <f>J11-K11</f>
        <v>0</v>
      </c>
      <c r="N11" s="124">
        <v>0</v>
      </c>
      <c r="O11" s="125">
        <f t="shared" ref="O11" si="3">+J11-K11</f>
        <v>0</v>
      </c>
      <c r="P11" s="50"/>
    </row>
    <row r="12" spans="1:17" ht="21" customHeight="1" x14ac:dyDescent="0.35">
      <c r="A12" s="196" t="s">
        <v>246</v>
      </c>
      <c r="B12" s="196"/>
      <c r="C12" s="196"/>
      <c r="D12" s="196"/>
      <c r="E12" s="196"/>
      <c r="F12" s="13">
        <f>F11</f>
        <v>9301</v>
      </c>
      <c r="G12" s="17">
        <f>H12/F12</f>
        <v>1</v>
      </c>
      <c r="H12" s="13">
        <f>H11</f>
        <v>9301</v>
      </c>
      <c r="I12" s="95">
        <f>J12/H12</f>
        <v>0.25</v>
      </c>
      <c r="J12" s="17">
        <f>J11</f>
        <v>2325.25</v>
      </c>
      <c r="K12" s="17">
        <f>K11</f>
        <v>2325.25</v>
      </c>
      <c r="L12" s="17">
        <f t="shared" ref="L12:N12" si="4">L11</f>
        <v>0</v>
      </c>
      <c r="M12" s="17">
        <f t="shared" si="4"/>
        <v>0</v>
      </c>
      <c r="N12" s="17">
        <f t="shared" si="4"/>
        <v>0</v>
      </c>
      <c r="O12" s="17">
        <f>O11</f>
        <v>0</v>
      </c>
      <c r="P12" s="14"/>
    </row>
    <row r="15" spans="1:17" x14ac:dyDescent="0.35">
      <c r="K15" s="177" t="s">
        <v>3</v>
      </c>
      <c r="L15" s="177"/>
      <c r="M15" s="177"/>
      <c r="N15" s="177"/>
      <c r="O15" s="106" t="s">
        <v>4</v>
      </c>
    </row>
    <row r="16" spans="1:17" ht="43.5" x14ac:dyDescent="0.35">
      <c r="E16" s="170" t="s">
        <v>296</v>
      </c>
      <c r="F16" s="6" t="s">
        <v>6</v>
      </c>
      <c r="G16" s="7" t="s">
        <v>7</v>
      </c>
      <c r="H16" s="10" t="s">
        <v>8</v>
      </c>
      <c r="I16" s="21" t="s">
        <v>9</v>
      </c>
      <c r="J16" s="21" t="s">
        <v>10</v>
      </c>
      <c r="K16" s="21" t="s">
        <v>11</v>
      </c>
      <c r="L16" s="21" t="s">
        <v>12</v>
      </c>
      <c r="M16" s="21" t="s">
        <v>13</v>
      </c>
      <c r="N16" s="21" t="s">
        <v>14</v>
      </c>
      <c r="O16" s="21" t="s">
        <v>11</v>
      </c>
    </row>
    <row r="17" spans="5:15" x14ac:dyDescent="0.35">
      <c r="E17" s="170"/>
      <c r="F17" s="101" t="s">
        <v>16</v>
      </c>
      <c r="G17" s="8" t="s">
        <v>17</v>
      </c>
      <c r="H17" s="11" t="s">
        <v>261</v>
      </c>
      <c r="I17" s="22" t="s">
        <v>18</v>
      </c>
      <c r="J17" s="22" t="s">
        <v>19</v>
      </c>
      <c r="K17" s="22" t="s">
        <v>20</v>
      </c>
      <c r="L17" s="22" t="s">
        <v>262</v>
      </c>
      <c r="M17" s="22" t="s">
        <v>263</v>
      </c>
      <c r="N17" s="22" t="s">
        <v>264</v>
      </c>
      <c r="O17" s="22" t="s">
        <v>22</v>
      </c>
    </row>
    <row r="18" spans="5:15" x14ac:dyDescent="0.35">
      <c r="E18" s="12" t="s">
        <v>265</v>
      </c>
      <c r="F18" s="24">
        <f>F8</f>
        <v>1657</v>
      </c>
      <c r="G18" s="18">
        <f t="shared" ref="G18:N18" si="5">G8</f>
        <v>1</v>
      </c>
      <c r="H18" s="27">
        <f>H8</f>
        <v>1657</v>
      </c>
      <c r="I18" s="18">
        <f t="shared" si="5"/>
        <v>0.25</v>
      </c>
      <c r="J18" s="18">
        <f t="shared" si="5"/>
        <v>414.25</v>
      </c>
      <c r="K18" s="27">
        <f t="shared" si="5"/>
        <v>414.25</v>
      </c>
      <c r="L18" s="27">
        <f t="shared" ref="L18" si="6">L8</f>
        <v>0</v>
      </c>
      <c r="M18" s="27">
        <f t="shared" si="5"/>
        <v>0</v>
      </c>
      <c r="N18" s="27">
        <f t="shared" si="5"/>
        <v>0</v>
      </c>
      <c r="O18" s="27">
        <f t="shared" ref="O18" si="7">O8</f>
        <v>0</v>
      </c>
    </row>
    <row r="19" spans="5:15" x14ac:dyDescent="0.35">
      <c r="E19" s="12" t="s">
        <v>266</v>
      </c>
      <c r="F19" s="24">
        <f>F12</f>
        <v>9301</v>
      </c>
      <c r="G19" s="18">
        <f t="shared" ref="G19:N19" si="8">G12</f>
        <v>1</v>
      </c>
      <c r="H19" s="27">
        <f t="shared" si="8"/>
        <v>9301</v>
      </c>
      <c r="I19" s="18">
        <f t="shared" si="8"/>
        <v>0.25</v>
      </c>
      <c r="J19" s="18">
        <f t="shared" si="8"/>
        <v>2325.25</v>
      </c>
      <c r="K19" s="27">
        <f t="shared" si="8"/>
        <v>2325.25</v>
      </c>
      <c r="L19" s="27">
        <f t="shared" ref="L19" si="9">L12</f>
        <v>0</v>
      </c>
      <c r="M19" s="27">
        <f t="shared" si="8"/>
        <v>0</v>
      </c>
      <c r="N19" s="27">
        <f t="shared" si="8"/>
        <v>0</v>
      </c>
      <c r="O19" s="27">
        <f t="shared" ref="O19" si="10">O12</f>
        <v>0</v>
      </c>
    </row>
    <row r="20" spans="5:15" x14ac:dyDescent="0.35">
      <c r="E20" s="12" t="s">
        <v>297</v>
      </c>
      <c r="F20" s="23">
        <f>SUM(F18:F19)</f>
        <v>10958</v>
      </c>
      <c r="G20" s="25">
        <f>H20/F20</f>
        <v>1</v>
      </c>
      <c r="H20" s="19">
        <f>SUM(H18:H19)</f>
        <v>10958</v>
      </c>
      <c r="I20" s="25">
        <f>J20/H20</f>
        <v>0.25</v>
      </c>
      <c r="J20" s="19">
        <f t="shared" ref="J20:N20" si="11">SUM(J18:J19)</f>
        <v>2739.5</v>
      </c>
      <c r="K20" s="19">
        <f t="shared" si="11"/>
        <v>2739.5</v>
      </c>
      <c r="L20" s="19">
        <f t="shared" si="11"/>
        <v>0</v>
      </c>
      <c r="M20" s="19">
        <f t="shared" si="11"/>
        <v>0</v>
      </c>
      <c r="N20" s="19">
        <f t="shared" si="11"/>
        <v>0</v>
      </c>
      <c r="O20" s="19">
        <f t="shared" ref="O20" si="12">SUM(O18:O19)</f>
        <v>0</v>
      </c>
    </row>
  </sheetData>
  <mergeCells count="12">
    <mergeCell ref="A8:E8"/>
    <mergeCell ref="A4:P4"/>
    <mergeCell ref="A6:P6"/>
    <mergeCell ref="A2:C2"/>
    <mergeCell ref="D2:E2"/>
    <mergeCell ref="E16:E17"/>
    <mergeCell ref="A12:E12"/>
    <mergeCell ref="D9:N9"/>
    <mergeCell ref="A9:C9"/>
    <mergeCell ref="A10:C10"/>
    <mergeCell ref="D10:N10"/>
    <mergeCell ref="K15:N15"/>
  </mergeCells>
  <printOptions horizontalCentered="1"/>
  <pageMargins left="0" right="0" top="0.75" bottom="0.5" header="0.3" footer="0.3"/>
  <pageSetup paperSize="5" scale="39" fitToHeight="0" orientation="landscape" r:id="rId1"/>
  <headerFooter>
    <oddHeader>&amp;C&amp;"-,Bold"&amp;14Appendix I: Estimates of the Hour Burden of the Collection of Information Reporting – OMB Control Number 0584-0055
PUBLIC DISCLOSURE</oddHeader>
    <oddFooter>&amp;CPage &amp;P</oddFooter>
  </headerFooter>
  <ignoredErrors>
    <ignoredError sqref="I12:J12 I8 J20 G20"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pageSetUpPr fitToPage="1"/>
  </sheetPr>
  <dimension ref="A1:T66"/>
  <sheetViews>
    <sheetView showGridLines="0" zoomScale="60" zoomScaleNormal="60" zoomScalePageLayoutView="90" workbookViewId="0">
      <pane ySplit="8" topLeftCell="A9" activePane="bottomLeft" state="frozen"/>
      <selection pane="bottomLeft" activeCell="A9" sqref="A9"/>
    </sheetView>
  </sheetViews>
  <sheetFormatPr defaultColWidth="8.81640625" defaultRowHeight="14.5" x14ac:dyDescent="0.35"/>
  <cols>
    <col min="1" max="1" width="7.1796875" customWidth="1"/>
    <col min="2" max="2" width="46.453125" style="2" customWidth="1"/>
    <col min="3" max="3" width="17.26953125" style="4" customWidth="1"/>
    <col min="4" max="4" width="15.26953125" style="4" customWidth="1"/>
    <col min="5" max="5" width="71.453125" style="2" customWidth="1"/>
    <col min="6" max="6" width="15.453125" style="2" customWidth="1"/>
    <col min="7" max="7" width="40.453125" style="2" customWidth="1"/>
    <col min="8" max="8" width="61.453125" style="2" customWidth="1"/>
    <col min="9" max="9" width="47.453125" style="2" customWidth="1"/>
    <col min="10" max="10" width="8.81640625" style="2"/>
    <col min="11" max="11" width="12.54296875" style="2" bestFit="1" customWidth="1"/>
    <col min="12" max="16384" width="8.81640625" style="2"/>
  </cols>
  <sheetData>
    <row r="1" spans="2:9" ht="23.5" x14ac:dyDescent="0.35">
      <c r="B1" s="201" t="s">
        <v>299</v>
      </c>
      <c r="C1" s="201"/>
      <c r="D1" s="201"/>
      <c r="E1" s="201"/>
      <c r="F1" s="201"/>
      <c r="G1" s="201"/>
    </row>
    <row r="4" spans="2:9" ht="20.25" customHeight="1" x14ac:dyDescent="0.35">
      <c r="C4" s="9">
        <f>D37+D38</f>
        <v>159490</v>
      </c>
      <c r="D4" s="15" t="s">
        <v>0</v>
      </c>
      <c r="E4" s="44" t="s">
        <v>300</v>
      </c>
      <c r="F4"/>
    </row>
    <row r="5" spans="2:9" ht="20.25" customHeight="1" x14ac:dyDescent="0.35">
      <c r="D5" s="2"/>
      <c r="E5" s="104" t="s">
        <v>301</v>
      </c>
      <c r="F5"/>
    </row>
    <row r="6" spans="2:9" x14ac:dyDescent="0.35">
      <c r="E6" s="15"/>
    </row>
    <row r="7" spans="2:9" ht="22.5" customHeight="1" x14ac:dyDescent="0.35">
      <c r="B7" s="202" t="s">
        <v>302</v>
      </c>
      <c r="C7" s="205" t="s">
        <v>303</v>
      </c>
      <c r="D7" s="202" t="s">
        <v>304</v>
      </c>
      <c r="E7" s="202"/>
      <c r="F7" s="205" t="s">
        <v>305</v>
      </c>
      <c r="G7" s="202" t="s">
        <v>15</v>
      </c>
    </row>
    <row r="8" spans="2:9" ht="28.5" customHeight="1" x14ac:dyDescent="0.35">
      <c r="B8" s="202"/>
      <c r="C8" s="205"/>
      <c r="D8" s="104" t="s">
        <v>306</v>
      </c>
      <c r="E8" s="104" t="s">
        <v>307</v>
      </c>
      <c r="F8" s="205"/>
      <c r="G8" s="202"/>
    </row>
    <row r="9" spans="2:9" ht="38.15" customHeight="1" x14ac:dyDescent="0.35">
      <c r="B9" s="203" t="s">
        <v>23</v>
      </c>
      <c r="C9" s="203"/>
      <c r="D9" s="203"/>
      <c r="E9" s="203"/>
      <c r="F9" s="203"/>
      <c r="G9" s="203"/>
    </row>
    <row r="10" spans="2:9" ht="72.5" x14ac:dyDescent="0.35">
      <c r="B10" s="43" t="s">
        <v>308</v>
      </c>
      <c r="C10" s="52">
        <v>56</v>
      </c>
      <c r="D10" s="55">
        <v>56</v>
      </c>
      <c r="E10" s="46" t="s">
        <v>309</v>
      </c>
      <c r="F10" s="5">
        <f t="shared" ref="F10:F18" si="0">D10-C10</f>
        <v>0</v>
      </c>
      <c r="G10" s="43" t="s">
        <v>310</v>
      </c>
      <c r="I10"/>
    </row>
    <row r="11" spans="2:9" ht="72.5" x14ac:dyDescent="0.35">
      <c r="B11" s="43" t="s">
        <v>455</v>
      </c>
      <c r="C11" s="52">
        <v>3</v>
      </c>
      <c r="D11" s="55">
        <v>3</v>
      </c>
      <c r="E11" s="46" t="s">
        <v>456</v>
      </c>
      <c r="F11" s="5"/>
      <c r="G11" s="43" t="s">
        <v>460</v>
      </c>
      <c r="I11"/>
    </row>
    <row r="12" spans="2:9" ht="84" x14ac:dyDescent="0.35">
      <c r="B12" s="43" t="s">
        <v>457</v>
      </c>
      <c r="C12" s="52">
        <v>0</v>
      </c>
      <c r="D12" s="55">
        <v>0</v>
      </c>
      <c r="E12" s="2" t="s">
        <v>458</v>
      </c>
      <c r="F12" s="5"/>
      <c r="G12" s="135" t="s">
        <v>459</v>
      </c>
      <c r="I12"/>
    </row>
    <row r="13" spans="2:9" ht="83.25" customHeight="1" x14ac:dyDescent="0.35">
      <c r="B13" s="45" t="s">
        <v>311</v>
      </c>
      <c r="C13" s="52">
        <v>10</v>
      </c>
      <c r="D13" s="55">
        <v>10</v>
      </c>
      <c r="E13" s="46" t="s">
        <v>309</v>
      </c>
      <c r="F13" s="5">
        <f t="shared" si="0"/>
        <v>0</v>
      </c>
      <c r="G13" s="43"/>
      <c r="I13"/>
    </row>
    <row r="14" spans="2:9" ht="58.5" customHeight="1" x14ac:dyDescent="0.35">
      <c r="B14" s="45" t="s">
        <v>312</v>
      </c>
      <c r="C14" s="52">
        <v>10</v>
      </c>
      <c r="D14" s="55">
        <v>10</v>
      </c>
      <c r="E14" s="46" t="s">
        <v>309</v>
      </c>
      <c r="F14" s="5">
        <f t="shared" si="0"/>
        <v>0</v>
      </c>
      <c r="G14" s="43"/>
    </row>
    <row r="15" spans="2:9" ht="60" customHeight="1" x14ac:dyDescent="0.35">
      <c r="B15" s="45" t="s">
        <v>313</v>
      </c>
      <c r="C15" s="52">
        <v>15</v>
      </c>
      <c r="D15" s="55">
        <v>15</v>
      </c>
      <c r="E15" s="46" t="s">
        <v>309</v>
      </c>
      <c r="F15" s="5">
        <f t="shared" si="0"/>
        <v>0</v>
      </c>
      <c r="G15" s="43"/>
    </row>
    <row r="16" spans="2:9" ht="115.5" customHeight="1" x14ac:dyDescent="0.35">
      <c r="B16" s="45" t="s">
        <v>314</v>
      </c>
      <c r="C16" s="52">
        <v>18</v>
      </c>
      <c r="D16" s="55">
        <v>18</v>
      </c>
      <c r="E16" s="46" t="s">
        <v>309</v>
      </c>
      <c r="F16" s="5">
        <f t="shared" si="0"/>
        <v>0</v>
      </c>
      <c r="G16" s="43"/>
    </row>
    <row r="17" spans="2:13" ht="51.75" customHeight="1" x14ac:dyDescent="0.35">
      <c r="B17" s="45" t="s">
        <v>315</v>
      </c>
      <c r="C17" s="52">
        <v>15</v>
      </c>
      <c r="D17" s="55">
        <v>15</v>
      </c>
      <c r="E17" s="46" t="s">
        <v>309</v>
      </c>
      <c r="F17" s="5">
        <f t="shared" si="0"/>
        <v>0</v>
      </c>
      <c r="G17" s="43"/>
    </row>
    <row r="18" spans="2:13" ht="48" customHeight="1" x14ac:dyDescent="0.35">
      <c r="B18" s="45" t="s">
        <v>316</v>
      </c>
      <c r="C18" s="52">
        <v>15</v>
      </c>
      <c r="D18" s="55">
        <v>15</v>
      </c>
      <c r="E18" s="46" t="s">
        <v>309</v>
      </c>
      <c r="F18" s="5">
        <f t="shared" si="0"/>
        <v>0</v>
      </c>
      <c r="G18" s="43"/>
    </row>
    <row r="19" spans="2:13" ht="49.5" customHeight="1" x14ac:dyDescent="0.35">
      <c r="B19" s="45" t="s">
        <v>317</v>
      </c>
      <c r="C19" s="52" t="s">
        <v>318</v>
      </c>
      <c r="D19" s="55">
        <v>0</v>
      </c>
      <c r="E19" s="46" t="s">
        <v>319</v>
      </c>
      <c r="F19" s="5">
        <v>0</v>
      </c>
      <c r="G19" s="43"/>
    </row>
    <row r="20" spans="2:13" ht="48" customHeight="1" x14ac:dyDescent="0.35">
      <c r="B20" s="45" t="s">
        <v>320</v>
      </c>
      <c r="C20" s="52">
        <v>10</v>
      </c>
      <c r="D20" s="55">
        <v>10</v>
      </c>
      <c r="E20" s="46" t="s">
        <v>309</v>
      </c>
      <c r="F20" s="5">
        <f>D20-C20</f>
        <v>0</v>
      </c>
      <c r="G20" s="43"/>
    </row>
    <row r="21" spans="2:13" ht="42.65" customHeight="1" x14ac:dyDescent="0.35">
      <c r="B21" s="204" t="s">
        <v>217</v>
      </c>
      <c r="C21" s="204"/>
      <c r="D21" s="204"/>
      <c r="E21" s="204"/>
      <c r="F21" s="204"/>
      <c r="G21" s="204"/>
    </row>
    <row r="22" spans="2:13" ht="41.15" customHeight="1" x14ac:dyDescent="0.35">
      <c r="B22" s="204" t="s">
        <v>321</v>
      </c>
      <c r="C22" s="204"/>
      <c r="D22" s="204"/>
      <c r="E22" s="204"/>
      <c r="F22" s="204"/>
      <c r="G22" s="204"/>
    </row>
    <row r="23" spans="2:13" ht="116" x14ac:dyDescent="0.35">
      <c r="B23" s="43" t="s">
        <v>322</v>
      </c>
      <c r="C23" s="52" t="s">
        <v>318</v>
      </c>
      <c r="D23" s="47">
        <v>0.14899999999999999</v>
      </c>
      <c r="E23" s="43" t="s">
        <v>323</v>
      </c>
      <c r="F23" s="52" t="s">
        <v>318</v>
      </c>
      <c r="G23" s="105"/>
    </row>
    <row r="24" spans="2:13" ht="31.5" customHeight="1" x14ac:dyDescent="0.35">
      <c r="B24" s="43" t="s">
        <v>324</v>
      </c>
      <c r="C24" s="52" t="s">
        <v>318</v>
      </c>
      <c r="D24" s="94">
        <f>1-D23</f>
        <v>0.85099999999999998</v>
      </c>
      <c r="E24" s="105"/>
      <c r="F24" s="52" t="s">
        <v>318</v>
      </c>
      <c r="G24" s="105"/>
    </row>
    <row r="25" spans="2:13" ht="106.5" customHeight="1" x14ac:dyDescent="0.35">
      <c r="B25" s="43" t="s">
        <v>325</v>
      </c>
      <c r="C25" s="52" t="s">
        <v>318</v>
      </c>
      <c r="D25" s="47">
        <v>0.13100000000000001</v>
      </c>
      <c r="E25" s="43" t="s">
        <v>323</v>
      </c>
      <c r="F25" s="52" t="s">
        <v>318</v>
      </c>
      <c r="G25" s="105"/>
    </row>
    <row r="26" spans="2:13" ht="51.65" customHeight="1" x14ac:dyDescent="0.35">
      <c r="B26" s="43" t="s">
        <v>326</v>
      </c>
      <c r="C26" s="52" t="s">
        <v>318</v>
      </c>
      <c r="D26" s="94">
        <f>1-D25</f>
        <v>0.86899999999999999</v>
      </c>
      <c r="E26" s="105"/>
      <c r="F26" s="52" t="s">
        <v>318</v>
      </c>
      <c r="G26" s="105"/>
    </row>
    <row r="27" spans="2:13" ht="53.25" customHeight="1" x14ac:dyDescent="0.35">
      <c r="B27" s="46" t="s">
        <v>327</v>
      </c>
      <c r="C27" s="48">
        <v>21052</v>
      </c>
      <c r="D27" s="56">
        <f>ROUND('National DB Data_20200812_2'!H5,0)</f>
        <v>21858</v>
      </c>
      <c r="E27" s="43" t="s">
        <v>328</v>
      </c>
      <c r="F27" s="48">
        <f t="shared" ref="F27:F35" si="1">D27-C27</f>
        <v>806</v>
      </c>
      <c r="G27" s="43"/>
      <c r="H27"/>
      <c r="I27"/>
    </row>
    <row r="28" spans="2:13" ht="51.75" customHeight="1" x14ac:dyDescent="0.35">
      <c r="B28" s="46" t="s">
        <v>329</v>
      </c>
      <c r="C28" s="5">
        <v>819</v>
      </c>
      <c r="D28" s="56">
        <f>'National DB Data_20200812_2'!F5</f>
        <v>634</v>
      </c>
      <c r="E28" s="43" t="s">
        <v>330</v>
      </c>
      <c r="F28" s="5">
        <f t="shared" si="1"/>
        <v>-185</v>
      </c>
      <c r="G28" s="43"/>
      <c r="H28" s="79"/>
      <c r="I28"/>
    </row>
    <row r="29" spans="2:13" ht="72.5" x14ac:dyDescent="0.35">
      <c r="B29" s="43" t="s">
        <v>331</v>
      </c>
      <c r="C29" s="52">
        <v>60</v>
      </c>
      <c r="D29" s="55">
        <v>60</v>
      </c>
      <c r="E29" s="46" t="s">
        <v>309</v>
      </c>
      <c r="F29" s="5">
        <f t="shared" si="1"/>
        <v>0</v>
      </c>
      <c r="G29" s="43"/>
      <c r="H29"/>
      <c r="I29"/>
      <c r="J29"/>
      <c r="K29"/>
      <c r="L29"/>
      <c r="M29"/>
    </row>
    <row r="30" spans="2:13" ht="29" x14ac:dyDescent="0.35">
      <c r="B30" s="43" t="s">
        <v>332</v>
      </c>
      <c r="C30" s="52">
        <v>0</v>
      </c>
      <c r="D30" s="56">
        <v>9770</v>
      </c>
      <c r="E30" s="46" t="s">
        <v>333</v>
      </c>
      <c r="F30" s="48">
        <f t="shared" si="1"/>
        <v>9770</v>
      </c>
      <c r="G30" s="43"/>
      <c r="H30"/>
      <c r="I30"/>
      <c r="J30"/>
      <c r="K30"/>
      <c r="L30"/>
      <c r="M30"/>
    </row>
    <row r="31" spans="2:13" ht="39" customHeight="1" x14ac:dyDescent="0.35">
      <c r="B31" s="43" t="s">
        <v>334</v>
      </c>
      <c r="C31" s="52">
        <v>0</v>
      </c>
      <c r="D31" s="55">
        <v>5</v>
      </c>
      <c r="E31" s="43" t="s">
        <v>461</v>
      </c>
      <c r="F31" s="5">
        <f t="shared" si="1"/>
        <v>5</v>
      </c>
      <c r="G31" s="43"/>
      <c r="H31" s="80"/>
      <c r="I31"/>
      <c r="J31"/>
      <c r="K31"/>
      <c r="L31"/>
      <c r="M31"/>
    </row>
    <row r="32" spans="2:13" ht="39" customHeight="1" x14ac:dyDescent="0.35">
      <c r="B32" s="43" t="s">
        <v>334</v>
      </c>
      <c r="C32" s="52"/>
      <c r="D32" s="55">
        <v>280</v>
      </c>
      <c r="E32" s="43" t="s">
        <v>463</v>
      </c>
      <c r="F32" s="5"/>
      <c r="G32" s="43"/>
      <c r="H32" s="80"/>
      <c r="I32"/>
      <c r="J32"/>
      <c r="K32"/>
      <c r="L32"/>
      <c r="M32"/>
    </row>
    <row r="33" spans="2:13" ht="39" customHeight="1" x14ac:dyDescent="0.35">
      <c r="B33" s="43" t="s">
        <v>335</v>
      </c>
      <c r="C33" s="52" t="s">
        <v>336</v>
      </c>
      <c r="D33" s="56">
        <f>'National DB Data_20200812_2'!R5</f>
        <v>3784</v>
      </c>
      <c r="E33" s="43" t="s">
        <v>337</v>
      </c>
      <c r="F33" s="5" t="s">
        <v>336</v>
      </c>
      <c r="G33" s="43"/>
      <c r="H33" s="80"/>
      <c r="I33"/>
      <c r="J33"/>
      <c r="K33"/>
      <c r="L33"/>
      <c r="M33"/>
    </row>
    <row r="34" spans="2:13" ht="116" x14ac:dyDescent="0.35">
      <c r="B34" s="45" t="s">
        <v>338</v>
      </c>
      <c r="C34" s="52">
        <v>196</v>
      </c>
      <c r="D34" s="56">
        <f>ROUND('National DB Data_20200812_2'!H5+'National DB Data_20200812_2'!J5+'National DB Data_20200812_2'!L5-'National DB Data_20200812_2'!R5-'National DB Data_20200812_2'!N5-'National DB Data_20200812_2'!P5,0)</f>
        <v>25441</v>
      </c>
      <c r="E34" s="43" t="s">
        <v>339</v>
      </c>
      <c r="F34" s="48">
        <f t="shared" si="1"/>
        <v>25245</v>
      </c>
      <c r="G34" s="43" t="s">
        <v>340</v>
      </c>
      <c r="H34" s="69"/>
      <c r="I34"/>
      <c r="J34"/>
      <c r="K34"/>
      <c r="L34"/>
      <c r="M34"/>
    </row>
    <row r="35" spans="2:13" ht="43.5" x14ac:dyDescent="0.35">
      <c r="B35" s="45" t="s">
        <v>341</v>
      </c>
      <c r="C35" s="52">
        <v>196</v>
      </c>
      <c r="D35" s="55">
        <v>196</v>
      </c>
      <c r="E35" s="46" t="s">
        <v>309</v>
      </c>
      <c r="F35" s="5">
        <f t="shared" si="1"/>
        <v>0</v>
      </c>
      <c r="G35" s="42"/>
    </row>
    <row r="36" spans="2:13" ht="38.15" customHeight="1" x14ac:dyDescent="0.35">
      <c r="B36" s="204" t="s">
        <v>342</v>
      </c>
      <c r="C36" s="204"/>
      <c r="D36" s="204"/>
      <c r="E36" s="204"/>
      <c r="F36" s="204"/>
      <c r="G36" s="204"/>
      <c r="H36"/>
      <c r="I36"/>
      <c r="J36"/>
      <c r="K36"/>
      <c r="L36"/>
      <c r="M36"/>
    </row>
    <row r="37" spans="2:13" ht="69" customHeight="1" x14ac:dyDescent="0.35">
      <c r="B37" s="43" t="s">
        <v>343</v>
      </c>
      <c r="C37" s="57">
        <v>66893</v>
      </c>
      <c r="D37" s="56">
        <f>ROUND('National DB Data_20200812_2'!T5+'National DB Data_20200812_2'!X5,0)</f>
        <v>69647</v>
      </c>
      <c r="E37" s="43" t="s">
        <v>344</v>
      </c>
      <c r="F37" s="48">
        <f>D37-C37</f>
        <v>2754</v>
      </c>
      <c r="G37" s="43"/>
      <c r="H37"/>
      <c r="I37"/>
      <c r="J37"/>
      <c r="K37"/>
      <c r="L37"/>
      <c r="M37"/>
    </row>
    <row r="38" spans="2:13" ht="55.5" customHeight="1" x14ac:dyDescent="0.35">
      <c r="B38" s="43" t="s">
        <v>345</v>
      </c>
      <c r="C38" s="57">
        <v>113847</v>
      </c>
      <c r="D38" s="56">
        <f>'National DB Data_20200812_1'!J6</f>
        <v>89843</v>
      </c>
      <c r="E38" s="43" t="s">
        <v>346</v>
      </c>
      <c r="F38" s="48">
        <f>D38-C38</f>
        <v>-24004</v>
      </c>
      <c r="G38" s="43"/>
      <c r="H38"/>
      <c r="I38"/>
    </row>
    <row r="39" spans="2:13" ht="51" customHeight="1" x14ac:dyDescent="0.35">
      <c r="B39" s="43" t="s">
        <v>347</v>
      </c>
      <c r="C39" s="57">
        <v>98450</v>
      </c>
      <c r="D39" s="56">
        <f>'National DB Data_20200812_2'!AJ5</f>
        <v>80522.25</v>
      </c>
      <c r="E39" s="43" t="s">
        <v>348</v>
      </c>
      <c r="F39" s="48">
        <f>D39-C39</f>
        <v>-17927.75</v>
      </c>
      <c r="G39" s="26"/>
    </row>
    <row r="40" spans="2:13" ht="64.5" customHeight="1" x14ac:dyDescent="0.35">
      <c r="B40" s="43" t="s">
        <v>349</v>
      </c>
      <c r="C40" s="52">
        <f>ROUND(C39/C28,0)</f>
        <v>120</v>
      </c>
      <c r="D40" s="5">
        <f>ROUND(D39/D28,0)</f>
        <v>127</v>
      </c>
      <c r="E40" s="43" t="s">
        <v>350</v>
      </c>
      <c r="F40" s="48">
        <f>D40-C40</f>
        <v>7</v>
      </c>
      <c r="G40" s="26"/>
    </row>
    <row r="41" spans="2:13" ht="25.4" customHeight="1" x14ac:dyDescent="0.35">
      <c r="B41" s="203" t="s">
        <v>247</v>
      </c>
      <c r="C41" s="203"/>
      <c r="D41" s="203"/>
      <c r="E41" s="203"/>
      <c r="F41" s="203"/>
      <c r="G41" s="203"/>
    </row>
    <row r="42" spans="2:13" ht="49.5" customHeight="1" x14ac:dyDescent="0.35">
      <c r="B42" s="46" t="s">
        <v>351</v>
      </c>
      <c r="C42" s="48">
        <v>4180118</v>
      </c>
      <c r="D42" s="56">
        <f>'National DB Data_20200812_1'!B6</f>
        <v>5141434</v>
      </c>
      <c r="E42" s="43" t="s">
        <v>352</v>
      </c>
      <c r="F42" s="48">
        <f>D42-C42</f>
        <v>961316</v>
      </c>
      <c r="G42" s="43"/>
    </row>
    <row r="43" spans="2:13" ht="40.5" customHeight="1" x14ac:dyDescent="0.35">
      <c r="B43" s="43" t="s">
        <v>353</v>
      </c>
      <c r="C43" s="53">
        <v>0.62828600000000001</v>
      </c>
      <c r="D43" s="47">
        <v>0.7</v>
      </c>
      <c r="E43" s="43" t="s">
        <v>354</v>
      </c>
      <c r="F43" s="41">
        <f>D43-C43</f>
        <v>7.1713999999999944E-2</v>
      </c>
      <c r="G43" s="43" t="s">
        <v>355</v>
      </c>
    </row>
    <row r="44" spans="2:13" ht="63.75" customHeight="1" x14ac:dyDescent="0.35">
      <c r="B44" s="46" t="s">
        <v>298</v>
      </c>
      <c r="C44" s="48">
        <v>2626310</v>
      </c>
      <c r="D44" s="48">
        <f>ROUND(D42*D43,0)</f>
        <v>3599004</v>
      </c>
      <c r="E44" s="43" t="s">
        <v>356</v>
      </c>
      <c r="F44" s="48">
        <f>D44-C44</f>
        <v>972694</v>
      </c>
      <c r="G44" s="43"/>
      <c r="H44" s="51"/>
      <c r="I44" s="70"/>
    </row>
    <row r="45" spans="2:13" ht="132" customHeight="1" x14ac:dyDescent="0.35">
      <c r="B45" s="46" t="s">
        <v>357</v>
      </c>
      <c r="C45" s="54">
        <v>5.3999999999999999E-2</v>
      </c>
      <c r="D45" s="47">
        <v>5.1999999999999998E-2</v>
      </c>
      <c r="E45" s="43" t="s">
        <v>358</v>
      </c>
      <c r="F45" s="41">
        <f>D45-C45</f>
        <v>-2.0000000000000018E-3</v>
      </c>
      <c r="G45" s="26"/>
    </row>
    <row r="46" spans="2:13" ht="79.5" customHeight="1" x14ac:dyDescent="0.35">
      <c r="B46" s="46" t="s">
        <v>359</v>
      </c>
      <c r="C46" s="48">
        <v>225726</v>
      </c>
      <c r="D46" s="48">
        <f>ROUND(D42*D45,0)</f>
        <v>267355</v>
      </c>
      <c r="E46" s="43" t="s">
        <v>360</v>
      </c>
      <c r="F46" s="48">
        <f>D46-C46</f>
        <v>41629</v>
      </c>
      <c r="G46" s="43"/>
    </row>
    <row r="66" spans="20:20" x14ac:dyDescent="0.35">
      <c r="T66" s="71">
        <f>'National DB Data_20200812_2'!H5+'National DB Data_20200812_2'!J5+'National DB Data_20200812_2'!L5-'National DB Data_20200812_2'!R5-'National DB Data_20200812_2'!N5-'National DB Data_20200812_2'!P5</f>
        <v>25440.5</v>
      </c>
    </row>
  </sheetData>
  <mergeCells count="11">
    <mergeCell ref="B41:G41"/>
    <mergeCell ref="F7:F8"/>
    <mergeCell ref="B7:B8"/>
    <mergeCell ref="C7:C8"/>
    <mergeCell ref="D7:E7"/>
    <mergeCell ref="B21:G21"/>
    <mergeCell ref="B1:G1"/>
    <mergeCell ref="G7:G8"/>
    <mergeCell ref="B9:G9"/>
    <mergeCell ref="B22:G22"/>
    <mergeCell ref="B36:G36"/>
  </mergeCells>
  <pageMargins left="0.7" right="0.7" top="0.75" bottom="0.75" header="0.3" footer="0.3"/>
  <pageSetup paperSize="5" scale="6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B1:C16"/>
  <sheetViews>
    <sheetView showGridLines="0" topLeftCell="A4" zoomScaleNormal="100" workbookViewId="0">
      <selection activeCell="A4" sqref="A4"/>
    </sheetView>
  </sheetViews>
  <sheetFormatPr defaultColWidth="8.7265625" defaultRowHeight="14.5" x14ac:dyDescent="0.35"/>
  <cols>
    <col min="1" max="1" width="1.54296875" customWidth="1"/>
    <col min="2" max="2" width="60.453125" customWidth="1"/>
    <col min="3" max="3" width="16.81640625" customWidth="1"/>
    <col min="5" max="5" width="11.7265625" customWidth="1"/>
  </cols>
  <sheetData>
    <row r="1" spans="2:3" hidden="1" x14ac:dyDescent="0.35"/>
    <row r="2" spans="2:3" hidden="1" x14ac:dyDescent="0.35"/>
    <row r="3" spans="2:3" hidden="1" x14ac:dyDescent="0.35"/>
    <row r="4" spans="2:3" ht="15" thickBot="1" x14ac:dyDescent="0.4"/>
    <row r="5" spans="2:3" ht="16" thickBot="1" x14ac:dyDescent="0.4">
      <c r="B5" s="206" t="s">
        <v>465</v>
      </c>
      <c r="C5" s="207"/>
    </row>
    <row r="6" spans="2:3" ht="16" thickBot="1" x14ac:dyDescent="0.4">
      <c r="B6" s="142" t="s">
        <v>466</v>
      </c>
      <c r="C6" s="143">
        <f>SUM(Reporting!F158,Recordkeeping!F37,'Public Disclosure'!F20)</f>
        <v>3979936</v>
      </c>
    </row>
    <row r="7" spans="2:3" ht="16" thickBot="1" x14ac:dyDescent="0.4">
      <c r="B7" s="142" t="s">
        <v>467</v>
      </c>
      <c r="C7" s="144">
        <f>+C8/C6</f>
        <v>4.1028121457229467</v>
      </c>
    </row>
    <row r="8" spans="2:3" ht="16" thickBot="1" x14ac:dyDescent="0.4">
      <c r="B8" s="142" t="s">
        <v>468</v>
      </c>
      <c r="C8" s="143">
        <f>SUM(Reporting!H158,Recordkeeping!H37,'Public Disclosure'!H20)</f>
        <v>16328929.760000002</v>
      </c>
    </row>
    <row r="9" spans="2:3" ht="16" thickBot="1" x14ac:dyDescent="0.4">
      <c r="B9" s="142" t="s">
        <v>469</v>
      </c>
      <c r="C9" s="144">
        <f>+C10/C8</f>
        <v>0.25942695986912817</v>
      </c>
    </row>
    <row r="10" spans="2:3" ht="16" thickBot="1" x14ac:dyDescent="0.4">
      <c r="B10" s="142" t="s">
        <v>470</v>
      </c>
      <c r="C10" s="143">
        <f>SUM(Reporting!J158,Recordkeeping!J37,'Public Disclosure'!J20)</f>
        <v>4236164.6055533327</v>
      </c>
    </row>
    <row r="11" spans="2:3" ht="16" thickBot="1" x14ac:dyDescent="0.4">
      <c r="B11" s="142" t="s">
        <v>471</v>
      </c>
      <c r="C11" s="143">
        <f>SUM(Reporting!K158,Recordkeeping!K37,'Public Disclosure'!K20)</f>
        <v>4213973.8862199998</v>
      </c>
    </row>
    <row r="12" spans="2:3" ht="16" thickBot="1" x14ac:dyDescent="0.4">
      <c r="B12" s="142" t="s">
        <v>472</v>
      </c>
      <c r="C12" s="143">
        <f>C10-C11</f>
        <v>22190.719333332963</v>
      </c>
    </row>
    <row r="13" spans="2:3" ht="25" customHeight="1" x14ac:dyDescent="0.35"/>
    <row r="14" spans="2:3" ht="25" customHeight="1" x14ac:dyDescent="0.35"/>
    <row r="15" spans="2:3" ht="73" customHeight="1" x14ac:dyDescent="0.35"/>
    <row r="16" spans="2:3" ht="17.149999999999999" customHeight="1" x14ac:dyDescent="0.35"/>
  </sheetData>
  <mergeCells count="1">
    <mergeCell ref="B5:C5"/>
  </mergeCells>
  <pageMargins left="0.7" right="0.7" top="0.75" bottom="0.75" header="0.3" footer="0.3"/>
  <pageSetup paperSize="5" orientation="landscape" r:id="rId1"/>
  <ignoredErrors>
    <ignoredError sqref="C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dimension ref="A1:GQ7"/>
  <sheetViews>
    <sheetView showGridLines="0" zoomScale="85" zoomScaleNormal="85" workbookViewId="0">
      <selection activeCell="S5" sqref="S5"/>
    </sheetView>
  </sheetViews>
  <sheetFormatPr defaultColWidth="8.81640625" defaultRowHeight="15.5" x14ac:dyDescent="0.35"/>
  <cols>
    <col min="1" max="1" width="11.453125" customWidth="1"/>
    <col min="2" max="2" width="12.81640625" customWidth="1"/>
    <col min="3" max="3" width="1.54296875" style="31" customWidth="1"/>
    <col min="4" max="4" width="12.81640625" customWidth="1"/>
    <col min="5" max="5" width="1.54296875" style="31" customWidth="1"/>
    <col min="6" max="6" width="12.81640625" customWidth="1"/>
    <col min="7" max="7" width="1.54296875" style="31" customWidth="1"/>
    <col min="8" max="8" width="12.81640625" customWidth="1"/>
    <col min="9" max="9" width="1.54296875" style="31" customWidth="1"/>
    <col min="10" max="10" width="12.81640625" customWidth="1"/>
    <col min="11" max="11" width="1.54296875" style="31" customWidth="1"/>
    <col min="12" max="12" width="14.1796875" customWidth="1"/>
    <col min="13" max="13" width="1.54296875" style="31" customWidth="1"/>
    <col min="14" max="14" width="12.81640625" customWidth="1"/>
    <col min="15" max="15" width="2.54296875" style="31" customWidth="1"/>
    <col min="16" max="16" width="12.81640625" customWidth="1"/>
    <col min="17" max="17" width="1.54296875" style="31" customWidth="1"/>
    <col min="18" max="18" width="12.81640625" customWidth="1"/>
    <col min="19" max="19" width="13.7265625" style="31" customWidth="1"/>
    <col min="20" max="20" width="12.81640625" customWidth="1"/>
    <col min="21" max="21" width="1.54296875" style="31" customWidth="1"/>
    <col min="22" max="22" width="12.81640625" customWidth="1"/>
    <col min="23" max="23" width="1.54296875" style="31" customWidth="1"/>
    <col min="24" max="24" width="12.81640625" customWidth="1"/>
    <col min="25" max="25" width="1.54296875" style="31" customWidth="1"/>
    <col min="26" max="26" width="12.81640625" customWidth="1"/>
    <col min="27" max="27" width="1.54296875" style="31" customWidth="1"/>
    <col min="28" max="28" width="12.81640625" customWidth="1"/>
    <col min="29" max="29" width="1.54296875" style="31" customWidth="1"/>
    <col min="30" max="30" width="12.81640625" customWidth="1"/>
    <col min="31" max="31" width="1.54296875" style="31" customWidth="1"/>
    <col min="32" max="32" width="12.81640625" customWidth="1"/>
    <col min="33" max="33" width="1.54296875" style="31" customWidth="1"/>
    <col min="34" max="34" width="12.81640625" customWidth="1"/>
    <col min="35" max="35" width="1.54296875" style="31" customWidth="1"/>
    <col min="36" max="36" width="12.81640625" customWidth="1"/>
    <col min="37" max="37" width="1.54296875" style="31" customWidth="1"/>
    <col min="38" max="38" width="12.81640625" customWidth="1"/>
    <col min="39" max="39" width="1.54296875" style="31" customWidth="1"/>
    <col min="40" max="40" width="12.81640625" customWidth="1"/>
    <col min="41" max="41" width="1.54296875" style="31" customWidth="1"/>
    <col min="42" max="42" width="12.81640625" customWidth="1"/>
    <col min="43" max="43" width="1.54296875" style="31" customWidth="1"/>
    <col min="44" max="44" width="12.81640625" customWidth="1"/>
    <col min="45" max="45" width="1.54296875" customWidth="1"/>
    <col min="46" max="46" width="12.81640625" customWidth="1"/>
    <col min="47" max="47" width="1.54296875" customWidth="1"/>
    <col min="48" max="48" width="12.81640625" customWidth="1"/>
    <col min="49" max="49" width="1.54296875" customWidth="1"/>
    <col min="50" max="50" width="12.81640625" customWidth="1"/>
    <col min="51" max="51" width="1.54296875" customWidth="1"/>
    <col min="52" max="52" width="12.81640625" customWidth="1"/>
    <col min="53" max="53" width="1.54296875" customWidth="1"/>
    <col min="54" max="54" width="12.81640625" customWidth="1"/>
    <col min="55" max="55" width="1.54296875" customWidth="1"/>
    <col min="56" max="56" width="12.81640625" customWidth="1"/>
    <col min="57" max="57" width="1.54296875" customWidth="1"/>
    <col min="58" max="58" width="12.81640625" customWidth="1"/>
    <col min="59" max="59" width="1.54296875" customWidth="1"/>
    <col min="60" max="60" width="12.81640625" customWidth="1"/>
    <col min="61" max="61" width="1.54296875" customWidth="1"/>
    <col min="62" max="62" width="12.81640625" customWidth="1"/>
    <col min="63" max="63" width="1.54296875" customWidth="1"/>
    <col min="64" max="64" width="12.81640625" customWidth="1"/>
    <col min="65" max="65" width="1.54296875" customWidth="1"/>
    <col min="66" max="66" width="12.81640625" customWidth="1"/>
    <col min="67" max="67" width="1.54296875" customWidth="1"/>
    <col min="68" max="68" width="12.81640625" customWidth="1"/>
    <col min="69" max="69" width="1.54296875" customWidth="1"/>
    <col min="70" max="70" width="12.81640625" customWidth="1"/>
    <col min="71" max="71" width="1.54296875" customWidth="1"/>
    <col min="72" max="72" width="12.81640625" customWidth="1"/>
    <col min="73" max="73" width="1.54296875" customWidth="1"/>
    <col min="74" max="74" width="12.81640625" customWidth="1"/>
    <col min="75" max="75" width="1.54296875" customWidth="1"/>
    <col min="76" max="76" width="12.81640625" customWidth="1"/>
    <col min="77" max="77" width="1.54296875" customWidth="1"/>
    <col min="78" max="78" width="12.81640625" customWidth="1"/>
    <col min="79" max="79" width="1.54296875" customWidth="1"/>
    <col min="80" max="80" width="12.81640625" customWidth="1"/>
    <col min="81" max="81" width="1.54296875" customWidth="1"/>
    <col min="82" max="82" width="12.81640625" customWidth="1"/>
    <col min="83" max="83" width="1.54296875" customWidth="1"/>
    <col min="84" max="84" width="12.81640625" customWidth="1"/>
    <col min="85" max="85" width="1.54296875" customWidth="1"/>
    <col min="86" max="86" width="12.81640625" customWidth="1"/>
    <col min="87" max="87" width="1.54296875" customWidth="1"/>
    <col min="88" max="88" width="12.81640625" customWidth="1"/>
    <col min="89" max="89" width="1.54296875" customWidth="1"/>
    <col min="90" max="90" width="12.81640625" customWidth="1"/>
    <col min="91" max="91" width="1.54296875" customWidth="1"/>
    <col min="92" max="92" width="12.81640625" customWidth="1"/>
    <col min="93" max="93" width="1.54296875" customWidth="1"/>
    <col min="94" max="94" width="12.81640625" customWidth="1"/>
    <col min="95" max="95" width="1.54296875" customWidth="1"/>
    <col min="96" max="96" width="12.81640625" customWidth="1"/>
    <col min="97" max="97" width="1.54296875" customWidth="1"/>
    <col min="98" max="98" width="12.81640625" customWidth="1"/>
    <col min="99" max="99" width="1.54296875" customWidth="1"/>
    <col min="100" max="100" width="12.81640625" customWidth="1"/>
    <col min="101" max="101" width="1.54296875" customWidth="1"/>
    <col min="102" max="102" width="12.81640625" customWidth="1"/>
    <col min="103" max="103" width="1.54296875" customWidth="1"/>
    <col min="104" max="104" width="12.81640625" customWidth="1"/>
    <col min="105" max="105" width="1.54296875" customWidth="1"/>
    <col min="106" max="106" width="12.81640625" customWidth="1"/>
    <col min="107" max="107" width="1.54296875" customWidth="1"/>
    <col min="108" max="108" width="12.81640625" customWidth="1"/>
    <col min="109" max="109" width="1.54296875" customWidth="1"/>
    <col min="110" max="110" width="12.81640625" customWidth="1"/>
    <col min="111" max="111" width="1.54296875" customWidth="1"/>
    <col min="112" max="112" width="12.81640625" customWidth="1"/>
    <col min="113" max="113" width="1.54296875" customWidth="1"/>
    <col min="114" max="114" width="12.81640625" customWidth="1"/>
    <col min="115" max="115" width="1.54296875" customWidth="1"/>
    <col min="116" max="116" width="12.81640625" customWidth="1"/>
    <col min="117" max="117" width="1.54296875" customWidth="1"/>
    <col min="118" max="118" width="12.81640625" customWidth="1"/>
    <col min="119" max="119" width="1.54296875" customWidth="1"/>
    <col min="120" max="120" width="12.81640625" customWidth="1"/>
    <col min="121" max="121" width="1.54296875" customWidth="1"/>
    <col min="122" max="122" width="12.81640625" customWidth="1"/>
    <col min="123" max="123" width="1.54296875" customWidth="1"/>
    <col min="124" max="124" width="12.81640625" customWidth="1"/>
    <col min="125" max="125" width="1.54296875" customWidth="1"/>
    <col min="126" max="126" width="12.81640625" customWidth="1"/>
    <col min="127" max="127" width="1.54296875" customWidth="1"/>
    <col min="128" max="128" width="12.81640625" customWidth="1"/>
    <col min="129" max="129" width="1.54296875" customWidth="1"/>
    <col min="130" max="130" width="12.81640625" customWidth="1"/>
    <col min="131" max="131" width="1.54296875" customWidth="1"/>
    <col min="132" max="132" width="12.81640625" customWidth="1"/>
    <col min="133" max="133" width="1.54296875" customWidth="1"/>
    <col min="134" max="134" width="12.81640625" customWidth="1"/>
    <col min="135" max="135" width="1.54296875" customWidth="1"/>
    <col min="136" max="136" width="12.81640625" customWidth="1"/>
    <col min="137" max="137" width="1.54296875" customWidth="1"/>
    <col min="138" max="138" width="12.81640625" customWidth="1"/>
    <col min="139" max="139" width="1.54296875" customWidth="1"/>
    <col min="140" max="140" width="12.81640625" customWidth="1"/>
    <col min="141" max="141" width="1.54296875" customWidth="1"/>
    <col min="142" max="142" width="12.81640625" customWidth="1"/>
    <col min="143" max="143" width="1.54296875" customWidth="1"/>
    <col min="144" max="144" width="12.81640625" customWidth="1"/>
    <col min="145" max="145" width="1.54296875" customWidth="1"/>
    <col min="146" max="146" width="12.81640625" customWidth="1"/>
    <col min="147" max="147" width="1.54296875" customWidth="1"/>
    <col min="148" max="148" width="12.81640625" customWidth="1"/>
    <col min="149" max="149" width="1.54296875" customWidth="1"/>
    <col min="150" max="150" width="12.81640625" customWidth="1"/>
    <col min="151" max="151" width="1.54296875" customWidth="1"/>
    <col min="152" max="152" width="12.81640625" customWidth="1"/>
    <col min="153" max="153" width="1.54296875" customWidth="1"/>
    <col min="154" max="154" width="12.81640625" customWidth="1"/>
    <col min="155" max="155" width="1.54296875" customWidth="1"/>
    <col min="156" max="156" width="12.81640625" customWidth="1"/>
    <col min="157" max="157" width="1.54296875" customWidth="1"/>
    <col min="158" max="158" width="12.81640625" customWidth="1"/>
    <col min="159" max="159" width="1.54296875" customWidth="1"/>
    <col min="160" max="160" width="12.81640625" customWidth="1"/>
    <col min="161" max="161" width="1.54296875" customWidth="1"/>
    <col min="162" max="162" width="12.81640625" customWidth="1"/>
    <col min="163" max="163" width="1.54296875" customWidth="1"/>
    <col min="164" max="164" width="12.81640625" customWidth="1"/>
    <col min="165" max="165" width="1.54296875" customWidth="1"/>
    <col min="166" max="166" width="12.81640625" customWidth="1"/>
    <col min="167" max="167" width="1.54296875" customWidth="1"/>
    <col min="168" max="168" width="12.81640625" customWidth="1"/>
    <col min="169" max="169" width="1.54296875" customWidth="1"/>
    <col min="170" max="170" width="12.81640625" customWidth="1"/>
    <col min="171" max="171" width="1.54296875" customWidth="1"/>
    <col min="172" max="172" width="12.81640625" customWidth="1"/>
    <col min="173" max="173" width="1.54296875" customWidth="1"/>
    <col min="174" max="174" width="12.81640625" customWidth="1"/>
    <col min="175" max="175" width="1.54296875" customWidth="1"/>
    <col min="176" max="176" width="12.81640625" customWidth="1"/>
    <col min="177" max="177" width="1.54296875" customWidth="1"/>
    <col min="178" max="178" width="12.81640625" customWidth="1"/>
    <col min="179" max="179" width="1.54296875" customWidth="1"/>
    <col min="180" max="180" width="12.81640625" customWidth="1"/>
    <col min="181" max="181" width="1.54296875" customWidth="1"/>
    <col min="182" max="182" width="12.81640625" customWidth="1"/>
    <col min="183" max="183" width="1.54296875" customWidth="1"/>
    <col min="184" max="184" width="12.81640625" customWidth="1"/>
    <col min="185" max="185" width="1.54296875" customWidth="1"/>
    <col min="186" max="186" width="12.81640625" customWidth="1"/>
    <col min="187" max="187" width="1.54296875" customWidth="1"/>
    <col min="188" max="188" width="12.81640625" customWidth="1"/>
    <col min="189" max="189" width="1.54296875" customWidth="1"/>
    <col min="190" max="190" width="12.81640625" customWidth="1"/>
    <col min="191" max="191" width="1.54296875" customWidth="1"/>
    <col min="192" max="192" width="12.81640625" customWidth="1"/>
    <col min="193" max="193" width="1.54296875" customWidth="1"/>
    <col min="194" max="194" width="12.81640625" customWidth="1"/>
    <col min="195" max="195" width="1.54296875" customWidth="1"/>
    <col min="196" max="196" width="12.81640625" customWidth="1"/>
    <col min="197" max="197" width="1.54296875" customWidth="1"/>
    <col min="198" max="198" width="12.81640625" customWidth="1"/>
    <col min="199" max="199" width="1.54296875" customWidth="1"/>
  </cols>
  <sheetData>
    <row r="1" spans="1:199" ht="12" customHeight="1" x14ac:dyDescent="0.35">
      <c r="A1" s="208" t="s">
        <v>361</v>
      </c>
      <c r="B1" s="208"/>
      <c r="C1" s="208"/>
      <c r="D1" s="208"/>
      <c r="E1" s="208"/>
      <c r="F1" s="208"/>
      <c r="G1" s="208"/>
      <c r="H1" s="208"/>
      <c r="I1" s="208"/>
      <c r="J1" s="208"/>
      <c r="K1" s="208"/>
      <c r="L1" s="208"/>
      <c r="M1" s="208"/>
      <c r="N1" s="81">
        <v>44055</v>
      </c>
      <c r="O1"/>
      <c r="P1" s="30" t="s">
        <v>362</v>
      </c>
      <c r="Q1" s="30" t="s">
        <v>362</v>
      </c>
      <c r="R1" s="30" t="s">
        <v>0</v>
      </c>
      <c r="S1" s="210" t="s">
        <v>363</v>
      </c>
      <c r="T1" s="30" t="s">
        <v>362</v>
      </c>
      <c r="U1" s="30" t="s">
        <v>362</v>
      </c>
      <c r="V1" s="30" t="s">
        <v>362</v>
      </c>
      <c r="W1" s="30" t="s">
        <v>362</v>
      </c>
      <c r="X1" s="30" t="s">
        <v>362</v>
      </c>
      <c r="Y1" s="30" t="s">
        <v>362</v>
      </c>
      <c r="Z1" s="30" t="s">
        <v>362</v>
      </c>
      <c r="AA1" s="30" t="s">
        <v>362</v>
      </c>
      <c r="AB1" s="30" t="s">
        <v>362</v>
      </c>
      <c r="AC1" s="30" t="s">
        <v>362</v>
      </c>
      <c r="AD1" s="30" t="s">
        <v>362</v>
      </c>
      <c r="AE1" s="30"/>
      <c r="AF1" s="30"/>
      <c r="AG1" s="30"/>
      <c r="AH1" s="30"/>
      <c r="AI1" s="30"/>
      <c r="AJ1" s="30"/>
      <c r="AK1" s="30"/>
      <c r="AL1" s="30"/>
      <c r="AM1" s="30"/>
      <c r="AN1" s="30"/>
      <c r="AO1" s="30"/>
      <c r="AP1" s="29"/>
    </row>
    <row r="2" spans="1:199" ht="12" customHeight="1" x14ac:dyDescent="0.35">
      <c r="A2" s="208" t="s">
        <v>364</v>
      </c>
      <c r="B2" s="208"/>
      <c r="C2" s="208"/>
      <c r="D2" s="208"/>
      <c r="E2" s="208"/>
      <c r="F2" s="208"/>
      <c r="G2" s="208"/>
      <c r="H2" s="208"/>
      <c r="I2" s="208"/>
      <c r="J2" s="208"/>
      <c r="K2" s="208"/>
      <c r="L2" s="208"/>
      <c r="M2" s="208"/>
      <c r="N2" s="29"/>
      <c r="O2"/>
      <c r="P2" s="30" t="s">
        <v>362</v>
      </c>
      <c r="Q2" s="30" t="s">
        <v>362</v>
      </c>
      <c r="R2" s="30" t="s">
        <v>362</v>
      </c>
      <c r="S2" s="211"/>
      <c r="T2" s="30" t="s">
        <v>362</v>
      </c>
      <c r="U2" s="30" t="s">
        <v>362</v>
      </c>
      <c r="V2" s="30" t="s">
        <v>362</v>
      </c>
      <c r="W2" s="30" t="s">
        <v>362</v>
      </c>
      <c r="X2" s="30" t="s">
        <v>362</v>
      </c>
      <c r="Y2" s="30" t="s">
        <v>362</v>
      </c>
      <c r="Z2" s="30" t="s">
        <v>362</v>
      </c>
      <c r="AA2" s="30" t="s">
        <v>362</v>
      </c>
      <c r="AB2" s="30" t="s">
        <v>362</v>
      </c>
      <c r="AC2" s="30" t="s">
        <v>362</v>
      </c>
      <c r="AD2" s="30" t="s">
        <v>362</v>
      </c>
      <c r="AE2" s="30"/>
      <c r="AF2" s="30"/>
      <c r="AG2" s="30"/>
      <c r="AH2" s="30"/>
      <c r="AI2" s="30"/>
      <c r="AJ2" s="30"/>
      <c r="AK2" s="30"/>
      <c r="AL2" s="30"/>
      <c r="AM2" s="30"/>
      <c r="AN2" s="30"/>
      <c r="AO2" s="30"/>
    </row>
    <row r="3" spans="1:199" ht="12" customHeight="1" thickBot="1" x14ac:dyDescent="0.4">
      <c r="A3" s="209" t="s">
        <v>365</v>
      </c>
      <c r="B3" s="209"/>
      <c r="C3" s="209"/>
      <c r="D3" s="209"/>
      <c r="E3" s="209"/>
      <c r="F3" s="209"/>
      <c r="G3" s="209"/>
      <c r="H3" s="209"/>
      <c r="I3" s="209"/>
      <c r="J3" s="209"/>
      <c r="K3" s="209"/>
      <c r="L3" s="209"/>
      <c r="M3" s="209"/>
      <c r="N3" s="33" t="s">
        <v>362</v>
      </c>
      <c r="O3" s="33" t="s">
        <v>362</v>
      </c>
      <c r="P3" s="30" t="s">
        <v>362</v>
      </c>
      <c r="Q3" s="30" t="s">
        <v>362</v>
      </c>
      <c r="R3" s="34" t="s">
        <v>362</v>
      </c>
      <c r="S3" s="211"/>
      <c r="T3" s="34" t="s">
        <v>362</v>
      </c>
      <c r="U3" s="34" t="s">
        <v>362</v>
      </c>
      <c r="V3" s="34" t="s">
        <v>362</v>
      </c>
      <c r="W3" s="34" t="s">
        <v>362</v>
      </c>
      <c r="X3" s="34" t="s">
        <v>362</v>
      </c>
      <c r="Y3" s="34" t="s">
        <v>362</v>
      </c>
      <c r="Z3" s="34" t="s">
        <v>362</v>
      </c>
      <c r="AA3" s="34" t="s">
        <v>362</v>
      </c>
      <c r="AB3" s="34" t="s">
        <v>362</v>
      </c>
      <c r="AC3" s="34" t="s">
        <v>362</v>
      </c>
      <c r="AD3" s="34" t="s">
        <v>362</v>
      </c>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row>
    <row r="4" spans="1:199" ht="63.75" customHeight="1" thickBot="1" x14ac:dyDescent="0.4">
      <c r="A4" s="35" t="s">
        <v>302</v>
      </c>
      <c r="B4" s="35" t="s">
        <v>366</v>
      </c>
      <c r="C4" s="36" t="s">
        <v>362</v>
      </c>
      <c r="D4" s="35" t="s">
        <v>367</v>
      </c>
      <c r="E4" s="36" t="s">
        <v>362</v>
      </c>
      <c r="F4" s="35" t="s">
        <v>368</v>
      </c>
      <c r="G4" s="36" t="s">
        <v>362</v>
      </c>
      <c r="H4" s="35" t="s">
        <v>369</v>
      </c>
      <c r="I4" s="36" t="s">
        <v>362</v>
      </c>
      <c r="J4" s="35" t="s">
        <v>370</v>
      </c>
      <c r="K4" s="36" t="s">
        <v>362</v>
      </c>
      <c r="L4" s="35" t="s">
        <v>371</v>
      </c>
      <c r="M4" s="36" t="s">
        <v>362</v>
      </c>
      <c r="N4" s="35" t="s">
        <v>372</v>
      </c>
      <c r="O4" s="36" t="s">
        <v>362</v>
      </c>
      <c r="P4" s="35" t="s">
        <v>373</v>
      </c>
      <c r="Q4" s="36" t="s">
        <v>362</v>
      </c>
      <c r="R4" s="34" t="s">
        <v>362</v>
      </c>
      <c r="S4" s="85" t="s">
        <v>374</v>
      </c>
      <c r="T4" s="34" t="s">
        <v>362</v>
      </c>
      <c r="U4" s="34" t="s">
        <v>362</v>
      </c>
      <c r="V4" s="34" t="s">
        <v>362</v>
      </c>
      <c r="W4" s="34" t="s">
        <v>362</v>
      </c>
      <c r="X4" s="34" t="s">
        <v>362</v>
      </c>
      <c r="Y4" s="34" t="s">
        <v>362</v>
      </c>
      <c r="Z4" s="34" t="s">
        <v>362</v>
      </c>
      <c r="AA4" s="34" t="s">
        <v>362</v>
      </c>
      <c r="AB4" s="34" t="s">
        <v>362</v>
      </c>
      <c r="AC4" s="34" t="s">
        <v>362</v>
      </c>
      <c r="AD4" s="34" t="s">
        <v>362</v>
      </c>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row>
    <row r="5" spans="1:199" ht="12.75" customHeight="1" x14ac:dyDescent="0.35">
      <c r="A5" s="37" t="s">
        <v>375</v>
      </c>
      <c r="B5" s="38">
        <v>5295763</v>
      </c>
      <c r="C5" s="39"/>
      <c r="D5" s="38">
        <v>21584.5</v>
      </c>
      <c r="E5" s="39"/>
      <c r="F5" s="38">
        <v>161717.5</v>
      </c>
      <c r="G5" s="39"/>
      <c r="H5" s="38">
        <v>607</v>
      </c>
      <c r="I5" s="39"/>
      <c r="J5" s="38">
        <v>87398</v>
      </c>
      <c r="K5" s="39"/>
      <c r="L5" s="38">
        <v>77413.5</v>
      </c>
      <c r="M5" s="39"/>
      <c r="N5" s="38">
        <v>71600.5</v>
      </c>
      <c r="O5" s="39"/>
      <c r="P5" s="38">
        <v>2719</v>
      </c>
      <c r="Q5" s="39"/>
      <c r="R5" s="34"/>
      <c r="S5" s="86"/>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row>
    <row r="6" spans="1:199" ht="12.75" customHeight="1" x14ac:dyDescent="0.35">
      <c r="A6" s="37" t="s">
        <v>376</v>
      </c>
      <c r="B6" s="40">
        <v>5141434</v>
      </c>
      <c r="C6" s="39" t="s">
        <v>362</v>
      </c>
      <c r="D6" s="38">
        <v>21493</v>
      </c>
      <c r="E6" s="39" t="s">
        <v>362</v>
      </c>
      <c r="F6" s="38">
        <v>160700.5</v>
      </c>
      <c r="G6" s="39" t="s">
        <v>362</v>
      </c>
      <c r="H6" s="38">
        <v>644</v>
      </c>
      <c r="I6" s="39" t="s">
        <v>362</v>
      </c>
      <c r="J6" s="40">
        <v>89843</v>
      </c>
      <c r="K6" s="39" t="s">
        <v>362</v>
      </c>
      <c r="L6" s="38">
        <v>79641.5</v>
      </c>
      <c r="M6" s="39" t="s">
        <v>362</v>
      </c>
      <c r="N6" s="38">
        <v>68198.5</v>
      </c>
      <c r="O6" s="39" t="s">
        <v>362</v>
      </c>
      <c r="P6" s="38">
        <v>2659</v>
      </c>
      <c r="Q6" s="39" t="s">
        <v>362</v>
      </c>
      <c r="R6" s="34" t="s">
        <v>362</v>
      </c>
      <c r="S6" s="34" t="s">
        <v>362</v>
      </c>
      <c r="T6" s="34" t="s">
        <v>362</v>
      </c>
      <c r="U6" s="34" t="s">
        <v>362</v>
      </c>
      <c r="V6" s="34" t="s">
        <v>362</v>
      </c>
      <c r="W6" s="34" t="s">
        <v>362</v>
      </c>
      <c r="X6" s="34" t="s">
        <v>362</v>
      </c>
      <c r="Y6" s="34" t="s">
        <v>362</v>
      </c>
      <c r="Z6" s="34" t="s">
        <v>362</v>
      </c>
      <c r="AA6" s="34" t="s">
        <v>362</v>
      </c>
      <c r="AB6" s="34" t="s">
        <v>362</v>
      </c>
      <c r="AC6" s="34" t="s">
        <v>362</v>
      </c>
      <c r="AD6" s="34" t="s">
        <v>362</v>
      </c>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row>
    <row r="7" spans="1:199" ht="12.75" customHeight="1" x14ac:dyDescent="0.35">
      <c r="A7" s="37" t="s">
        <v>377</v>
      </c>
      <c r="B7" s="84">
        <v>4628848.25</v>
      </c>
      <c r="C7" s="39" t="s">
        <v>362</v>
      </c>
      <c r="D7" s="38">
        <v>22128.5</v>
      </c>
      <c r="E7" s="39" t="s">
        <v>362</v>
      </c>
      <c r="F7" s="38">
        <v>165663.25</v>
      </c>
      <c r="G7" s="39" t="s">
        <v>362</v>
      </c>
      <c r="H7" s="38">
        <v>674</v>
      </c>
      <c r="I7" s="39" t="s">
        <v>362</v>
      </c>
      <c r="J7" s="84">
        <v>96778</v>
      </c>
      <c r="K7" s="39" t="s">
        <v>362</v>
      </c>
      <c r="L7" s="38">
        <v>85342.75</v>
      </c>
      <c r="M7" s="39" t="s">
        <v>362</v>
      </c>
      <c r="N7" s="38">
        <v>66146</v>
      </c>
      <c r="O7" s="39" t="s">
        <v>362</v>
      </c>
      <c r="P7" s="38">
        <v>2739.25</v>
      </c>
      <c r="Q7" s="39" t="s">
        <v>362</v>
      </c>
      <c r="R7" s="34" t="s">
        <v>362</v>
      </c>
      <c r="S7" s="34" t="s">
        <v>362</v>
      </c>
      <c r="T7" s="34" t="s">
        <v>362</v>
      </c>
      <c r="U7" s="34" t="s">
        <v>362</v>
      </c>
      <c r="V7" s="34" t="s">
        <v>362</v>
      </c>
      <c r="W7" s="34" t="s">
        <v>362</v>
      </c>
      <c r="X7" s="34" t="s">
        <v>362</v>
      </c>
      <c r="Y7" s="34" t="s">
        <v>362</v>
      </c>
      <c r="Z7" s="34" t="s">
        <v>362</v>
      </c>
      <c r="AA7" s="34" t="s">
        <v>362</v>
      </c>
      <c r="AB7" s="34" t="s">
        <v>362</v>
      </c>
      <c r="AC7" s="34" t="s">
        <v>362</v>
      </c>
      <c r="AD7" s="34" t="s">
        <v>362</v>
      </c>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row>
  </sheetData>
  <mergeCells count="4">
    <mergeCell ref="A1:M1"/>
    <mergeCell ref="A2:M2"/>
    <mergeCell ref="A3:M3"/>
    <mergeCell ref="S1:S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1:GQ6"/>
  <sheetViews>
    <sheetView showGridLines="0" zoomScale="85" zoomScaleNormal="85" workbookViewId="0">
      <selection activeCell="R13" sqref="R13"/>
    </sheetView>
  </sheetViews>
  <sheetFormatPr defaultColWidth="8.81640625" defaultRowHeight="15.5" x14ac:dyDescent="0.35"/>
  <cols>
    <col min="1" max="1" width="11.453125" customWidth="1"/>
    <col min="2" max="2" width="12.81640625" customWidth="1"/>
    <col min="3" max="3" width="1.54296875" style="31" customWidth="1"/>
    <col min="4" max="4" width="12.81640625" customWidth="1"/>
    <col min="5" max="5" width="1.54296875" style="31" customWidth="1"/>
    <col min="6" max="6" width="12.81640625" customWidth="1"/>
    <col min="7" max="7" width="1.54296875" style="31" customWidth="1"/>
    <col min="8" max="8" width="12.81640625" customWidth="1"/>
    <col min="9" max="9" width="1.54296875" style="31" customWidth="1"/>
    <col min="10" max="10" width="12.81640625" customWidth="1"/>
    <col min="11" max="11" width="1.54296875" style="31" customWidth="1"/>
    <col min="12" max="12" width="12.81640625" customWidth="1"/>
    <col min="13" max="13" width="1.54296875" style="31" customWidth="1"/>
    <col min="14" max="14" width="12.81640625" customWidth="1"/>
    <col min="15" max="15" width="1.54296875" style="31" customWidth="1"/>
    <col min="16" max="16" width="12.81640625" customWidth="1"/>
    <col min="17" max="17" width="1.54296875" style="31" customWidth="1"/>
    <col min="18" max="18" width="12.81640625" customWidth="1"/>
    <col min="19" max="19" width="1.54296875" style="31" customWidth="1"/>
    <col min="20" max="20" width="12.81640625" customWidth="1"/>
    <col min="21" max="21" width="1.54296875" style="31" customWidth="1"/>
    <col min="22" max="22" width="12.81640625" customWidth="1"/>
    <col min="23" max="23" width="1.54296875" style="31" customWidth="1"/>
    <col min="24" max="24" width="12.81640625" customWidth="1"/>
    <col min="25" max="25" width="1.54296875" style="31" customWidth="1"/>
    <col min="26" max="26" width="12.81640625" customWidth="1"/>
    <col min="27" max="27" width="1.54296875" style="31" customWidth="1"/>
    <col min="28" max="28" width="12.81640625" customWidth="1"/>
    <col min="29" max="29" width="1.54296875" style="31" customWidth="1"/>
    <col min="30" max="30" width="12.81640625" customWidth="1"/>
    <col min="31" max="31" width="1.54296875" style="31" customWidth="1"/>
    <col min="32" max="32" width="12.81640625" customWidth="1"/>
    <col min="33" max="33" width="1.54296875" style="31" customWidth="1"/>
    <col min="34" max="34" width="12.81640625" customWidth="1"/>
    <col min="35" max="35" width="1.54296875" style="31" customWidth="1"/>
    <col min="36" max="36" width="13.81640625" customWidth="1"/>
    <col min="37" max="37" width="1.54296875" style="31" customWidth="1"/>
    <col min="38" max="38" width="12.81640625" customWidth="1"/>
    <col min="39" max="39" width="1.54296875" style="31" customWidth="1"/>
    <col min="40" max="40" width="12.81640625" customWidth="1"/>
    <col min="41" max="41" width="1.54296875" style="31" customWidth="1"/>
    <col min="42" max="42" width="12.81640625" customWidth="1"/>
    <col min="43" max="43" width="1.54296875" style="31" customWidth="1"/>
    <col min="44" max="44" width="12.81640625" customWidth="1"/>
    <col min="45" max="45" width="1.54296875" customWidth="1"/>
    <col min="46" max="46" width="12.81640625" customWidth="1"/>
    <col min="47" max="47" width="1.54296875" customWidth="1"/>
    <col min="48" max="48" width="12.81640625" customWidth="1"/>
    <col min="49" max="49" width="1.54296875" customWidth="1"/>
    <col min="50" max="50" width="12.81640625" customWidth="1"/>
    <col min="51" max="51" width="1.54296875" customWidth="1"/>
    <col min="52" max="52" width="12.81640625" customWidth="1"/>
    <col min="53" max="53" width="1.54296875" customWidth="1"/>
    <col min="54" max="54" width="12.81640625" customWidth="1"/>
    <col min="55" max="55" width="1.54296875" customWidth="1"/>
    <col min="56" max="56" width="12.81640625" customWidth="1"/>
    <col min="57" max="57" width="1.54296875" customWidth="1"/>
    <col min="58" max="58" width="12.81640625" customWidth="1"/>
    <col min="59" max="59" width="1.54296875" customWidth="1"/>
    <col min="60" max="60" width="12.81640625" customWidth="1"/>
    <col min="61" max="61" width="1.54296875" customWidth="1"/>
    <col min="62" max="62" width="12.81640625" customWidth="1"/>
    <col min="63" max="63" width="1.54296875" customWidth="1"/>
    <col min="64" max="64" width="12.81640625" customWidth="1"/>
    <col min="65" max="65" width="1.54296875" customWidth="1"/>
    <col min="66" max="66" width="12.81640625" customWidth="1"/>
    <col min="67" max="67" width="1.54296875" customWidth="1"/>
    <col min="68" max="68" width="12.81640625" customWidth="1"/>
    <col min="69" max="69" width="1.54296875" customWidth="1"/>
    <col min="70" max="70" width="12.81640625" customWidth="1"/>
    <col min="71" max="71" width="1.54296875" customWidth="1"/>
    <col min="72" max="72" width="12.81640625" customWidth="1"/>
    <col min="73" max="73" width="1.54296875" customWidth="1"/>
    <col min="74" max="74" width="12.81640625" customWidth="1"/>
    <col min="75" max="75" width="1.54296875" customWidth="1"/>
    <col min="76" max="76" width="12.81640625" customWidth="1"/>
    <col min="77" max="77" width="1.54296875" customWidth="1"/>
    <col min="78" max="78" width="12.81640625" customWidth="1"/>
    <col min="79" max="79" width="1.54296875" customWidth="1"/>
    <col min="80" max="80" width="12.81640625" customWidth="1"/>
    <col min="81" max="81" width="1.54296875" customWidth="1"/>
    <col min="82" max="82" width="12.81640625" customWidth="1"/>
    <col min="83" max="83" width="1.54296875" customWidth="1"/>
    <col min="84" max="84" width="12.81640625" customWidth="1"/>
    <col min="85" max="85" width="1.54296875" customWidth="1"/>
    <col min="86" max="86" width="12.81640625" customWidth="1"/>
    <col min="87" max="87" width="1.54296875" customWidth="1"/>
    <col min="88" max="88" width="12.81640625" customWidth="1"/>
    <col min="89" max="89" width="1.54296875" customWidth="1"/>
    <col min="90" max="90" width="12.81640625" customWidth="1"/>
    <col min="91" max="91" width="1.54296875" customWidth="1"/>
    <col min="92" max="92" width="12.81640625" customWidth="1"/>
    <col min="93" max="93" width="1.54296875" customWidth="1"/>
    <col min="94" max="94" width="12.81640625" customWidth="1"/>
    <col min="95" max="95" width="1.54296875" customWidth="1"/>
    <col min="96" max="96" width="12.81640625" customWidth="1"/>
    <col min="97" max="97" width="1.54296875" customWidth="1"/>
    <col min="98" max="98" width="12.81640625" customWidth="1"/>
    <col min="99" max="99" width="1.54296875" customWidth="1"/>
    <col min="100" max="100" width="12.81640625" customWidth="1"/>
    <col min="101" max="101" width="1.54296875" customWidth="1"/>
    <col min="102" max="102" width="12.81640625" customWidth="1"/>
    <col min="103" max="103" width="1.54296875" customWidth="1"/>
    <col min="104" max="104" width="12.81640625" customWidth="1"/>
    <col min="105" max="105" width="1.54296875" customWidth="1"/>
    <col min="106" max="106" width="12.81640625" customWidth="1"/>
    <col min="107" max="107" width="1.54296875" customWidth="1"/>
    <col min="108" max="108" width="12.81640625" customWidth="1"/>
    <col min="109" max="109" width="1.54296875" customWidth="1"/>
    <col min="110" max="110" width="12.81640625" customWidth="1"/>
    <col min="111" max="111" width="1.54296875" customWidth="1"/>
    <col min="112" max="112" width="12.81640625" customWidth="1"/>
    <col min="113" max="113" width="1.54296875" customWidth="1"/>
    <col min="114" max="114" width="12.81640625" customWidth="1"/>
    <col min="115" max="115" width="1.54296875" customWidth="1"/>
    <col min="116" max="116" width="12.81640625" customWidth="1"/>
    <col min="117" max="117" width="1.54296875" customWidth="1"/>
    <col min="118" max="118" width="12.81640625" customWidth="1"/>
    <col min="119" max="119" width="1.54296875" customWidth="1"/>
    <col min="120" max="120" width="12.81640625" customWidth="1"/>
    <col min="121" max="121" width="1.54296875" customWidth="1"/>
    <col min="122" max="122" width="12.81640625" customWidth="1"/>
    <col min="123" max="123" width="1.54296875" customWidth="1"/>
    <col min="124" max="124" width="12.81640625" customWidth="1"/>
    <col min="125" max="125" width="1.54296875" customWidth="1"/>
    <col min="126" max="126" width="12.81640625" customWidth="1"/>
    <col min="127" max="127" width="1.54296875" customWidth="1"/>
    <col min="128" max="128" width="12.81640625" customWidth="1"/>
    <col min="129" max="129" width="1.54296875" customWidth="1"/>
    <col min="130" max="130" width="12.81640625" customWidth="1"/>
    <col min="131" max="131" width="1.54296875" customWidth="1"/>
    <col min="132" max="132" width="12.81640625" customWidth="1"/>
    <col min="133" max="133" width="1.54296875" customWidth="1"/>
    <col min="134" max="134" width="12.81640625" customWidth="1"/>
    <col min="135" max="135" width="1.54296875" customWidth="1"/>
    <col min="136" max="136" width="12.81640625" customWidth="1"/>
    <col min="137" max="137" width="1.54296875" customWidth="1"/>
    <col min="138" max="138" width="12.81640625" customWidth="1"/>
    <col min="139" max="139" width="1.54296875" customWidth="1"/>
    <col min="140" max="140" width="12.81640625" customWidth="1"/>
    <col min="141" max="141" width="1.54296875" customWidth="1"/>
    <col min="142" max="142" width="12.81640625" customWidth="1"/>
    <col min="143" max="143" width="1.54296875" customWidth="1"/>
    <col min="144" max="144" width="12.81640625" customWidth="1"/>
    <col min="145" max="145" width="1.54296875" customWidth="1"/>
    <col min="146" max="146" width="12.81640625" customWidth="1"/>
    <col min="147" max="147" width="1.54296875" customWidth="1"/>
    <col min="148" max="148" width="12.81640625" customWidth="1"/>
    <col min="149" max="149" width="1.54296875" customWidth="1"/>
    <col min="150" max="150" width="12.81640625" customWidth="1"/>
    <col min="151" max="151" width="1.54296875" customWidth="1"/>
    <col min="152" max="152" width="12.81640625" customWidth="1"/>
    <col min="153" max="153" width="1.54296875" customWidth="1"/>
    <col min="154" max="154" width="12.81640625" customWidth="1"/>
    <col min="155" max="155" width="1.54296875" customWidth="1"/>
    <col min="156" max="156" width="12.81640625" customWidth="1"/>
    <col min="157" max="157" width="1.54296875" customWidth="1"/>
    <col min="158" max="158" width="12.81640625" customWidth="1"/>
    <col min="159" max="159" width="1.54296875" customWidth="1"/>
    <col min="160" max="160" width="12.81640625" customWidth="1"/>
    <col min="161" max="161" width="1.54296875" customWidth="1"/>
    <col min="162" max="162" width="12.81640625" customWidth="1"/>
    <col min="163" max="163" width="1.54296875" customWidth="1"/>
    <col min="164" max="164" width="12.81640625" customWidth="1"/>
    <col min="165" max="165" width="1.54296875" customWidth="1"/>
    <col min="166" max="166" width="12.81640625" customWidth="1"/>
    <col min="167" max="167" width="1.54296875" customWidth="1"/>
    <col min="168" max="168" width="12.81640625" customWidth="1"/>
    <col min="169" max="169" width="1.54296875" customWidth="1"/>
    <col min="170" max="170" width="12.81640625" customWidth="1"/>
    <col min="171" max="171" width="1.54296875" customWidth="1"/>
    <col min="172" max="172" width="12.81640625" customWidth="1"/>
    <col min="173" max="173" width="1.54296875" customWidth="1"/>
    <col min="174" max="174" width="12.81640625" customWidth="1"/>
    <col min="175" max="175" width="1.54296875" customWidth="1"/>
    <col min="176" max="176" width="12.81640625" customWidth="1"/>
    <col min="177" max="177" width="1.54296875" customWidth="1"/>
    <col min="178" max="178" width="12.81640625" customWidth="1"/>
    <col min="179" max="179" width="1.54296875" customWidth="1"/>
    <col min="180" max="180" width="12.81640625" customWidth="1"/>
    <col min="181" max="181" width="1.54296875" customWidth="1"/>
    <col min="182" max="182" width="12.81640625" customWidth="1"/>
    <col min="183" max="183" width="1.54296875" customWidth="1"/>
    <col min="184" max="184" width="12.81640625" customWidth="1"/>
    <col min="185" max="185" width="1.54296875" customWidth="1"/>
    <col min="186" max="186" width="12.81640625" customWidth="1"/>
    <col min="187" max="187" width="1.54296875" customWidth="1"/>
    <col min="188" max="188" width="12.81640625" customWidth="1"/>
    <col min="189" max="189" width="1.54296875" customWidth="1"/>
    <col min="190" max="190" width="12.81640625" customWidth="1"/>
    <col min="191" max="191" width="1.54296875" customWidth="1"/>
    <col min="192" max="192" width="12.81640625" customWidth="1"/>
    <col min="193" max="193" width="1.54296875" customWidth="1"/>
    <col min="194" max="194" width="12.81640625" customWidth="1"/>
    <col min="195" max="195" width="1.54296875" customWidth="1"/>
    <col min="196" max="196" width="12.81640625" customWidth="1"/>
    <col min="197" max="197" width="1.54296875" customWidth="1"/>
    <col min="198" max="198" width="12.81640625" customWidth="1"/>
    <col min="199" max="199" width="1.54296875" customWidth="1"/>
  </cols>
  <sheetData>
    <row r="1" spans="1:199" ht="12" customHeight="1" x14ac:dyDescent="0.35">
      <c r="A1" s="208" t="s">
        <v>378</v>
      </c>
      <c r="B1" s="208"/>
      <c r="C1" s="208"/>
      <c r="D1" s="208"/>
      <c r="E1" s="208"/>
      <c r="F1" s="208"/>
      <c r="G1" s="208"/>
      <c r="H1" s="208"/>
      <c r="I1" s="208"/>
      <c r="J1" s="208"/>
      <c r="K1" s="208"/>
      <c r="L1" s="208"/>
      <c r="M1" s="208"/>
      <c r="N1" s="82">
        <v>44055</v>
      </c>
      <c r="O1" s="83"/>
      <c r="P1" s="83"/>
      <c r="Q1" s="83"/>
      <c r="R1" s="30" t="s">
        <v>0</v>
      </c>
      <c r="S1" s="213" t="s">
        <v>363</v>
      </c>
      <c r="T1" s="214"/>
      <c r="U1" s="214"/>
      <c r="V1" s="214"/>
      <c r="W1" s="214"/>
      <c r="X1" s="214"/>
      <c r="Y1" s="30"/>
      <c r="Z1" s="30"/>
      <c r="AA1" s="30"/>
      <c r="AB1" s="30"/>
      <c r="AC1" s="30"/>
      <c r="AD1" s="30"/>
      <c r="AE1" s="30"/>
      <c r="AF1" s="30"/>
      <c r="AG1" s="30"/>
      <c r="AH1" s="30"/>
      <c r="AI1" s="30"/>
      <c r="AJ1" s="30"/>
      <c r="AK1" s="30"/>
      <c r="AL1" s="30"/>
      <c r="AM1" s="30"/>
      <c r="AN1" s="30"/>
      <c r="AO1" s="30"/>
      <c r="AP1" s="29"/>
    </row>
    <row r="2" spans="1:199" ht="12" customHeight="1" x14ac:dyDescent="0.35">
      <c r="A2" s="208" t="s">
        <v>379</v>
      </c>
      <c r="B2" s="208"/>
      <c r="C2" s="208"/>
      <c r="D2" s="208"/>
      <c r="E2" s="208"/>
      <c r="F2" s="208"/>
      <c r="G2" s="208"/>
      <c r="H2" s="208"/>
      <c r="I2" s="208"/>
      <c r="J2" s="208"/>
      <c r="K2" s="208"/>
      <c r="L2" s="208"/>
      <c r="M2" s="208"/>
      <c r="N2" s="32"/>
      <c r="O2" s="29"/>
      <c r="P2" s="30"/>
      <c r="Q2" s="30"/>
      <c r="R2" s="30"/>
      <c r="S2" s="212" t="s">
        <v>374</v>
      </c>
      <c r="T2" s="212"/>
      <c r="U2" s="212"/>
      <c r="V2" s="212"/>
      <c r="W2" s="212"/>
      <c r="X2" s="212"/>
      <c r="Y2"/>
      <c r="Z2" s="30"/>
      <c r="AA2" s="30"/>
      <c r="AB2" s="30"/>
      <c r="AC2" s="30"/>
      <c r="AD2" s="30"/>
      <c r="AE2" s="30"/>
      <c r="AF2" s="30"/>
      <c r="AG2" s="30"/>
      <c r="AH2" s="30"/>
      <c r="AI2" s="30"/>
      <c r="AJ2" s="30"/>
      <c r="AK2" s="30"/>
      <c r="AL2" s="30"/>
      <c r="AM2" s="30"/>
      <c r="AN2" s="30"/>
      <c r="AO2" s="30"/>
    </row>
    <row r="3" spans="1:199" ht="12" customHeight="1" thickBot="1" x14ac:dyDescent="0.4">
      <c r="A3" s="209" t="s">
        <v>365</v>
      </c>
      <c r="B3" s="209"/>
      <c r="C3" s="209"/>
      <c r="D3" s="209"/>
      <c r="E3" s="209"/>
      <c r="F3" s="209"/>
      <c r="G3" s="209"/>
      <c r="H3" s="209"/>
      <c r="I3" s="209"/>
      <c r="J3" s="209"/>
      <c r="K3" s="209"/>
      <c r="L3" s="209"/>
      <c r="M3" s="209"/>
      <c r="N3" s="33"/>
      <c r="O3" s="33"/>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row>
    <row r="4" spans="1:199" ht="63.75" customHeight="1" thickBot="1" x14ac:dyDescent="0.4">
      <c r="A4" s="35" t="s">
        <v>302</v>
      </c>
      <c r="B4" s="35" t="s">
        <v>380</v>
      </c>
      <c r="C4" s="36"/>
      <c r="D4" s="35" t="s">
        <v>381</v>
      </c>
      <c r="E4" s="36"/>
      <c r="F4" s="35" t="s">
        <v>369</v>
      </c>
      <c r="G4" s="36"/>
      <c r="H4" s="35" t="s">
        <v>367</v>
      </c>
      <c r="I4" s="36"/>
      <c r="J4" s="35" t="s">
        <v>382</v>
      </c>
      <c r="K4" s="36"/>
      <c r="L4" s="35" t="s">
        <v>383</v>
      </c>
      <c r="M4" s="36"/>
      <c r="N4" s="35" t="s">
        <v>384</v>
      </c>
      <c r="O4" s="36"/>
      <c r="P4" s="35" t="s">
        <v>385</v>
      </c>
      <c r="Q4" s="36"/>
      <c r="R4" s="35" t="s">
        <v>386</v>
      </c>
      <c r="S4" s="36"/>
      <c r="T4" s="35" t="s">
        <v>372</v>
      </c>
      <c r="U4" s="36"/>
      <c r="V4" s="35" t="s">
        <v>368</v>
      </c>
      <c r="W4" s="36"/>
      <c r="X4" s="35" t="s">
        <v>387</v>
      </c>
      <c r="Y4" s="36"/>
      <c r="Z4" s="35" t="s">
        <v>388</v>
      </c>
      <c r="AA4" s="36"/>
      <c r="AB4" s="35" t="s">
        <v>389</v>
      </c>
      <c r="AC4" s="36"/>
      <c r="AD4" s="35" t="s">
        <v>390</v>
      </c>
      <c r="AE4" s="36"/>
      <c r="AF4" s="35" t="s">
        <v>391</v>
      </c>
      <c r="AG4" s="36"/>
      <c r="AH4" s="35" t="s">
        <v>392</v>
      </c>
      <c r="AI4" s="36"/>
      <c r="AJ4" s="35" t="s">
        <v>371</v>
      </c>
      <c r="AK4" s="36"/>
      <c r="AL4" s="35" t="s">
        <v>393</v>
      </c>
      <c r="AM4" s="36"/>
      <c r="AN4" s="35" t="s">
        <v>394</v>
      </c>
      <c r="AO4" s="36"/>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row>
    <row r="5" spans="1:199" ht="12.75" customHeight="1" x14ac:dyDescent="0.35">
      <c r="A5" s="37" t="s">
        <v>376</v>
      </c>
      <c r="B5" s="38">
        <v>19391.25</v>
      </c>
      <c r="C5" s="39"/>
      <c r="D5" s="38">
        <v>269.5</v>
      </c>
      <c r="E5" s="39"/>
      <c r="F5" s="40">
        <v>634</v>
      </c>
      <c r="G5" s="39"/>
      <c r="H5" s="40">
        <v>21857.5</v>
      </c>
      <c r="I5" s="39"/>
      <c r="J5" s="40">
        <v>8567</v>
      </c>
      <c r="K5" s="39"/>
      <c r="L5" s="40">
        <v>1003</v>
      </c>
      <c r="M5" s="39"/>
      <c r="N5" s="40">
        <v>1875.5</v>
      </c>
      <c r="O5" s="39"/>
      <c r="P5" s="40">
        <v>327.5</v>
      </c>
      <c r="Q5" s="39"/>
      <c r="R5" s="40">
        <v>3784</v>
      </c>
      <c r="S5" s="39"/>
      <c r="T5" s="40">
        <v>66938.5</v>
      </c>
      <c r="U5" s="39"/>
      <c r="V5" s="38">
        <v>160608.25</v>
      </c>
      <c r="W5" s="39"/>
      <c r="X5" s="40">
        <v>2708.5</v>
      </c>
      <c r="Y5" s="39"/>
      <c r="Z5" s="38">
        <v>12674</v>
      </c>
      <c r="AA5" s="39"/>
      <c r="AB5" s="38">
        <v>399.5</v>
      </c>
      <c r="AC5" s="39"/>
      <c r="AD5" s="38">
        <v>26495</v>
      </c>
      <c r="AE5" s="39"/>
      <c r="AF5" s="38">
        <v>19391.25</v>
      </c>
      <c r="AG5" s="39"/>
      <c r="AH5" s="38">
        <v>500.5</v>
      </c>
      <c r="AI5" s="39"/>
      <c r="AJ5" s="40">
        <v>80522.25</v>
      </c>
      <c r="AK5" s="39"/>
      <c r="AL5" s="38">
        <v>8747</v>
      </c>
      <c r="AM5" s="39"/>
      <c r="AN5" s="38">
        <v>1131</v>
      </c>
      <c r="AO5" s="39"/>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row>
    <row r="6" spans="1:199" ht="12.75" customHeight="1" x14ac:dyDescent="0.35">
      <c r="A6" s="37" t="s">
        <v>377</v>
      </c>
      <c r="B6" s="38">
        <v>19662.5</v>
      </c>
      <c r="C6" s="39"/>
      <c r="D6" s="38">
        <v>269.25</v>
      </c>
      <c r="E6" s="39"/>
      <c r="F6" s="84">
        <v>674</v>
      </c>
      <c r="G6" s="39"/>
      <c r="H6" s="84">
        <v>22130.25</v>
      </c>
      <c r="I6" s="39"/>
      <c r="J6" s="84">
        <v>8681.5</v>
      </c>
      <c r="K6" s="39"/>
      <c r="L6" s="84">
        <v>1028.5</v>
      </c>
      <c r="M6" s="39"/>
      <c r="N6" s="84">
        <v>1857</v>
      </c>
      <c r="O6" s="39"/>
      <c r="P6" s="84">
        <v>338</v>
      </c>
      <c r="Q6" s="39"/>
      <c r="R6" s="84">
        <v>3643.5</v>
      </c>
      <c r="S6" s="39"/>
      <c r="T6" s="84">
        <v>66146.25</v>
      </c>
      <c r="U6" s="39"/>
      <c r="V6" s="38">
        <v>165668.5</v>
      </c>
      <c r="W6" s="39"/>
      <c r="X6" s="84">
        <v>2793</v>
      </c>
      <c r="Y6" s="39"/>
      <c r="Z6" s="38">
        <v>12778</v>
      </c>
      <c r="AA6" s="39"/>
      <c r="AB6" s="38">
        <v>516</v>
      </c>
      <c r="AC6" s="39"/>
      <c r="AD6" s="38">
        <v>24995.5</v>
      </c>
      <c r="AE6" s="39"/>
      <c r="AF6" s="38">
        <v>19662.5</v>
      </c>
      <c r="AG6" s="39"/>
      <c r="AH6" s="38">
        <v>565.25</v>
      </c>
      <c r="AI6" s="39"/>
      <c r="AJ6" s="84">
        <v>85342.75</v>
      </c>
      <c r="AK6" s="39"/>
      <c r="AL6" s="38">
        <v>9532.5</v>
      </c>
      <c r="AM6" s="39"/>
      <c r="AN6" s="38">
        <v>1337.5</v>
      </c>
      <c r="AO6" s="39"/>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row>
  </sheetData>
  <mergeCells count="5">
    <mergeCell ref="A1:M1"/>
    <mergeCell ref="A2:M2"/>
    <mergeCell ref="A3:M3"/>
    <mergeCell ref="S2:X2"/>
    <mergeCell ref="S1:X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79f948-d303-46c5-90ab-cfd5cb49efd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FC6A9AD86D9B45A3738FB506616F4D" ma:contentTypeVersion="13" ma:contentTypeDescription="Create a new document." ma:contentTypeScope="" ma:versionID="690598a841bdcf62ac51b60da2f146b2">
  <xsd:schema xmlns:xsd="http://www.w3.org/2001/XMLSchema" xmlns:xs="http://www.w3.org/2001/XMLSchema" xmlns:p="http://schemas.microsoft.com/office/2006/metadata/properties" xmlns:ns2="4b79f948-d303-46c5-90ab-cfd5cb49efd5" xmlns:ns3="de2a901d-5715-4953-ad41-48e0d41e320e" targetNamespace="http://schemas.microsoft.com/office/2006/metadata/properties" ma:root="true" ma:fieldsID="fedc2b26d39e2a2ca5f90778607e88c7" ns2:_="" ns3:_="">
    <xsd:import namespace="4b79f948-d303-46c5-90ab-cfd5cb49efd5"/>
    <xsd:import namespace="de2a901d-5715-4953-ad41-48e0d41e32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79f948-d303-46c5-90ab-cfd5cb49ef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2a901d-5715-4953-ad41-48e0d41e32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87C775-8582-4E09-828D-27D196C48FD1}">
  <ds:schemaRefs>
    <ds:schemaRef ds:uri="http://schemas.microsoft.com/sharepoint/v3/contenttype/forms"/>
  </ds:schemaRefs>
</ds:datastoreItem>
</file>

<file path=customXml/itemProps2.xml><?xml version="1.0" encoding="utf-8"?>
<ds:datastoreItem xmlns:ds="http://schemas.openxmlformats.org/officeDocument/2006/customXml" ds:itemID="{D913D4AE-FB44-4369-93E5-3B724F3F0507}">
  <ds:schemaRefs>
    <ds:schemaRef ds:uri="http://schemas.microsoft.com/office/2006/metadata/properties"/>
    <ds:schemaRef ds:uri="http://schemas.microsoft.com/office/infopath/2007/PartnerControls"/>
    <ds:schemaRef ds:uri="4b79f948-d303-46c5-90ab-cfd5cb49efd5"/>
  </ds:schemaRefs>
</ds:datastoreItem>
</file>

<file path=customXml/itemProps3.xml><?xml version="1.0" encoding="utf-8"?>
<ds:datastoreItem xmlns:ds="http://schemas.openxmlformats.org/officeDocument/2006/customXml" ds:itemID="{12982EFC-C4B6-41C7-B7B3-EF828CD588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79f948-d303-46c5-90ab-cfd5cb49efd5"/>
    <ds:schemaRef ds:uri="de2a901d-5715-4953-ad41-48e0d41e3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Reporting</vt:lpstr>
      <vt:lpstr>Recordkeeping</vt:lpstr>
      <vt:lpstr>Public Disclosure</vt:lpstr>
      <vt:lpstr>Data</vt:lpstr>
      <vt:lpstr>Burden Summary</vt:lpstr>
      <vt:lpstr>National DB Data_20200812_1</vt:lpstr>
      <vt:lpstr>National DB Data_20200812_2</vt:lpstr>
      <vt:lpstr>Data!Print_Area</vt:lpstr>
      <vt:lpstr>'Public Disclosure'!Print_Area</vt:lpstr>
      <vt:lpstr>Recordkeeping!Print_Area</vt:lpstr>
      <vt:lpstr>Reporting!Print_Area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ICF</dc:creator>
  <cp:keywords/>
  <dc:description/>
  <cp:lastModifiedBy>Sandberg, Christina - FNA</cp:lastModifiedBy>
  <cp:revision/>
  <dcterms:created xsi:type="dcterms:W3CDTF">2019-05-21T18:15:14Z</dcterms:created>
  <dcterms:modified xsi:type="dcterms:W3CDTF">2026-06-17T15:21:39Z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0x0101003AFC6A9AD86D9B45A3738FB506616F4D</vt:lpwstr>
  </property>
  <property fmtid="{D5CDD505-2E9C-101B-9397-08002B2CF9AE}" pid="3" name="ESRI_WORKBOOK_ID">
    <vt:lpwstr>d869151aa554455c9746ac8a7ca53afa</vt:lpwstr>
  </property>
  <property fmtid="{D5CDD505-2E9C-101B-9397-08002B2CF9AE}" pid="4" name="MediaServiceImageTags">
    <vt:lpwstr/>
  </property>
</Properties>
</file>