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13_ncr:80000009_{1E80DF0E-ACB9-4EFA-9F33-D896E03F7ED0}" xr6:coauthVersionLast="47" xr6:coauthVersionMax="47" xr10:uidLastSave="{00000000-0000-0000-0000-000000000000}"/>
  <bookViews>
    <workbookView xWindow="-120" yWindow="-120" windowWidth="29040" windowHeight="15720" tabRatio="723" xr2:uid="{8FEC2362-9081-4DAD-872F-12E24186A416}"/>
  </bookViews>
  <sheets>
    <sheet name="Universe" sheetId="1" r:id="rId1"/>
    <sheet name="Costs" sheetId="18" r:id="rId2"/>
    <sheet name="EX 1" sheetId="4" r:id="rId3"/>
    <sheet name="EX 2" sheetId="6" r:id="rId4"/>
    <sheet name="EX 3" sheetId="8" r:id="rId5"/>
    <sheet name="EX 4" sheetId="10" r:id="rId6"/>
    <sheet name="Tables 2 and 3" sheetId="11" r:id="rId7"/>
    <sheet name="EX 5" sheetId="5" r:id="rId8"/>
    <sheet name="EX 6" sheetId="7" r:id="rId9"/>
    <sheet name="EX 7" sheetId="9" r:id="rId10"/>
    <sheet name="Module1" sheetId="12" state="veryHidden" r:id=""/>
    <sheet name="Module2" sheetId="13" state="veryHidden" r:id=""/>
    <sheet name="Module3" sheetId="14" state="veryHidden" r:id=""/>
    <sheet name="Module4" sheetId="15" state="veryHidden" r:id=""/>
    <sheet name="Module5" sheetId="16" state="veryHidden" r:id=""/>
    <sheet name="Module6" sheetId="17" state="veryHidden" r:id=""/>
  </sheets>
  <definedNames>
    <definedName name="\j" localSheetId="7">'EX 5'!#REF!</definedName>
    <definedName name="\j">'EX 1'!#REF!</definedName>
    <definedName name="\m" localSheetId="3">'EX 2'!#REF!</definedName>
    <definedName name="\m" localSheetId="4">Costs!#REF!</definedName>
    <definedName name="\m" localSheetId="5">'EX 4'!#REF!</definedName>
    <definedName name="\m" localSheetId="7">'EX 5'!#REF!</definedName>
    <definedName name="\m" localSheetId="8">'EX 6'!#REF!</definedName>
    <definedName name="\m" localSheetId="9">'EX 7'!#REF!</definedName>
    <definedName name="\m">'EX 1'!#REF!</definedName>
    <definedName name="_3BDATA" localSheetId="9">'EX 7'!#REF!</definedName>
    <definedName name="_3BDATA">'EX 3'!$R$102:$T$157</definedName>
    <definedName name="_Fill" localSheetId="3" hidden="1">'EX 2'!#REF!</definedName>
    <definedName name="_Fill" localSheetId="5" hidden="1">'EX 4'!#REF!</definedName>
    <definedName name="_Fill" hidden="1">'EX 6'!#REF!</definedName>
    <definedName name="_Regression_Int" localSheetId="7" hidden="1">1</definedName>
    <definedName name="_Regression_Int" localSheetId="8" hidden="1">1</definedName>
    <definedName name="_Regression_Int" localSheetId="9" hidden="1">1</definedName>
    <definedName name="E_MRE_REC" localSheetId="5">'EX 4'!#REF!</definedName>
    <definedName name="E_MRE_REC" localSheetId="8">'EX 6'!#REF!</definedName>
    <definedName name="E_MRE_REC">'EX 2'!#REF!</definedName>
    <definedName name="E_MRE_REP" localSheetId="5">'EX 4'!#REF!</definedName>
    <definedName name="E_MRE_REP" localSheetId="8">'EX 6'!#REF!</definedName>
    <definedName name="E_MRE_REP">'EX 2'!#REF!</definedName>
    <definedName name="E_SMR_REC" localSheetId="5">'EX 4'!#REF!</definedName>
    <definedName name="E_SMR_REC" localSheetId="8">'EX 6'!#REF!</definedName>
    <definedName name="E_SMR_REC">'EX 2'!#REF!</definedName>
    <definedName name="E_SMR_REP" localSheetId="5">'EX 4'!#REF!</definedName>
    <definedName name="E_SMR_REP" localSheetId="8">'EX 6'!#REF!</definedName>
    <definedName name="E_SMR_REP">'EX 2'!#REF!</definedName>
    <definedName name="E_SQBE_REC" localSheetId="5">'EX 4'!#REF!</definedName>
    <definedName name="E_SQBE_REC" localSheetId="8">'EX 6'!#REF!</definedName>
    <definedName name="E_SQBE_REC">'EX 2'!#REF!</definedName>
    <definedName name="E_SQBE_REP" localSheetId="5">'EX 4'!#REF!</definedName>
    <definedName name="E_SQBE_REP" localSheetId="8">'EX 6'!#REF!</definedName>
    <definedName name="E_SQBE_REP">'EX 2'!#REF!</definedName>
    <definedName name="MRESQBEDATA" localSheetId="5">'EX 4'!#REF!</definedName>
    <definedName name="MRESQBEDATA" localSheetId="8">'EX 6'!#REF!</definedName>
    <definedName name="MRESQBEDATA">'EX 2'!$S$13:$S$31</definedName>
    <definedName name="N_MRE_REC" localSheetId="5">'EX 4'!#REF!</definedName>
    <definedName name="N_MRE_REC" localSheetId="8">'EX 6'!#REF!</definedName>
    <definedName name="N_MRE_REC">'EX 2'!#REF!</definedName>
    <definedName name="N_MRE_REP" localSheetId="5">'EX 4'!#REF!</definedName>
    <definedName name="N_MRE_REP" localSheetId="8">'EX 6'!#REF!</definedName>
    <definedName name="N_MRE_REP">'EX 2'!#REF!</definedName>
    <definedName name="N_SMR_REC" localSheetId="5">'EX 4'!#REF!</definedName>
    <definedName name="N_SMR_REC" localSheetId="8">'EX 6'!#REF!</definedName>
    <definedName name="N_SMR_REC">'EX 2'!#REF!</definedName>
    <definedName name="N_SMR_REP" localSheetId="5">'EX 4'!#REF!</definedName>
    <definedName name="N_SMR_REP" localSheetId="8">'EX 6'!#REF!</definedName>
    <definedName name="N_SMR_REP">'EX 2'!#REF!</definedName>
    <definedName name="N_SQBE_REC" localSheetId="5">'EX 4'!#REF!</definedName>
    <definedName name="N_SQBE_REC" localSheetId="8">'EX 6'!#REF!</definedName>
    <definedName name="N_SQBE_REC">'EX 2'!#REF!</definedName>
    <definedName name="N_SQBE_REP" localSheetId="5">'EX 4'!#REF!</definedName>
    <definedName name="N_SQBE_REP" localSheetId="8">'EX 6'!#REF!</definedName>
    <definedName name="N_SQBE_REP">'EX 2'!#REF!</definedName>
    <definedName name="_xlnm.Print_Area" localSheetId="2">'EX 1'!$A$1:$L$333</definedName>
    <definedName name="_xlnm.Print_Area" localSheetId="3">'EX 2'!$A$2:$L$159</definedName>
    <definedName name="_xlnm.Print_Area" localSheetId="4">'EX 3'!$A$2:$L$201</definedName>
    <definedName name="_xlnm.Print_Area" localSheetId="5">'EX 4'!$A$2:$L$14</definedName>
    <definedName name="_xlnm.Print_Area" localSheetId="7">'EX 5'!$A$2:$L$60</definedName>
    <definedName name="_xlnm.Print_Area" localSheetId="8">'EX 6'!$A$2:$L$84</definedName>
    <definedName name="_xlnm.Print_Area" localSheetId="9">'EX 7'!$A$2:$L$133</definedName>
    <definedName name="_xlnm.Print_Area" localSheetId="6">'Tables 2 and 3'!$A$1:$F$23</definedName>
    <definedName name="_xlnm.Print_Area" localSheetId="0">Universe!$A$1:$D$45</definedName>
    <definedName name="Print_Area_MI" localSheetId="3">'EX 2'!$A$2:$L$166</definedName>
    <definedName name="Print_Area_MI" localSheetId="4">'EX 3'!$A$2:$M$203</definedName>
    <definedName name="Print_Area_MI" localSheetId="5">'EX 4'!$A$2:$L$20</definedName>
    <definedName name="Print_Area_MI" localSheetId="7">'EX 5'!$A$1:$L$61</definedName>
    <definedName name="Print_Area_MI" localSheetId="8">'EX 6'!$A$2:$L$85</definedName>
    <definedName name="Print_Area_MI" localSheetId="9">'EX 7'!$A$2:$L$134</definedName>
    <definedName name="Print_Area_MI" localSheetId="6">'Tables 2 and 3'!$A$1:$F$29</definedName>
    <definedName name="Print_Area_MI">'EX 1'!$A$2:$L$335</definedName>
    <definedName name="_xlnm.Print_Titles" localSheetId="2">'EX 1'!$311:$321</definedName>
    <definedName name="_xlnm.Print_Titles" localSheetId="3">'EX 2'!$2:$11</definedName>
    <definedName name="_xlnm.Print_Titles" localSheetId="4">'EX 3'!$161:$171</definedName>
    <definedName name="_xlnm.Print_Titles" localSheetId="7">'EX 5'!$2:$11</definedName>
    <definedName name="_xlnm.Print_Titles" localSheetId="8">'EX 6'!$2:$11</definedName>
    <definedName name="_xlnm.Print_Titles" localSheetId="9">'EX 7'!$101:$111</definedName>
    <definedName name="TYPE1" localSheetId="3">'EX 2'!#REF!</definedName>
    <definedName name="TYPE1" localSheetId="4">'EX 3'!$S$215:$S$216</definedName>
    <definedName name="TYPE1" localSheetId="5">'EX 4'!$S$15:$S$16</definedName>
    <definedName name="TYPE1" localSheetId="7">'EX 5'!#REF!</definedName>
    <definedName name="TYPE1" localSheetId="8">'EX 6'!$L$88:$L$89</definedName>
    <definedName name="TYPE1" localSheetId="9">'EX 7'!#REF!</definedName>
    <definedName name="TYPE1">'EX 1'!$X$70:$X$71</definedName>
    <definedName name="TYPE2" localSheetId="3">'EX 2'!#REF!</definedName>
    <definedName name="TYPE2" localSheetId="4">'EX 3'!$S$217:$S$218</definedName>
    <definedName name="TYPE2" localSheetId="5">'EX 4'!$S$18:$S$19</definedName>
    <definedName name="TYPE2" localSheetId="7">'EX 5'!#REF!</definedName>
    <definedName name="TYPE2" localSheetId="8">'EX 6'!$L$91:$L$92</definedName>
    <definedName name="TYPE2" localSheetId="9">'EX 7'!#REF!</definedName>
    <definedName name="TYPE2">'EX 1'!$X$72:$X$73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3" i="6" l="1"/>
  <c r="B63" i="18"/>
  <c r="H93" i="6"/>
  <c r="H86" i="6"/>
  <c r="H80" i="6"/>
  <c r="H77" i="8"/>
  <c r="H44" i="8"/>
  <c r="H43" i="8"/>
  <c r="H42" i="8"/>
  <c r="H40" i="8"/>
  <c r="H35" i="8"/>
  <c r="H33" i="8"/>
  <c r="H32" i="8"/>
  <c r="H26" i="8"/>
  <c r="H25" i="8"/>
  <c r="H24" i="8"/>
  <c r="H23" i="8"/>
  <c r="H97" i="6"/>
  <c r="H94" i="6"/>
  <c r="H88" i="6"/>
  <c r="H123" i="6"/>
  <c r="H36" i="6"/>
  <c r="H152" i="6"/>
  <c r="P152" i="6"/>
  <c r="H174" i="4"/>
  <c r="H30" i="4"/>
  <c r="H186" i="8"/>
  <c r="H141" i="8"/>
  <c r="H137" i="8"/>
  <c r="H34" i="8"/>
  <c r="H74" i="6"/>
  <c r="H66" i="6"/>
  <c r="H150" i="6"/>
  <c r="I14" i="4"/>
  <c r="J14" i="4"/>
  <c r="I15" i="4"/>
  <c r="J15" i="4"/>
  <c r="V15" i="4"/>
  <c r="Z15" i="4"/>
  <c r="I16" i="4"/>
  <c r="J16" i="4"/>
  <c r="I19" i="4"/>
  <c r="J19" i="4"/>
  <c r="C20" i="4"/>
  <c r="E20" i="4"/>
  <c r="I20" i="4"/>
  <c r="J20" i="4"/>
  <c r="I23" i="4"/>
  <c r="J23" i="4"/>
  <c r="I24" i="4"/>
  <c r="U24" i="4"/>
  <c r="X24" i="4"/>
  <c r="J24" i="4"/>
  <c r="AF24" i="4"/>
  <c r="O28" i="4"/>
  <c r="I28" i="4"/>
  <c r="P28" i="4"/>
  <c r="J28" i="4"/>
  <c r="J29" i="4"/>
  <c r="J30" i="4"/>
  <c r="I33" i="4"/>
  <c r="J33" i="4"/>
  <c r="I37" i="4"/>
  <c r="U37" i="4"/>
  <c r="Y37" i="4"/>
  <c r="J37" i="4"/>
  <c r="I38" i="4"/>
  <c r="U38" i="4"/>
  <c r="Y38" i="4"/>
  <c r="J38" i="4"/>
  <c r="I39" i="4"/>
  <c r="J39" i="4"/>
  <c r="V39" i="4"/>
  <c r="AA39" i="4"/>
  <c r="I40" i="4"/>
  <c r="K40" i="4"/>
  <c r="J40" i="4"/>
  <c r="I41" i="4"/>
  <c r="J41" i="4"/>
  <c r="J42" i="4"/>
  <c r="I45" i="4"/>
  <c r="J45" i="4"/>
  <c r="I46" i="4"/>
  <c r="J46" i="4"/>
  <c r="V46" i="4"/>
  <c r="AA46" i="4"/>
  <c r="I47" i="4"/>
  <c r="U47" i="4"/>
  <c r="Y47" i="4" s="1"/>
  <c r="Y52" i="4" s="1"/>
  <c r="Y64" i="4" s="1"/>
  <c r="J47" i="4"/>
  <c r="V47" i="4"/>
  <c r="AA47" i="4" s="1"/>
  <c r="I48" i="4"/>
  <c r="J48" i="4"/>
  <c r="I49" i="4"/>
  <c r="J49" i="4"/>
  <c r="I51" i="4"/>
  <c r="U51" i="4"/>
  <c r="Y51" i="4"/>
  <c r="J51" i="4"/>
  <c r="I54" i="4"/>
  <c r="J54" i="4"/>
  <c r="I55" i="4"/>
  <c r="J55" i="4"/>
  <c r="I56" i="4"/>
  <c r="J56" i="4"/>
  <c r="S56" i="4" s="1"/>
  <c r="S58" i="4" s="1"/>
  <c r="J57" i="4"/>
  <c r="V57" i="4"/>
  <c r="AA57" i="4"/>
  <c r="I60" i="4"/>
  <c r="J60" i="4"/>
  <c r="I61" i="4"/>
  <c r="J61" i="4"/>
  <c r="I62" i="4"/>
  <c r="J62" i="4"/>
  <c r="G14" i="4"/>
  <c r="S14" i="4"/>
  <c r="G15" i="4"/>
  <c r="G16" i="4"/>
  <c r="S16" i="4"/>
  <c r="G19" i="4"/>
  <c r="G20" i="4"/>
  <c r="S20" i="4"/>
  <c r="G23" i="4"/>
  <c r="G24" i="4"/>
  <c r="G33" i="4"/>
  <c r="G34" i="4"/>
  <c r="G37" i="4"/>
  <c r="G38" i="4"/>
  <c r="G39" i="4"/>
  <c r="S39" i="4"/>
  <c r="G40" i="4"/>
  <c r="G41" i="4"/>
  <c r="S41" i="4"/>
  <c r="G42" i="4"/>
  <c r="G45" i="4"/>
  <c r="S45" i="4"/>
  <c r="G46" i="4"/>
  <c r="G47" i="4"/>
  <c r="G48" i="4"/>
  <c r="S48" i="4"/>
  <c r="G49" i="4"/>
  <c r="G50" i="4"/>
  <c r="G51" i="4"/>
  <c r="G54" i="4"/>
  <c r="S54" i="4"/>
  <c r="G55" i="4"/>
  <c r="S55" i="4"/>
  <c r="G56" i="4"/>
  <c r="G57" i="4"/>
  <c r="G60" i="4"/>
  <c r="G61" i="4"/>
  <c r="G62" i="4"/>
  <c r="S62" i="4"/>
  <c r="H14" i="4"/>
  <c r="T14" i="4"/>
  <c r="H15" i="4"/>
  <c r="H16" i="4"/>
  <c r="H19" i="4"/>
  <c r="H20" i="4"/>
  <c r="T20" i="4"/>
  <c r="H23" i="4"/>
  <c r="H24" i="4"/>
  <c r="H28" i="4"/>
  <c r="H29" i="4"/>
  <c r="H32" i="4"/>
  <c r="T32" i="4"/>
  <c r="H33" i="4"/>
  <c r="H37" i="4"/>
  <c r="H38" i="4"/>
  <c r="H39" i="4"/>
  <c r="T39" i="4"/>
  <c r="H41" i="4"/>
  <c r="T41" i="4"/>
  <c r="H45" i="4"/>
  <c r="T45" i="4"/>
  <c r="H46" i="4"/>
  <c r="H47" i="4"/>
  <c r="H49" i="4"/>
  <c r="H50" i="4"/>
  <c r="H51" i="4"/>
  <c r="H54" i="4"/>
  <c r="T54" i="4"/>
  <c r="H55" i="4"/>
  <c r="T55" i="4"/>
  <c r="H60" i="4"/>
  <c r="H61" i="4"/>
  <c r="K32" i="4"/>
  <c r="G28" i="4"/>
  <c r="G29" i="4"/>
  <c r="G30" i="4"/>
  <c r="G32" i="4"/>
  <c r="S32" i="4"/>
  <c r="I80" i="4"/>
  <c r="J80" i="4"/>
  <c r="I82" i="4"/>
  <c r="J82" i="4"/>
  <c r="I86" i="4"/>
  <c r="J86" i="4"/>
  <c r="K86" i="4"/>
  <c r="I90" i="4"/>
  <c r="J90" i="4"/>
  <c r="I94" i="4"/>
  <c r="J94" i="4"/>
  <c r="I92" i="4"/>
  <c r="J92" i="4"/>
  <c r="I84" i="4"/>
  <c r="J84" i="4"/>
  <c r="S84" i="4"/>
  <c r="I88" i="4"/>
  <c r="J88" i="4"/>
  <c r="I95" i="4"/>
  <c r="J95" i="4"/>
  <c r="G80" i="4"/>
  <c r="G82" i="4"/>
  <c r="S82" i="4"/>
  <c r="G86" i="4"/>
  <c r="G90" i="4"/>
  <c r="G94" i="4"/>
  <c r="G92" i="4"/>
  <c r="G84" i="4"/>
  <c r="G88" i="4"/>
  <c r="S88" i="4"/>
  <c r="G95" i="4"/>
  <c r="H94" i="4"/>
  <c r="H95" i="4"/>
  <c r="T95" i="4"/>
  <c r="J112" i="4"/>
  <c r="I112" i="4"/>
  <c r="J116" i="4"/>
  <c r="I116" i="4"/>
  <c r="I117" i="4"/>
  <c r="I113" i="4"/>
  <c r="U113" i="4"/>
  <c r="X113" i="4"/>
  <c r="J117" i="4"/>
  <c r="I114" i="4"/>
  <c r="J120" i="4"/>
  <c r="K120" i="4"/>
  <c r="I120" i="4"/>
  <c r="I121" i="4"/>
  <c r="J121" i="4"/>
  <c r="I122" i="4"/>
  <c r="N122" i="4"/>
  <c r="J122" i="4"/>
  <c r="I123" i="4"/>
  <c r="J123" i="4"/>
  <c r="I124" i="4"/>
  <c r="J124" i="4"/>
  <c r="F127" i="4"/>
  <c r="I127" i="4"/>
  <c r="J127" i="4"/>
  <c r="F128" i="4"/>
  <c r="I128" i="4"/>
  <c r="J128" i="4"/>
  <c r="F129" i="4"/>
  <c r="I129" i="4"/>
  <c r="J129" i="4"/>
  <c r="I132" i="4"/>
  <c r="J132" i="4"/>
  <c r="I133" i="4"/>
  <c r="K133" i="4"/>
  <c r="J133" i="4"/>
  <c r="I134" i="4"/>
  <c r="S134" i="4"/>
  <c r="J134" i="4"/>
  <c r="G112" i="4"/>
  <c r="S112" i="4"/>
  <c r="G116" i="4"/>
  <c r="G113" i="4"/>
  <c r="G114" i="4"/>
  <c r="G115" i="4"/>
  <c r="G117" i="4"/>
  <c r="S117" i="4"/>
  <c r="G120" i="4"/>
  <c r="G121" i="4"/>
  <c r="G122" i="4"/>
  <c r="S122" i="4"/>
  <c r="G123" i="4"/>
  <c r="S123" i="4"/>
  <c r="G124" i="4"/>
  <c r="G127" i="4"/>
  <c r="G128" i="4"/>
  <c r="G129" i="4"/>
  <c r="G132" i="4"/>
  <c r="G133" i="4"/>
  <c r="S133" i="4"/>
  <c r="G134" i="4"/>
  <c r="H112" i="4"/>
  <c r="H113" i="4"/>
  <c r="H114" i="4"/>
  <c r="H115" i="4"/>
  <c r="H117" i="4"/>
  <c r="T117" i="4"/>
  <c r="H120" i="4"/>
  <c r="T120" i="4"/>
  <c r="H121" i="4"/>
  <c r="T121" i="4"/>
  <c r="H122" i="4"/>
  <c r="H123" i="4"/>
  <c r="T123" i="4"/>
  <c r="H124" i="4"/>
  <c r="T124" i="4"/>
  <c r="H127" i="4"/>
  <c r="H128" i="4"/>
  <c r="H129" i="4"/>
  <c r="H132" i="4"/>
  <c r="H133" i="4"/>
  <c r="H134" i="4"/>
  <c r="F153" i="4"/>
  <c r="I153" i="4"/>
  <c r="J153" i="4"/>
  <c r="F154" i="4"/>
  <c r="I154" i="4"/>
  <c r="U154" i="4"/>
  <c r="J154" i="4"/>
  <c r="F155" i="4"/>
  <c r="I155" i="4"/>
  <c r="J155" i="4"/>
  <c r="F156" i="4"/>
  <c r="L156" i="4"/>
  <c r="I156" i="4"/>
  <c r="J156" i="4"/>
  <c r="F157" i="4"/>
  <c r="I157" i="4"/>
  <c r="J157" i="4"/>
  <c r="F158" i="4"/>
  <c r="I158" i="4"/>
  <c r="J158" i="4"/>
  <c r="F161" i="4"/>
  <c r="I161" i="4"/>
  <c r="J161" i="4"/>
  <c r="F162" i="4"/>
  <c r="I162" i="4"/>
  <c r="J162" i="4"/>
  <c r="F165" i="4"/>
  <c r="R165" i="4"/>
  <c r="I165" i="4"/>
  <c r="J165" i="4"/>
  <c r="F166" i="4"/>
  <c r="I166" i="4"/>
  <c r="J166" i="4"/>
  <c r="F169" i="4"/>
  <c r="I169" i="4"/>
  <c r="J169" i="4"/>
  <c r="J31" i="5"/>
  <c r="F170" i="4"/>
  <c r="I170" i="4"/>
  <c r="J170" i="4"/>
  <c r="F171" i="4"/>
  <c r="I171" i="4"/>
  <c r="J171" i="4"/>
  <c r="AF171" i="4"/>
  <c r="F174" i="4"/>
  <c r="I174" i="4"/>
  <c r="J174" i="4"/>
  <c r="F175" i="4"/>
  <c r="I175" i="4"/>
  <c r="J175" i="4"/>
  <c r="S175" i="4"/>
  <c r="F176" i="4"/>
  <c r="I176" i="4"/>
  <c r="J176" i="4"/>
  <c r="G153" i="4"/>
  <c r="G154" i="4"/>
  <c r="G155" i="4"/>
  <c r="G156" i="4"/>
  <c r="G157" i="4"/>
  <c r="G158" i="4"/>
  <c r="G161" i="4"/>
  <c r="S161" i="4"/>
  <c r="G162" i="4"/>
  <c r="G165" i="4"/>
  <c r="S165" i="4"/>
  <c r="G166" i="4"/>
  <c r="G169" i="4"/>
  <c r="G170" i="4"/>
  <c r="S170" i="4"/>
  <c r="G171" i="4"/>
  <c r="G174" i="4"/>
  <c r="G175" i="4"/>
  <c r="G176" i="4"/>
  <c r="S176" i="4"/>
  <c r="H153" i="4"/>
  <c r="T153" i="4"/>
  <c r="H154" i="4"/>
  <c r="H155" i="4"/>
  <c r="H156" i="4"/>
  <c r="T156" i="4"/>
  <c r="H157" i="4"/>
  <c r="H158" i="4"/>
  <c r="H161" i="4"/>
  <c r="T161" i="4"/>
  <c r="H162" i="4"/>
  <c r="H165" i="4"/>
  <c r="T165" i="4"/>
  <c r="H166" i="4"/>
  <c r="H169" i="4"/>
  <c r="H170" i="4"/>
  <c r="T170" i="4"/>
  <c r="H171" i="4"/>
  <c r="H175" i="4"/>
  <c r="H176" i="4"/>
  <c r="K170" i="4"/>
  <c r="F195" i="4"/>
  <c r="I195" i="4"/>
  <c r="I196" i="4"/>
  <c r="J195" i="4"/>
  <c r="F196" i="4"/>
  <c r="J196" i="4"/>
  <c r="F199" i="4"/>
  <c r="I199" i="4"/>
  <c r="J199" i="4"/>
  <c r="F200" i="4"/>
  <c r="J200" i="4"/>
  <c r="F203" i="4"/>
  <c r="I203" i="4"/>
  <c r="J203" i="4"/>
  <c r="F204" i="4"/>
  <c r="R204" i="4"/>
  <c r="I204" i="4"/>
  <c r="J204" i="4"/>
  <c r="F207" i="4"/>
  <c r="I207" i="4"/>
  <c r="J207" i="4"/>
  <c r="F208" i="4"/>
  <c r="I208" i="4"/>
  <c r="K208" i="4"/>
  <c r="J208" i="4"/>
  <c r="F209" i="4"/>
  <c r="I209" i="4"/>
  <c r="J209" i="4"/>
  <c r="F210" i="4"/>
  <c r="I210" i="4"/>
  <c r="J210" i="4"/>
  <c r="F211" i="4"/>
  <c r="I211" i="4"/>
  <c r="J211" i="4"/>
  <c r="J37" i="5"/>
  <c r="F214" i="4"/>
  <c r="I214" i="4"/>
  <c r="U214" i="4"/>
  <c r="X214" i="4"/>
  <c r="J214" i="4"/>
  <c r="F215" i="4"/>
  <c r="I215" i="4"/>
  <c r="K215" i="4"/>
  <c r="J215" i="4"/>
  <c r="F216" i="4"/>
  <c r="R216" i="4"/>
  <c r="I216" i="4"/>
  <c r="J216" i="4"/>
  <c r="F217" i="4"/>
  <c r="I217" i="4"/>
  <c r="J217" i="4"/>
  <c r="F218" i="4"/>
  <c r="R218" i="4"/>
  <c r="I218" i="4"/>
  <c r="J218" i="4"/>
  <c r="F219" i="4"/>
  <c r="I219" i="4"/>
  <c r="U219" i="4"/>
  <c r="X219" i="4"/>
  <c r="F222" i="4"/>
  <c r="I222" i="4"/>
  <c r="J222" i="4"/>
  <c r="F223" i="4"/>
  <c r="L223" i="4"/>
  <c r="I223" i="4"/>
  <c r="J223" i="4"/>
  <c r="F224" i="4"/>
  <c r="I224" i="4"/>
  <c r="J224" i="4"/>
  <c r="F225" i="4"/>
  <c r="I225" i="4"/>
  <c r="U225" i="4"/>
  <c r="X225" i="4"/>
  <c r="J225" i="4"/>
  <c r="F226" i="4"/>
  <c r="I226" i="4"/>
  <c r="U226" i="4"/>
  <c r="X226" i="4"/>
  <c r="J226" i="4"/>
  <c r="J227" i="4"/>
  <c r="F227" i="4"/>
  <c r="I227" i="4"/>
  <c r="F230" i="4"/>
  <c r="I230" i="4"/>
  <c r="J230" i="4"/>
  <c r="F231" i="4"/>
  <c r="R231" i="4"/>
  <c r="I231" i="4"/>
  <c r="J231" i="4"/>
  <c r="F232" i="4"/>
  <c r="I232" i="4"/>
  <c r="J232" i="4"/>
  <c r="F233" i="4"/>
  <c r="I233" i="4"/>
  <c r="U233" i="4"/>
  <c r="X233" i="4"/>
  <c r="J233" i="4"/>
  <c r="F234" i="4"/>
  <c r="I234" i="4"/>
  <c r="J234" i="4"/>
  <c r="F235" i="4"/>
  <c r="I235" i="4"/>
  <c r="F238" i="4"/>
  <c r="R238" i="4"/>
  <c r="I238" i="4"/>
  <c r="J238" i="4"/>
  <c r="F239" i="4"/>
  <c r="L239" i="4"/>
  <c r="I239" i="4"/>
  <c r="J239" i="4"/>
  <c r="F240" i="4"/>
  <c r="L240" i="4"/>
  <c r="I240" i="4"/>
  <c r="U240" i="4"/>
  <c r="X240" i="4"/>
  <c r="J240" i="4"/>
  <c r="F241" i="4"/>
  <c r="I241" i="4"/>
  <c r="J241" i="4"/>
  <c r="V241" i="4"/>
  <c r="Z241" i="4"/>
  <c r="F242" i="4"/>
  <c r="R242" i="4"/>
  <c r="I242" i="4"/>
  <c r="J242" i="4"/>
  <c r="F243" i="4"/>
  <c r="I243" i="4"/>
  <c r="J243" i="4"/>
  <c r="K243" i="4"/>
  <c r="F244" i="4"/>
  <c r="R244" i="4"/>
  <c r="I244" i="4"/>
  <c r="J244" i="4"/>
  <c r="F245" i="4"/>
  <c r="I245" i="4"/>
  <c r="J245" i="4"/>
  <c r="F263" i="4"/>
  <c r="I263" i="4"/>
  <c r="J263" i="4"/>
  <c r="F253" i="4"/>
  <c r="R253" i="4"/>
  <c r="I253" i="4"/>
  <c r="J253" i="4"/>
  <c r="F254" i="4"/>
  <c r="I254" i="4"/>
  <c r="J254" i="4"/>
  <c r="F269" i="4"/>
  <c r="R269" i="4"/>
  <c r="I269" i="4"/>
  <c r="J269" i="4"/>
  <c r="F270" i="4"/>
  <c r="I270" i="4"/>
  <c r="J270" i="4"/>
  <c r="F271" i="4"/>
  <c r="I271" i="4"/>
  <c r="J271" i="4"/>
  <c r="F272" i="4"/>
  <c r="R272" i="4"/>
  <c r="I272" i="4"/>
  <c r="J272" i="4"/>
  <c r="F273" i="4"/>
  <c r="I273" i="4"/>
  <c r="J273" i="4"/>
  <c r="F274" i="4"/>
  <c r="I274" i="4"/>
  <c r="J274" i="4"/>
  <c r="F277" i="4"/>
  <c r="R277" i="4"/>
  <c r="I277" i="4"/>
  <c r="J277" i="4"/>
  <c r="F278" i="4"/>
  <c r="R278" i="4"/>
  <c r="I278" i="4"/>
  <c r="J278" i="4"/>
  <c r="F279" i="4"/>
  <c r="L279" i="4"/>
  <c r="I279" i="4"/>
  <c r="U279" i="4"/>
  <c r="X279" i="4"/>
  <c r="J279" i="4"/>
  <c r="F282" i="4"/>
  <c r="I282" i="4"/>
  <c r="J282" i="4"/>
  <c r="F283" i="4"/>
  <c r="L283" i="4"/>
  <c r="I283" i="4"/>
  <c r="U283" i="4"/>
  <c r="X283" i="4"/>
  <c r="J283" i="4"/>
  <c r="F257" i="4"/>
  <c r="I257" i="4"/>
  <c r="J257" i="4"/>
  <c r="F258" i="4"/>
  <c r="L258" i="4"/>
  <c r="I258" i="4"/>
  <c r="J258" i="4"/>
  <c r="F259" i="4"/>
  <c r="I259" i="4"/>
  <c r="J259" i="4"/>
  <c r="V259" i="4"/>
  <c r="F260" i="4"/>
  <c r="L260" i="4"/>
  <c r="I260" i="4"/>
  <c r="J260" i="4"/>
  <c r="F286" i="4"/>
  <c r="I286" i="4"/>
  <c r="J286" i="4"/>
  <c r="F287" i="4"/>
  <c r="I287" i="4"/>
  <c r="J287" i="4"/>
  <c r="F290" i="4"/>
  <c r="I290" i="4"/>
  <c r="J290" i="4"/>
  <c r="F291" i="4"/>
  <c r="I291" i="4"/>
  <c r="K291" i="4"/>
  <c r="K293" i="4"/>
  <c r="J291" i="4"/>
  <c r="F292" i="4"/>
  <c r="I292" i="4"/>
  <c r="J292" i="4"/>
  <c r="F295" i="4"/>
  <c r="R295" i="4"/>
  <c r="R296" i="4"/>
  <c r="I295" i="4"/>
  <c r="J295" i="4"/>
  <c r="C298" i="4"/>
  <c r="F298" i="4"/>
  <c r="D298" i="4"/>
  <c r="I298" i="4"/>
  <c r="J298" i="4"/>
  <c r="F299" i="4"/>
  <c r="R299" i="4"/>
  <c r="I299" i="4"/>
  <c r="J299" i="4"/>
  <c r="F302" i="4"/>
  <c r="I302" i="4"/>
  <c r="J302" i="4"/>
  <c r="J45" i="5"/>
  <c r="F303" i="4"/>
  <c r="R303" i="4"/>
  <c r="I303" i="4"/>
  <c r="J303" i="4"/>
  <c r="F304" i="4"/>
  <c r="R304" i="4"/>
  <c r="I304" i="4"/>
  <c r="J304" i="4"/>
  <c r="K304" i="4"/>
  <c r="G195" i="4"/>
  <c r="S195" i="4"/>
  <c r="G196" i="4"/>
  <c r="G199" i="4"/>
  <c r="L199" i="4"/>
  <c r="G200" i="4"/>
  <c r="G203" i="4"/>
  <c r="S203" i="4"/>
  <c r="G204" i="4"/>
  <c r="G207" i="4"/>
  <c r="G208" i="4"/>
  <c r="G209" i="4"/>
  <c r="G210" i="4"/>
  <c r="S210" i="4"/>
  <c r="G211" i="4"/>
  <c r="G214" i="4"/>
  <c r="G215" i="4"/>
  <c r="S215" i="4"/>
  <c r="G216" i="4"/>
  <c r="S216" i="4"/>
  <c r="G217" i="4"/>
  <c r="G218" i="4"/>
  <c r="S218" i="4"/>
  <c r="G219" i="4"/>
  <c r="G222" i="4"/>
  <c r="G223" i="4"/>
  <c r="S223" i="4"/>
  <c r="G224" i="4"/>
  <c r="G225" i="4"/>
  <c r="S225" i="4"/>
  <c r="G226" i="4"/>
  <c r="G227" i="4"/>
  <c r="S227" i="4"/>
  <c r="G230" i="4"/>
  <c r="G231" i="4"/>
  <c r="G232" i="4"/>
  <c r="G233" i="4"/>
  <c r="G234" i="4"/>
  <c r="G235" i="4"/>
  <c r="G238" i="4"/>
  <c r="S238" i="4"/>
  <c r="G239" i="4"/>
  <c r="G240" i="4"/>
  <c r="G241" i="4"/>
  <c r="G242" i="4"/>
  <c r="G243" i="4"/>
  <c r="S243" i="4"/>
  <c r="G244" i="4"/>
  <c r="G245" i="4"/>
  <c r="S245" i="4"/>
  <c r="G263" i="4"/>
  <c r="G253" i="4"/>
  <c r="G254" i="4"/>
  <c r="S254" i="4"/>
  <c r="G269" i="4"/>
  <c r="G270" i="4"/>
  <c r="G271" i="4"/>
  <c r="G272" i="4"/>
  <c r="G273" i="4"/>
  <c r="G274" i="4"/>
  <c r="G277" i="4"/>
  <c r="G278" i="4"/>
  <c r="G279" i="4"/>
  <c r="S279" i="4"/>
  <c r="G282" i="4"/>
  <c r="S282" i="4"/>
  <c r="G283" i="4"/>
  <c r="G257" i="4"/>
  <c r="G258" i="4"/>
  <c r="G259" i="4"/>
  <c r="S259" i="4"/>
  <c r="G260" i="4"/>
  <c r="G286" i="4"/>
  <c r="G287" i="4"/>
  <c r="G290" i="4"/>
  <c r="S290" i="4"/>
  <c r="G291" i="4"/>
  <c r="S291" i="4"/>
  <c r="G292" i="4"/>
  <c r="S292" i="4"/>
  <c r="G295" i="4"/>
  <c r="S295" i="4"/>
  <c r="S296" i="4"/>
  <c r="G298" i="4"/>
  <c r="S298" i="4"/>
  <c r="G299" i="4"/>
  <c r="G302" i="4"/>
  <c r="S302" i="4"/>
  <c r="G303" i="4"/>
  <c r="S303" i="4"/>
  <c r="G304" i="4"/>
  <c r="S304" i="4"/>
  <c r="H195" i="4"/>
  <c r="H196" i="4"/>
  <c r="H199" i="4"/>
  <c r="H200" i="4"/>
  <c r="H203" i="4"/>
  <c r="T203" i="4"/>
  <c r="H204" i="4"/>
  <c r="H207" i="4"/>
  <c r="H208" i="4"/>
  <c r="T208" i="4"/>
  <c r="H209" i="4"/>
  <c r="H210" i="4"/>
  <c r="T210" i="4"/>
  <c r="H211" i="4"/>
  <c r="H214" i="4"/>
  <c r="T214" i="4"/>
  <c r="H215" i="4"/>
  <c r="H216" i="4"/>
  <c r="T216" i="4"/>
  <c r="H217" i="4"/>
  <c r="H218" i="4"/>
  <c r="T218" i="4"/>
  <c r="H219" i="4"/>
  <c r="H222" i="4"/>
  <c r="H223" i="4"/>
  <c r="T223" i="4"/>
  <c r="H224" i="4"/>
  <c r="H225" i="4"/>
  <c r="T225" i="4"/>
  <c r="H226" i="4"/>
  <c r="T226" i="4"/>
  <c r="H227" i="4"/>
  <c r="T227" i="4"/>
  <c r="H230" i="4"/>
  <c r="H231" i="4"/>
  <c r="H232" i="4"/>
  <c r="H233" i="4"/>
  <c r="T233" i="4"/>
  <c r="H234" i="4"/>
  <c r="H235" i="4"/>
  <c r="H238" i="4"/>
  <c r="T238" i="4"/>
  <c r="H239" i="4"/>
  <c r="H240" i="4"/>
  <c r="H241" i="4"/>
  <c r="H242" i="4"/>
  <c r="H243" i="4"/>
  <c r="T243" i="4"/>
  <c r="H244" i="4"/>
  <c r="H245" i="4"/>
  <c r="T245" i="4"/>
  <c r="H263" i="4"/>
  <c r="H253" i="4"/>
  <c r="H254" i="4"/>
  <c r="H269" i="4"/>
  <c r="H270" i="4"/>
  <c r="H271" i="4"/>
  <c r="H272" i="4"/>
  <c r="H273" i="4"/>
  <c r="H274" i="4"/>
  <c r="H277" i="4"/>
  <c r="H278" i="4"/>
  <c r="H279" i="4"/>
  <c r="H282" i="4"/>
  <c r="H283" i="4"/>
  <c r="T283" i="4"/>
  <c r="H257" i="4"/>
  <c r="H258" i="4"/>
  <c r="H259" i="4"/>
  <c r="T259" i="4"/>
  <c r="H260" i="4"/>
  <c r="T260" i="4"/>
  <c r="H286" i="4"/>
  <c r="H287" i="4"/>
  <c r="H290" i="4"/>
  <c r="H291" i="4"/>
  <c r="H292" i="4"/>
  <c r="H295" i="4"/>
  <c r="H298" i="4"/>
  <c r="H299" i="4"/>
  <c r="H302" i="4"/>
  <c r="H303" i="4"/>
  <c r="H304" i="4"/>
  <c r="T304" i="4"/>
  <c r="I248" i="4"/>
  <c r="L248" i="4" s="1"/>
  <c r="L251" i="4" s="1"/>
  <c r="L306" i="4" s="1"/>
  <c r="F13" i="11" s="1"/>
  <c r="J248" i="4"/>
  <c r="S248" i="4" s="1"/>
  <c r="S251" i="4" s="1"/>
  <c r="F248" i="4"/>
  <c r="G248" i="4"/>
  <c r="H248" i="4"/>
  <c r="I249" i="4"/>
  <c r="J249" i="4"/>
  <c r="F249" i="4"/>
  <c r="G249" i="4"/>
  <c r="H249" i="4"/>
  <c r="I250" i="4"/>
  <c r="J250" i="4"/>
  <c r="E250" i="4"/>
  <c r="F250" i="4"/>
  <c r="R250" i="4"/>
  <c r="G250" i="4"/>
  <c r="H250" i="4"/>
  <c r="F323" i="4"/>
  <c r="I323" i="4"/>
  <c r="T323" i="4"/>
  <c r="F324" i="4"/>
  <c r="L324" i="4"/>
  <c r="N324" i="4"/>
  <c r="I324" i="4"/>
  <c r="F325" i="4"/>
  <c r="L325" i="4"/>
  <c r="F326" i="4"/>
  <c r="F327" i="4"/>
  <c r="I327" i="4"/>
  <c r="F328" i="4"/>
  <c r="I328" i="4"/>
  <c r="T328" i="4"/>
  <c r="F329" i="4"/>
  <c r="I329" i="4"/>
  <c r="F330" i="4"/>
  <c r="I330" i="4"/>
  <c r="F331" i="4"/>
  <c r="R331" i="4"/>
  <c r="I331" i="4"/>
  <c r="F332" i="4"/>
  <c r="R332" i="4"/>
  <c r="I332" i="4"/>
  <c r="G323" i="4"/>
  <c r="S323" i="4"/>
  <c r="G324" i="4"/>
  <c r="S324" i="4"/>
  <c r="G325" i="4"/>
  <c r="G326" i="4"/>
  <c r="G327" i="4"/>
  <c r="G328" i="4"/>
  <c r="G329" i="4"/>
  <c r="G330" i="4"/>
  <c r="G331" i="4"/>
  <c r="S331" i="4"/>
  <c r="G332" i="4"/>
  <c r="S332" i="4"/>
  <c r="H323" i="4"/>
  <c r="H324" i="4"/>
  <c r="T324" i="4"/>
  <c r="H325" i="4"/>
  <c r="H326" i="4"/>
  <c r="H327" i="4"/>
  <c r="H328" i="4"/>
  <c r="H329" i="4"/>
  <c r="H330" i="4"/>
  <c r="H331" i="4"/>
  <c r="T331" i="4"/>
  <c r="H332" i="4"/>
  <c r="T332" i="4"/>
  <c r="F14" i="6"/>
  <c r="N14" i="6"/>
  <c r="J14" i="6"/>
  <c r="F15" i="6"/>
  <c r="N15" i="6"/>
  <c r="J15" i="6"/>
  <c r="F16" i="6"/>
  <c r="N16" i="6"/>
  <c r="J16" i="6"/>
  <c r="F17" i="6"/>
  <c r="N17" i="6"/>
  <c r="J17" i="6"/>
  <c r="F18" i="6"/>
  <c r="J18" i="6"/>
  <c r="F20" i="6"/>
  <c r="L20" i="6"/>
  <c r="M20" i="6" s="1"/>
  <c r="J62" i="6"/>
  <c r="F21" i="6"/>
  <c r="N21" i="6"/>
  <c r="F22" i="6"/>
  <c r="F23" i="6"/>
  <c r="F25" i="6"/>
  <c r="J26" i="6"/>
  <c r="J25" i="6"/>
  <c r="F26" i="6"/>
  <c r="L26" i="6"/>
  <c r="F28" i="6"/>
  <c r="F29" i="6"/>
  <c r="F30" i="6"/>
  <c r="F31" i="6"/>
  <c r="F35" i="6"/>
  <c r="I35" i="6"/>
  <c r="F36" i="6"/>
  <c r="N36" i="6"/>
  <c r="I36" i="6"/>
  <c r="P36" i="6"/>
  <c r="F37" i="6"/>
  <c r="F38" i="6"/>
  <c r="N38" i="6"/>
  <c r="I38" i="6"/>
  <c r="F39" i="6"/>
  <c r="I39" i="6"/>
  <c r="F40" i="6"/>
  <c r="L40" i="6"/>
  <c r="M40" i="6"/>
  <c r="I40" i="6"/>
  <c r="K40" i="6"/>
  <c r="F41" i="6"/>
  <c r="I41" i="6"/>
  <c r="F42" i="6"/>
  <c r="L42" i="6"/>
  <c r="I42" i="6"/>
  <c r="F43" i="6"/>
  <c r="I43" i="6"/>
  <c r="F44" i="6"/>
  <c r="F45" i="6"/>
  <c r="N45" i="6"/>
  <c r="I45" i="6"/>
  <c r="F46" i="6"/>
  <c r="F47" i="6"/>
  <c r="N47" i="6"/>
  <c r="I47" i="6"/>
  <c r="F48" i="6"/>
  <c r="N48" i="6"/>
  <c r="I48" i="6"/>
  <c r="K48" i="6"/>
  <c r="F49" i="6"/>
  <c r="N49" i="6"/>
  <c r="F50" i="6"/>
  <c r="F51" i="6"/>
  <c r="N51" i="6"/>
  <c r="D52" i="6"/>
  <c r="F52" i="6" s="1"/>
  <c r="I52" i="6"/>
  <c r="F53" i="6"/>
  <c r="N53" i="6"/>
  <c r="I54" i="6"/>
  <c r="F54" i="6"/>
  <c r="F55" i="6"/>
  <c r="F57" i="6"/>
  <c r="N57" i="6"/>
  <c r="I57" i="6"/>
  <c r="F61" i="6"/>
  <c r="N61" i="6"/>
  <c r="J61" i="6"/>
  <c r="F62" i="6"/>
  <c r="F63" i="6"/>
  <c r="F64" i="6"/>
  <c r="F65" i="6"/>
  <c r="J65" i="6"/>
  <c r="F66" i="6"/>
  <c r="L66" i="6"/>
  <c r="M66" i="6"/>
  <c r="J66" i="6"/>
  <c r="F67" i="6"/>
  <c r="N67" i="6"/>
  <c r="J67" i="6"/>
  <c r="F68" i="6"/>
  <c r="N68" i="6"/>
  <c r="J68" i="6"/>
  <c r="F69" i="6"/>
  <c r="F71" i="6"/>
  <c r="N71" i="6"/>
  <c r="J71" i="6"/>
  <c r="K71" i="6"/>
  <c r="F72" i="6"/>
  <c r="J72" i="6"/>
  <c r="F73" i="6"/>
  <c r="N73" i="6"/>
  <c r="J73" i="6"/>
  <c r="O73" i="6" s="1"/>
  <c r="C74" i="6"/>
  <c r="D74" i="6"/>
  <c r="E74" i="6"/>
  <c r="F74" i="6"/>
  <c r="J74" i="6"/>
  <c r="O74" i="6" s="1"/>
  <c r="F75" i="6"/>
  <c r="L75" i="6"/>
  <c r="M75" i="6" s="1"/>
  <c r="J75" i="6"/>
  <c r="F76" i="6"/>
  <c r="J76" i="6"/>
  <c r="L76" i="6" s="1"/>
  <c r="F77" i="6"/>
  <c r="J77" i="6"/>
  <c r="P77" i="6" s="1"/>
  <c r="K77" i="6"/>
  <c r="F78" i="6"/>
  <c r="J78" i="6"/>
  <c r="O78" i="6" s="1"/>
  <c r="F79" i="6"/>
  <c r="J79" i="6"/>
  <c r="C80" i="6"/>
  <c r="F80" i="6"/>
  <c r="L80" i="6"/>
  <c r="M80" i="6" s="1"/>
  <c r="D80" i="6"/>
  <c r="E80" i="6"/>
  <c r="J80" i="6"/>
  <c r="K80" i="6"/>
  <c r="F81" i="6"/>
  <c r="J81" i="6"/>
  <c r="O81" i="6" s="1"/>
  <c r="F83" i="6"/>
  <c r="L83" i="6"/>
  <c r="M83" i="6" s="1"/>
  <c r="J83" i="6"/>
  <c r="F84" i="6"/>
  <c r="F85" i="6"/>
  <c r="D86" i="6"/>
  <c r="F86" i="6"/>
  <c r="N86" i="6"/>
  <c r="J86" i="6"/>
  <c r="K86" i="6"/>
  <c r="F87" i="6"/>
  <c r="F88" i="6"/>
  <c r="J88" i="6"/>
  <c r="K88" i="6" s="1"/>
  <c r="F89" i="6"/>
  <c r="J89" i="6"/>
  <c r="K89" i="6"/>
  <c r="F90" i="6"/>
  <c r="N90" i="6"/>
  <c r="J90" i="6"/>
  <c r="F91" i="6"/>
  <c r="J91" i="6"/>
  <c r="J54" i="7"/>
  <c r="F92" i="6"/>
  <c r="J92" i="6"/>
  <c r="K92" i="6" s="1"/>
  <c r="F93" i="6"/>
  <c r="J93" i="6"/>
  <c r="C94" i="6"/>
  <c r="F94" i="6"/>
  <c r="D94" i="6"/>
  <c r="E94" i="6"/>
  <c r="J94" i="6"/>
  <c r="F96" i="6"/>
  <c r="C97" i="6"/>
  <c r="D97" i="6"/>
  <c r="E97" i="6"/>
  <c r="F99" i="6"/>
  <c r="J99" i="6"/>
  <c r="R99" i="6"/>
  <c r="X99" i="6"/>
  <c r="F100" i="6"/>
  <c r="F102" i="6"/>
  <c r="L102" i="6"/>
  <c r="M102" i="6"/>
  <c r="J102" i="6"/>
  <c r="K102" i="6"/>
  <c r="F103" i="6"/>
  <c r="J103" i="6"/>
  <c r="F104" i="6"/>
  <c r="N104" i="6"/>
  <c r="J104" i="6"/>
  <c r="F106" i="6"/>
  <c r="N106" i="6"/>
  <c r="J106" i="6"/>
  <c r="F107" i="6"/>
  <c r="J107" i="6"/>
  <c r="F108" i="6"/>
  <c r="F109" i="6"/>
  <c r="L109" i="6"/>
  <c r="M109" i="6"/>
  <c r="J109" i="6"/>
  <c r="F110" i="6"/>
  <c r="N110" i="6"/>
  <c r="J110" i="6"/>
  <c r="F111" i="6"/>
  <c r="N111" i="6"/>
  <c r="J111" i="6"/>
  <c r="K111" i="6"/>
  <c r="F112" i="6"/>
  <c r="L112" i="6"/>
  <c r="M112" i="6"/>
  <c r="J112" i="6"/>
  <c r="F113" i="6"/>
  <c r="L113" i="6"/>
  <c r="M113" i="6"/>
  <c r="J113" i="6"/>
  <c r="F114" i="6"/>
  <c r="J114" i="6"/>
  <c r="F115" i="6"/>
  <c r="N115" i="6"/>
  <c r="J115" i="6"/>
  <c r="F116" i="6"/>
  <c r="J116" i="6"/>
  <c r="F117" i="6"/>
  <c r="L117" i="6"/>
  <c r="M117" i="6"/>
  <c r="J117" i="6"/>
  <c r="F118" i="6"/>
  <c r="J118" i="6"/>
  <c r="K118" i="6"/>
  <c r="F119" i="6"/>
  <c r="N119" i="6"/>
  <c r="J119" i="6"/>
  <c r="F120" i="6"/>
  <c r="F121" i="6"/>
  <c r="F122" i="6"/>
  <c r="N122" i="6"/>
  <c r="D123" i="6"/>
  <c r="J123" i="6"/>
  <c r="F124" i="6"/>
  <c r="J125" i="6"/>
  <c r="J124" i="6"/>
  <c r="F125" i="6"/>
  <c r="F126" i="6"/>
  <c r="J126" i="6"/>
  <c r="F128" i="6"/>
  <c r="N128" i="6"/>
  <c r="J128" i="6"/>
  <c r="K128" i="6"/>
  <c r="F131" i="6"/>
  <c r="J131" i="6"/>
  <c r="F132" i="6"/>
  <c r="F135" i="6"/>
  <c r="J135" i="6"/>
  <c r="F136" i="6"/>
  <c r="J136" i="6"/>
  <c r="K136" i="6" s="1"/>
  <c r="F139" i="6"/>
  <c r="I139" i="6"/>
  <c r="J139" i="6"/>
  <c r="F140" i="6"/>
  <c r="N140" i="6"/>
  <c r="J140" i="6"/>
  <c r="F141" i="6"/>
  <c r="L141" i="6"/>
  <c r="J141" i="6"/>
  <c r="F142" i="6"/>
  <c r="N142" i="6"/>
  <c r="J142" i="6"/>
  <c r="F143" i="6"/>
  <c r="N143" i="6"/>
  <c r="J143" i="6"/>
  <c r="F144" i="6"/>
  <c r="I144" i="6"/>
  <c r="J144" i="6"/>
  <c r="F145" i="6"/>
  <c r="I145" i="6"/>
  <c r="J145" i="6"/>
  <c r="F148" i="6"/>
  <c r="N148" i="6"/>
  <c r="I148" i="6"/>
  <c r="J148" i="6"/>
  <c r="F150" i="6"/>
  <c r="I150" i="6"/>
  <c r="J150" i="6"/>
  <c r="J156" i="6" s="1"/>
  <c r="F151" i="6"/>
  <c r="I151" i="6"/>
  <c r="K151" i="6" s="1"/>
  <c r="I157" i="6"/>
  <c r="K157" i="6" s="1"/>
  <c r="J151" i="6"/>
  <c r="F152" i="6"/>
  <c r="L152" i="6"/>
  <c r="F153" i="6"/>
  <c r="F154" i="6"/>
  <c r="F156" i="6"/>
  <c r="F157" i="6"/>
  <c r="G14" i="6"/>
  <c r="O14" i="6"/>
  <c r="G15" i="6"/>
  <c r="O15" i="6"/>
  <c r="G16" i="6"/>
  <c r="O16" i="6"/>
  <c r="G17" i="6"/>
  <c r="O17" i="6"/>
  <c r="G18" i="6"/>
  <c r="O18" i="6"/>
  <c r="G20" i="6"/>
  <c r="G21" i="6"/>
  <c r="O21" i="6"/>
  <c r="G22" i="6"/>
  <c r="G23" i="6"/>
  <c r="G25" i="6"/>
  <c r="G26" i="6"/>
  <c r="G28" i="6"/>
  <c r="G29" i="6"/>
  <c r="G30" i="6"/>
  <c r="G31" i="6"/>
  <c r="G35" i="6"/>
  <c r="G36" i="6"/>
  <c r="O36" i="6"/>
  <c r="G37" i="6"/>
  <c r="G38" i="6"/>
  <c r="O38" i="6"/>
  <c r="G39" i="6"/>
  <c r="G40" i="6"/>
  <c r="O40" i="6"/>
  <c r="G41" i="6"/>
  <c r="L41" i="6"/>
  <c r="M41" i="6"/>
  <c r="G42" i="6"/>
  <c r="G43" i="6"/>
  <c r="O43" i="6"/>
  <c r="G44" i="6"/>
  <c r="G45" i="6"/>
  <c r="G46" i="6"/>
  <c r="G47" i="6"/>
  <c r="G48" i="6"/>
  <c r="O48" i="6"/>
  <c r="G49" i="6"/>
  <c r="O49" i="6"/>
  <c r="G50" i="6"/>
  <c r="O50" i="6"/>
  <c r="G51" i="6"/>
  <c r="O51" i="6"/>
  <c r="G53" i="6"/>
  <c r="G54" i="6"/>
  <c r="O54" i="6"/>
  <c r="G55" i="6"/>
  <c r="G57" i="6"/>
  <c r="G61" i="6"/>
  <c r="G62" i="6"/>
  <c r="G63" i="6"/>
  <c r="G64" i="6"/>
  <c r="G65" i="6"/>
  <c r="O65" i="6"/>
  <c r="G66" i="6"/>
  <c r="O66" i="6"/>
  <c r="G67" i="6"/>
  <c r="G68" i="6"/>
  <c r="O68" i="6"/>
  <c r="G69" i="6"/>
  <c r="L69" i="6"/>
  <c r="M69" i="6"/>
  <c r="G71" i="6"/>
  <c r="O71" i="6"/>
  <c r="G72" i="6"/>
  <c r="O72" i="6"/>
  <c r="G73" i="6"/>
  <c r="G74" i="6"/>
  <c r="G75" i="6"/>
  <c r="G76" i="6"/>
  <c r="G77" i="6"/>
  <c r="G78" i="6"/>
  <c r="G79" i="6"/>
  <c r="L79" i="6"/>
  <c r="M79" i="6" s="1"/>
  <c r="G80" i="6"/>
  <c r="O80" i="6"/>
  <c r="G81" i="6"/>
  <c r="G83" i="6"/>
  <c r="O83" i="6"/>
  <c r="G84" i="6"/>
  <c r="G85" i="6"/>
  <c r="G86" i="6"/>
  <c r="O86" i="6"/>
  <c r="G87" i="6"/>
  <c r="G88" i="6"/>
  <c r="O88" i="6"/>
  <c r="G89" i="6"/>
  <c r="G90" i="6"/>
  <c r="G91" i="6"/>
  <c r="G92" i="6"/>
  <c r="G93" i="6"/>
  <c r="O93" i="6"/>
  <c r="G94" i="6"/>
  <c r="O94" i="6"/>
  <c r="G96" i="6"/>
  <c r="G97" i="6"/>
  <c r="G99" i="6"/>
  <c r="O99" i="6"/>
  <c r="G100" i="6"/>
  <c r="G102" i="6"/>
  <c r="O102" i="6"/>
  <c r="G103" i="6"/>
  <c r="O103" i="6"/>
  <c r="G104" i="6"/>
  <c r="O104" i="6"/>
  <c r="G106" i="6"/>
  <c r="O106" i="6"/>
  <c r="G107" i="6"/>
  <c r="G108" i="6"/>
  <c r="G109" i="6"/>
  <c r="O109" i="6"/>
  <c r="G110" i="6"/>
  <c r="G111" i="6"/>
  <c r="O111" i="6"/>
  <c r="G112" i="6"/>
  <c r="G113" i="6"/>
  <c r="G114" i="6"/>
  <c r="O114" i="6"/>
  <c r="G115" i="6"/>
  <c r="O115" i="6"/>
  <c r="G116" i="6"/>
  <c r="O116" i="6"/>
  <c r="G117" i="6"/>
  <c r="G118" i="6"/>
  <c r="G119" i="6"/>
  <c r="O119" i="6"/>
  <c r="G120" i="6"/>
  <c r="O120" i="6"/>
  <c r="G121" i="6"/>
  <c r="O121" i="6"/>
  <c r="G122" i="6"/>
  <c r="O122" i="6"/>
  <c r="G124" i="6"/>
  <c r="G125" i="6"/>
  <c r="G126" i="6"/>
  <c r="G128" i="6"/>
  <c r="O128" i="6"/>
  <c r="G131" i="6"/>
  <c r="O131" i="6"/>
  <c r="G132" i="6"/>
  <c r="G135" i="6"/>
  <c r="G136" i="6"/>
  <c r="G139" i="6"/>
  <c r="G140" i="6"/>
  <c r="G141" i="6"/>
  <c r="O141" i="6"/>
  <c r="G142" i="6"/>
  <c r="G143" i="6"/>
  <c r="G144" i="6"/>
  <c r="G145" i="6"/>
  <c r="O145" i="6"/>
  <c r="G148" i="6"/>
  <c r="O148" i="6"/>
  <c r="G150" i="6"/>
  <c r="G151" i="6"/>
  <c r="O151" i="6"/>
  <c r="G152" i="6"/>
  <c r="O152" i="6"/>
  <c r="G153" i="6"/>
  <c r="G154" i="6"/>
  <c r="G156" i="6"/>
  <c r="G157" i="6"/>
  <c r="H14" i="6"/>
  <c r="P14" i="6"/>
  <c r="H15" i="6"/>
  <c r="P15" i="6"/>
  <c r="H18" i="6"/>
  <c r="P18" i="6"/>
  <c r="H20" i="6"/>
  <c r="H21" i="6"/>
  <c r="P21" i="6"/>
  <c r="H25" i="6"/>
  <c r="H26" i="6"/>
  <c r="H28" i="6"/>
  <c r="H29" i="6"/>
  <c r="H30" i="6"/>
  <c r="H35" i="6"/>
  <c r="P35" i="6"/>
  <c r="H37" i="6"/>
  <c r="H38" i="6"/>
  <c r="P38" i="6"/>
  <c r="H39" i="6"/>
  <c r="H40" i="6"/>
  <c r="P40" i="6"/>
  <c r="H41" i="6"/>
  <c r="H42" i="6"/>
  <c r="H43" i="6"/>
  <c r="P43" i="6"/>
  <c r="H44" i="6"/>
  <c r="H45" i="6"/>
  <c r="P45" i="6"/>
  <c r="H46" i="6"/>
  <c r="H47" i="6"/>
  <c r="P47" i="6"/>
  <c r="H48" i="6"/>
  <c r="P48" i="6"/>
  <c r="H49" i="6"/>
  <c r="P49" i="6"/>
  <c r="H50" i="6"/>
  <c r="P50" i="6"/>
  <c r="H51" i="6"/>
  <c r="P51" i="6"/>
  <c r="H53" i="6"/>
  <c r="H54" i="6"/>
  <c r="P54" i="6"/>
  <c r="H55" i="6"/>
  <c r="H61" i="6"/>
  <c r="H62" i="6"/>
  <c r="H63" i="6"/>
  <c r="H68" i="6"/>
  <c r="P68" i="6"/>
  <c r="H71" i="6"/>
  <c r="P71" i="6"/>
  <c r="H73" i="6"/>
  <c r="H75" i="6"/>
  <c r="H76" i="6"/>
  <c r="H77" i="6"/>
  <c r="H79" i="6"/>
  <c r="H81" i="6"/>
  <c r="H83" i="6"/>
  <c r="P83" i="6"/>
  <c r="H84" i="6"/>
  <c r="H85" i="6"/>
  <c r="H87" i="6"/>
  <c r="H89" i="6"/>
  <c r="P89" i="6"/>
  <c r="H90" i="6"/>
  <c r="H91" i="6"/>
  <c r="H92" i="6"/>
  <c r="H96" i="6"/>
  <c r="H99" i="6"/>
  <c r="H100" i="6"/>
  <c r="H102" i="6"/>
  <c r="P102" i="6"/>
  <c r="H103" i="6"/>
  <c r="H106" i="6"/>
  <c r="H107" i="6"/>
  <c r="P107" i="6"/>
  <c r="H108" i="6"/>
  <c r="H109" i="6"/>
  <c r="P109" i="6"/>
  <c r="H110" i="6"/>
  <c r="P110" i="6"/>
  <c r="H111" i="6"/>
  <c r="P111" i="6"/>
  <c r="H112" i="6"/>
  <c r="P112" i="6"/>
  <c r="H113" i="6"/>
  <c r="H114" i="6"/>
  <c r="H115" i="6"/>
  <c r="P115" i="6"/>
  <c r="H116" i="6"/>
  <c r="P116" i="6"/>
  <c r="H117" i="6"/>
  <c r="H118" i="6"/>
  <c r="H119" i="6"/>
  <c r="P119" i="6"/>
  <c r="H120" i="6"/>
  <c r="P120" i="6"/>
  <c r="H121" i="6"/>
  <c r="P121" i="6"/>
  <c r="H124" i="6"/>
  <c r="H125" i="6"/>
  <c r="P125" i="6"/>
  <c r="H126" i="6"/>
  <c r="H131" i="6"/>
  <c r="P131" i="6"/>
  <c r="H132" i="6"/>
  <c r="H135" i="6"/>
  <c r="H136" i="6"/>
  <c r="H139" i="6"/>
  <c r="H140" i="6"/>
  <c r="H141" i="6"/>
  <c r="H142" i="6"/>
  <c r="H143" i="6"/>
  <c r="H144" i="6"/>
  <c r="H148" i="6"/>
  <c r="H154" i="6"/>
  <c r="K14" i="6"/>
  <c r="K15" i="6"/>
  <c r="K18" i="6"/>
  <c r="K21" i="6"/>
  <c r="K26" i="6"/>
  <c r="K36" i="6"/>
  <c r="K38" i="6"/>
  <c r="K42" i="6"/>
  <c r="K49" i="6"/>
  <c r="K50" i="6"/>
  <c r="K51" i="6"/>
  <c r="K52" i="6"/>
  <c r="K66" i="6"/>
  <c r="K73" i="6"/>
  <c r="K83" i="6"/>
  <c r="K93" i="6"/>
  <c r="K104" i="6"/>
  <c r="K106" i="6"/>
  <c r="K109" i="6"/>
  <c r="K110" i="6"/>
  <c r="K115" i="6"/>
  <c r="K116" i="6"/>
  <c r="K119" i="6"/>
  <c r="K120" i="6"/>
  <c r="K121" i="6"/>
  <c r="K122" i="6"/>
  <c r="K123" i="6"/>
  <c r="K125" i="6"/>
  <c r="K140" i="6"/>
  <c r="K141" i="6"/>
  <c r="K152" i="6"/>
  <c r="F14" i="8"/>
  <c r="C9" i="1"/>
  <c r="J119" i="8"/>
  <c r="F17" i="8"/>
  <c r="O17" i="8"/>
  <c r="F18" i="8"/>
  <c r="F19" i="8"/>
  <c r="F22" i="8"/>
  <c r="O22" i="8"/>
  <c r="F23" i="8"/>
  <c r="F24" i="8"/>
  <c r="O24" i="8"/>
  <c r="F25" i="8"/>
  <c r="F26" i="8"/>
  <c r="O26" i="8"/>
  <c r="F27" i="8"/>
  <c r="L27" i="8"/>
  <c r="F28" i="8"/>
  <c r="F29" i="8"/>
  <c r="O29" i="8"/>
  <c r="F30" i="8"/>
  <c r="F31" i="8"/>
  <c r="O31" i="8"/>
  <c r="F32" i="8"/>
  <c r="K32" i="8"/>
  <c r="F33" i="8"/>
  <c r="F34" i="8"/>
  <c r="F35" i="8"/>
  <c r="L35" i="8"/>
  <c r="F36" i="8"/>
  <c r="F37" i="8"/>
  <c r="F38" i="8"/>
  <c r="O38" i="8"/>
  <c r="J38" i="8"/>
  <c r="F39" i="8"/>
  <c r="F40" i="8"/>
  <c r="O40" i="8"/>
  <c r="F41" i="8"/>
  <c r="F42" i="8"/>
  <c r="O42" i="8"/>
  <c r="F43" i="8"/>
  <c r="F44" i="8"/>
  <c r="L44" i="8"/>
  <c r="F45" i="8"/>
  <c r="F46" i="8"/>
  <c r="O46" i="8"/>
  <c r="F47" i="8"/>
  <c r="F51" i="8"/>
  <c r="L51" i="8"/>
  <c r="F52" i="8"/>
  <c r="O52" i="8"/>
  <c r="F53" i="8"/>
  <c r="K53" i="8"/>
  <c r="F55" i="8"/>
  <c r="F56" i="8"/>
  <c r="O56" i="8"/>
  <c r="F57" i="8"/>
  <c r="S57" i="8"/>
  <c r="W57" i="8"/>
  <c r="F59" i="8"/>
  <c r="K59" i="8"/>
  <c r="F60" i="8"/>
  <c r="F61" i="8"/>
  <c r="L61" i="8"/>
  <c r="K61" i="8"/>
  <c r="F63" i="8"/>
  <c r="L63" i="8"/>
  <c r="J63" i="8"/>
  <c r="P63" i="8"/>
  <c r="F64" i="8"/>
  <c r="J64" i="8"/>
  <c r="F66" i="8"/>
  <c r="J66" i="8"/>
  <c r="F67" i="8"/>
  <c r="O67" i="8"/>
  <c r="J67" i="8"/>
  <c r="F69" i="8"/>
  <c r="L69" i="8"/>
  <c r="J69" i="8"/>
  <c r="K69" i="8"/>
  <c r="F70" i="8"/>
  <c r="J70" i="8"/>
  <c r="F71" i="8"/>
  <c r="J71" i="8"/>
  <c r="F72" i="8"/>
  <c r="L72" i="8"/>
  <c r="J72" i="8"/>
  <c r="F75" i="8"/>
  <c r="F76" i="8"/>
  <c r="O76" i="8"/>
  <c r="F77" i="8"/>
  <c r="F80" i="8"/>
  <c r="F81" i="8"/>
  <c r="F82" i="8"/>
  <c r="F83" i="8"/>
  <c r="F84" i="8"/>
  <c r="H14" i="8"/>
  <c r="H17" i="8"/>
  <c r="H18" i="8"/>
  <c r="H22" i="8"/>
  <c r="H27" i="8"/>
  <c r="H28" i="8"/>
  <c r="H29" i="8"/>
  <c r="Q29" i="8"/>
  <c r="H30" i="8"/>
  <c r="H31" i="8"/>
  <c r="H36" i="8"/>
  <c r="H37" i="8"/>
  <c r="H38" i="8"/>
  <c r="H39" i="8"/>
  <c r="H41" i="8"/>
  <c r="H45" i="8"/>
  <c r="Q45" i="8"/>
  <c r="H46" i="8"/>
  <c r="H47" i="8"/>
  <c r="H51" i="8"/>
  <c r="H52" i="8"/>
  <c r="Q52" i="8"/>
  <c r="H53" i="8"/>
  <c r="H55" i="8"/>
  <c r="H56" i="8"/>
  <c r="H57" i="8"/>
  <c r="H59" i="8"/>
  <c r="H60" i="8"/>
  <c r="H61" i="8"/>
  <c r="H63" i="8"/>
  <c r="Q63" i="8"/>
  <c r="H64" i="8"/>
  <c r="H66" i="8"/>
  <c r="H67" i="8"/>
  <c r="H69" i="8"/>
  <c r="Q69" i="8"/>
  <c r="H70" i="8"/>
  <c r="H71" i="8"/>
  <c r="H72" i="8"/>
  <c r="Q72" i="8"/>
  <c r="H75" i="8"/>
  <c r="H76" i="8"/>
  <c r="H80" i="8"/>
  <c r="H81" i="8"/>
  <c r="H82" i="8"/>
  <c r="H83" i="8"/>
  <c r="H84" i="8"/>
  <c r="K29" i="8"/>
  <c r="K66" i="8"/>
  <c r="K70" i="8"/>
  <c r="G14" i="8"/>
  <c r="G17" i="8"/>
  <c r="G18" i="8"/>
  <c r="G19" i="8"/>
  <c r="G22" i="8"/>
  <c r="G23" i="8"/>
  <c r="G24" i="8"/>
  <c r="G25" i="8"/>
  <c r="G26" i="8"/>
  <c r="P26" i="8"/>
  <c r="G27" i="8"/>
  <c r="G28" i="8"/>
  <c r="G29" i="8"/>
  <c r="P29" i="8"/>
  <c r="G30" i="8"/>
  <c r="G31" i="8"/>
  <c r="G32" i="8"/>
  <c r="P32" i="8"/>
  <c r="G33" i="8"/>
  <c r="G34" i="8"/>
  <c r="G35" i="8"/>
  <c r="G36" i="8"/>
  <c r="G37" i="8"/>
  <c r="G38" i="8"/>
  <c r="G39" i="8"/>
  <c r="M39" i="8"/>
  <c r="G40" i="8"/>
  <c r="G41" i="8"/>
  <c r="G42" i="8"/>
  <c r="G43" i="8"/>
  <c r="P43" i="8"/>
  <c r="G44" i="8"/>
  <c r="G45" i="8"/>
  <c r="G46" i="8"/>
  <c r="G47" i="8"/>
  <c r="G51" i="8"/>
  <c r="G52" i="8"/>
  <c r="P52" i="8"/>
  <c r="G53" i="8"/>
  <c r="P53" i="8"/>
  <c r="G55" i="8"/>
  <c r="G56" i="8"/>
  <c r="G57" i="8"/>
  <c r="G59" i="8"/>
  <c r="G60" i="8"/>
  <c r="G61" i="8"/>
  <c r="P61" i="8"/>
  <c r="G63" i="8"/>
  <c r="G64" i="8"/>
  <c r="P64" i="8"/>
  <c r="G66" i="8"/>
  <c r="M66" i="8"/>
  <c r="G67" i="8"/>
  <c r="G69" i="8"/>
  <c r="G70" i="8"/>
  <c r="G71" i="8"/>
  <c r="G72" i="8"/>
  <c r="P72" i="8"/>
  <c r="G75" i="8"/>
  <c r="G76" i="8"/>
  <c r="G77" i="8"/>
  <c r="G80" i="8"/>
  <c r="G81" i="8"/>
  <c r="G82" i="8"/>
  <c r="G83" i="8"/>
  <c r="G84" i="8"/>
  <c r="F102" i="8"/>
  <c r="F103" i="8"/>
  <c r="L103" i="8"/>
  <c r="F106" i="8"/>
  <c r="F107" i="8"/>
  <c r="F108" i="8"/>
  <c r="F109" i="8"/>
  <c r="F110" i="8"/>
  <c r="L110" i="8"/>
  <c r="F111" i="8"/>
  <c r="F112" i="8"/>
  <c r="F116" i="8"/>
  <c r="O116" i="8"/>
  <c r="J116" i="8"/>
  <c r="F117" i="8"/>
  <c r="F119" i="8"/>
  <c r="F120" i="8"/>
  <c r="F122" i="8"/>
  <c r="F123" i="8"/>
  <c r="F125" i="8"/>
  <c r="L125" i="8"/>
  <c r="J125" i="8"/>
  <c r="S125" i="8"/>
  <c r="X125" i="8"/>
  <c r="F126" i="8"/>
  <c r="F128" i="8"/>
  <c r="F129" i="8"/>
  <c r="F131" i="8"/>
  <c r="F132" i="8"/>
  <c r="F133" i="8"/>
  <c r="F136" i="8"/>
  <c r="L136" i="8"/>
  <c r="I136" i="8"/>
  <c r="C137" i="8"/>
  <c r="D137" i="8"/>
  <c r="F137" i="8"/>
  <c r="E137" i="8"/>
  <c r="I137" i="8"/>
  <c r="F140" i="8"/>
  <c r="J140" i="8"/>
  <c r="C141" i="8"/>
  <c r="F141" i="8"/>
  <c r="O141" i="8"/>
  <c r="D141" i="8"/>
  <c r="E141" i="8"/>
  <c r="J141" i="8"/>
  <c r="F144" i="8"/>
  <c r="F145" i="8"/>
  <c r="F148" i="8"/>
  <c r="L148" i="8"/>
  <c r="J148" i="8"/>
  <c r="F149" i="8"/>
  <c r="J149" i="8"/>
  <c r="F150" i="8"/>
  <c r="J150" i="8"/>
  <c r="K150" i="8"/>
  <c r="F151" i="8"/>
  <c r="F152" i="8"/>
  <c r="F155" i="8"/>
  <c r="L155" i="8"/>
  <c r="J155" i="8"/>
  <c r="K155" i="8"/>
  <c r="F156" i="8"/>
  <c r="F157" i="8"/>
  <c r="J157" i="8"/>
  <c r="H102" i="8"/>
  <c r="H103" i="8"/>
  <c r="H106" i="8"/>
  <c r="H107" i="8"/>
  <c r="H108" i="8"/>
  <c r="H109" i="8"/>
  <c r="H112" i="8"/>
  <c r="H116" i="8"/>
  <c r="H117" i="8"/>
  <c r="H119" i="8"/>
  <c r="H120" i="8"/>
  <c r="H122" i="8"/>
  <c r="H123" i="8"/>
  <c r="H125" i="8"/>
  <c r="H126" i="8"/>
  <c r="H128" i="8"/>
  <c r="H129" i="8"/>
  <c r="H131" i="8"/>
  <c r="H132" i="8"/>
  <c r="H133" i="8"/>
  <c r="H136" i="8"/>
  <c r="H140" i="8"/>
  <c r="H144" i="8"/>
  <c r="H145" i="8"/>
  <c r="H148" i="8"/>
  <c r="Q148" i="8"/>
  <c r="H149" i="8"/>
  <c r="H150" i="8"/>
  <c r="Q150" i="8"/>
  <c r="H151" i="8"/>
  <c r="H152" i="8"/>
  <c r="H155" i="8"/>
  <c r="Q155" i="8"/>
  <c r="G102" i="8"/>
  <c r="G103" i="8"/>
  <c r="G106" i="8"/>
  <c r="M106" i="8"/>
  <c r="G107" i="8"/>
  <c r="G108" i="8"/>
  <c r="G109" i="8"/>
  <c r="G110" i="8"/>
  <c r="G111" i="8"/>
  <c r="G112" i="8"/>
  <c r="G116" i="8"/>
  <c r="G117" i="8"/>
  <c r="G119" i="8"/>
  <c r="G120" i="8"/>
  <c r="G122" i="8"/>
  <c r="G123" i="8"/>
  <c r="G125" i="8"/>
  <c r="G126" i="8"/>
  <c r="G128" i="8"/>
  <c r="G129" i="8"/>
  <c r="G131" i="8"/>
  <c r="G132" i="8"/>
  <c r="G133" i="8"/>
  <c r="G136" i="8"/>
  <c r="P136" i="8"/>
  <c r="G137" i="8"/>
  <c r="P137" i="8"/>
  <c r="G140" i="8"/>
  <c r="G141" i="8"/>
  <c r="G144" i="8"/>
  <c r="G145" i="8"/>
  <c r="G148" i="8"/>
  <c r="G149" i="8"/>
  <c r="G150" i="8"/>
  <c r="P150" i="8"/>
  <c r="G151" i="8"/>
  <c r="G152" i="8"/>
  <c r="G155" i="8"/>
  <c r="G156" i="8"/>
  <c r="G157" i="8"/>
  <c r="F174" i="8"/>
  <c r="L174" i="8"/>
  <c r="I174" i="8"/>
  <c r="F175" i="8"/>
  <c r="O175" i="8"/>
  <c r="I175" i="8"/>
  <c r="F177" i="8"/>
  <c r="O177" i="8"/>
  <c r="I177" i="8"/>
  <c r="F178" i="8"/>
  <c r="F179" i="8"/>
  <c r="F180" i="8"/>
  <c r="L180" i="8"/>
  <c r="F182" i="8"/>
  <c r="F183" i="8"/>
  <c r="O183" i="8"/>
  <c r="F184" i="8"/>
  <c r="O184" i="8"/>
  <c r="I184" i="8"/>
  <c r="F185" i="8"/>
  <c r="O185" i="8"/>
  <c r="F186" i="8"/>
  <c r="F187" i="8"/>
  <c r="L187" i="8"/>
  <c r="I187" i="8"/>
  <c r="F188" i="8"/>
  <c r="I188" i="8"/>
  <c r="F189" i="8"/>
  <c r="O189" i="8"/>
  <c r="I189" i="8"/>
  <c r="P189" i="8"/>
  <c r="F190" i="8"/>
  <c r="O190" i="8"/>
  <c r="I190" i="8"/>
  <c r="F191" i="8"/>
  <c r="O191" i="8"/>
  <c r="F193" i="8"/>
  <c r="O193" i="8"/>
  <c r="I193" i="8"/>
  <c r="F194" i="8"/>
  <c r="O194" i="8"/>
  <c r="I194" i="8"/>
  <c r="F195" i="8"/>
  <c r="I195" i="8"/>
  <c r="K195" i="8"/>
  <c r="F198" i="8"/>
  <c r="L198" i="8"/>
  <c r="F199" i="8"/>
  <c r="I199" i="8"/>
  <c r="H174" i="8"/>
  <c r="H175" i="8"/>
  <c r="Q175" i="8"/>
  <c r="H177" i="8"/>
  <c r="H178" i="8"/>
  <c r="H179" i="8"/>
  <c r="H180" i="8"/>
  <c r="H182" i="8"/>
  <c r="Q182" i="8"/>
  <c r="H183" i="8"/>
  <c r="H184" i="8"/>
  <c r="H185" i="8"/>
  <c r="Q185" i="8"/>
  <c r="H187" i="8"/>
  <c r="Q187" i="8"/>
  <c r="H188" i="8"/>
  <c r="Q188" i="8"/>
  <c r="H189" i="8"/>
  <c r="H190" i="8"/>
  <c r="Q190" i="8"/>
  <c r="H191" i="8"/>
  <c r="H193" i="8"/>
  <c r="Q193" i="8"/>
  <c r="H194" i="8"/>
  <c r="H195" i="8"/>
  <c r="H198" i="8"/>
  <c r="K182" i="8"/>
  <c r="K183" i="8"/>
  <c r="K185" i="8"/>
  <c r="K186" i="8"/>
  <c r="K190" i="8"/>
  <c r="K191" i="8"/>
  <c r="G174" i="8"/>
  <c r="G175" i="8"/>
  <c r="P175" i="8"/>
  <c r="G177" i="8"/>
  <c r="G178" i="8"/>
  <c r="G179" i="8"/>
  <c r="G180" i="8"/>
  <c r="G182" i="8"/>
  <c r="P182" i="8"/>
  <c r="G183" i="8"/>
  <c r="P183" i="8"/>
  <c r="G184" i="8"/>
  <c r="G185" i="8"/>
  <c r="P185" i="8"/>
  <c r="G186" i="8"/>
  <c r="P186" i="8"/>
  <c r="G187" i="8"/>
  <c r="G188" i="8"/>
  <c r="G189" i="8"/>
  <c r="G190" i="8"/>
  <c r="P190" i="8"/>
  <c r="G191" i="8"/>
  <c r="P191" i="8"/>
  <c r="G193" i="8"/>
  <c r="G194" i="8"/>
  <c r="G195" i="8"/>
  <c r="P195" i="8"/>
  <c r="G198" i="8"/>
  <c r="G199" i="8"/>
  <c r="B9" i="10"/>
  <c r="C9" i="10"/>
  <c r="D9" i="10"/>
  <c r="E9" i="10"/>
  <c r="I12" i="10"/>
  <c r="J12" i="10"/>
  <c r="G12" i="10"/>
  <c r="G14" i="5"/>
  <c r="H14" i="5"/>
  <c r="J14" i="5"/>
  <c r="G16" i="5"/>
  <c r="H16" i="5"/>
  <c r="I16" i="5"/>
  <c r="J16" i="5"/>
  <c r="J19" i="5"/>
  <c r="G19" i="5"/>
  <c r="H19" i="5"/>
  <c r="J23" i="5"/>
  <c r="G23" i="5"/>
  <c r="H23" i="5"/>
  <c r="F25" i="5"/>
  <c r="G25" i="5"/>
  <c r="H25" i="5"/>
  <c r="F28" i="5"/>
  <c r="G28" i="5"/>
  <c r="H28" i="5"/>
  <c r="I28" i="5"/>
  <c r="J28" i="5"/>
  <c r="F29" i="5"/>
  <c r="G29" i="5"/>
  <c r="H29" i="5"/>
  <c r="F30" i="5"/>
  <c r="G30" i="5"/>
  <c r="H30" i="5"/>
  <c r="J30" i="5"/>
  <c r="F31" i="5"/>
  <c r="G31" i="5"/>
  <c r="H31" i="5"/>
  <c r="F32" i="5"/>
  <c r="L32" i="5"/>
  <c r="G32" i="5"/>
  <c r="O32" i="5"/>
  <c r="H32" i="5"/>
  <c r="I32" i="5"/>
  <c r="K32" i="5"/>
  <c r="J32" i="5"/>
  <c r="F33" i="5"/>
  <c r="G33" i="5"/>
  <c r="H33" i="5"/>
  <c r="I33" i="5"/>
  <c r="J33" i="5"/>
  <c r="F34" i="5"/>
  <c r="G34" i="5"/>
  <c r="H34" i="5"/>
  <c r="L34" i="5"/>
  <c r="I34" i="5"/>
  <c r="F37" i="5"/>
  <c r="G37" i="5"/>
  <c r="H37" i="5"/>
  <c r="F38" i="5"/>
  <c r="G38" i="5"/>
  <c r="H38" i="5"/>
  <c r="I38" i="5"/>
  <c r="F39" i="5"/>
  <c r="N39" i="5"/>
  <c r="G39" i="5"/>
  <c r="H39" i="5"/>
  <c r="I39" i="5"/>
  <c r="J39" i="5"/>
  <c r="F40" i="5"/>
  <c r="L40" i="5"/>
  <c r="G40" i="5"/>
  <c r="H40" i="5"/>
  <c r="J40" i="5"/>
  <c r="F41" i="5"/>
  <c r="G41" i="5"/>
  <c r="H41" i="5"/>
  <c r="J41" i="5"/>
  <c r="F42" i="5"/>
  <c r="L42" i="5"/>
  <c r="G42" i="5"/>
  <c r="H42" i="5"/>
  <c r="F43" i="5"/>
  <c r="G43" i="5"/>
  <c r="H43" i="5"/>
  <c r="J43" i="5"/>
  <c r="F44" i="5"/>
  <c r="G44" i="5"/>
  <c r="H44" i="5"/>
  <c r="I44" i="5"/>
  <c r="J44" i="5"/>
  <c r="F45" i="5"/>
  <c r="G45" i="5"/>
  <c r="H45" i="5"/>
  <c r="F46" i="5"/>
  <c r="G46" i="5"/>
  <c r="H46" i="5"/>
  <c r="F49" i="5"/>
  <c r="N49" i="5"/>
  <c r="G49" i="5"/>
  <c r="H49" i="5"/>
  <c r="I49" i="5"/>
  <c r="J49" i="5"/>
  <c r="F50" i="5"/>
  <c r="G50" i="5"/>
  <c r="H50" i="5"/>
  <c r="J50" i="5"/>
  <c r="F51" i="5"/>
  <c r="G51" i="5"/>
  <c r="H51" i="5"/>
  <c r="J51" i="5"/>
  <c r="F52" i="5"/>
  <c r="G52" i="5"/>
  <c r="H52" i="5"/>
  <c r="J52" i="5"/>
  <c r="F53" i="5"/>
  <c r="G53" i="5"/>
  <c r="H53" i="5"/>
  <c r="J53" i="5"/>
  <c r="F54" i="5"/>
  <c r="G54" i="5"/>
  <c r="H54" i="5"/>
  <c r="I54" i="5"/>
  <c r="J54" i="5"/>
  <c r="F55" i="5"/>
  <c r="G55" i="5"/>
  <c r="H55" i="5"/>
  <c r="I55" i="5"/>
  <c r="P55" i="5"/>
  <c r="J55" i="5"/>
  <c r="F56" i="5"/>
  <c r="N56" i="5"/>
  <c r="G56" i="5"/>
  <c r="H56" i="5"/>
  <c r="J56" i="5"/>
  <c r="F57" i="5"/>
  <c r="G57" i="5"/>
  <c r="H57" i="5"/>
  <c r="J57" i="5"/>
  <c r="F58" i="5"/>
  <c r="N58" i="5"/>
  <c r="G58" i="5"/>
  <c r="O58" i="5"/>
  <c r="H58" i="5"/>
  <c r="I58" i="5"/>
  <c r="P58" i="5"/>
  <c r="J58" i="5"/>
  <c r="F14" i="7"/>
  <c r="G14" i="7"/>
  <c r="H14" i="7"/>
  <c r="I14" i="7"/>
  <c r="J14" i="7"/>
  <c r="F15" i="7"/>
  <c r="G15" i="7"/>
  <c r="H15" i="7"/>
  <c r="I15" i="7"/>
  <c r="J15" i="7"/>
  <c r="F16" i="7"/>
  <c r="G16" i="7"/>
  <c r="H16" i="7"/>
  <c r="F18" i="7"/>
  <c r="N18" i="7"/>
  <c r="G18" i="7"/>
  <c r="H18" i="7"/>
  <c r="P18" i="7"/>
  <c r="I18" i="7"/>
  <c r="O18" i="7"/>
  <c r="K18" i="7"/>
  <c r="J18" i="7"/>
  <c r="J19" i="7"/>
  <c r="F19" i="7"/>
  <c r="G19" i="7"/>
  <c r="O19" i="7"/>
  <c r="H19" i="7"/>
  <c r="P19" i="7"/>
  <c r="F21" i="7"/>
  <c r="G21" i="7"/>
  <c r="H21" i="7"/>
  <c r="I21" i="7"/>
  <c r="F22" i="7"/>
  <c r="G22" i="7"/>
  <c r="H22" i="7"/>
  <c r="F24" i="7"/>
  <c r="G24" i="7"/>
  <c r="H24" i="7"/>
  <c r="I24" i="7"/>
  <c r="F25" i="7"/>
  <c r="G25" i="7"/>
  <c r="H25" i="7"/>
  <c r="F29" i="7"/>
  <c r="L29" i="7"/>
  <c r="G29" i="7"/>
  <c r="H29" i="7"/>
  <c r="J29" i="7"/>
  <c r="F30" i="7"/>
  <c r="N30" i="7"/>
  <c r="G30" i="7"/>
  <c r="H30" i="7"/>
  <c r="P30" i="7"/>
  <c r="I30" i="7"/>
  <c r="J30" i="7"/>
  <c r="F31" i="7"/>
  <c r="G31" i="7"/>
  <c r="H31" i="7"/>
  <c r="J31" i="7"/>
  <c r="F32" i="7"/>
  <c r="N32" i="7"/>
  <c r="G32" i="7"/>
  <c r="H32" i="7"/>
  <c r="I32" i="7"/>
  <c r="P32" i="7"/>
  <c r="J32" i="7"/>
  <c r="F33" i="7"/>
  <c r="G33" i="7"/>
  <c r="H33" i="7"/>
  <c r="F37" i="7"/>
  <c r="L37" i="7"/>
  <c r="G37" i="7"/>
  <c r="H37" i="7"/>
  <c r="I37" i="7"/>
  <c r="J37" i="7"/>
  <c r="F38" i="7"/>
  <c r="G38" i="7"/>
  <c r="H38" i="7"/>
  <c r="F40" i="7"/>
  <c r="G40" i="7"/>
  <c r="H40" i="7"/>
  <c r="P40" i="7"/>
  <c r="I40" i="7"/>
  <c r="J40" i="7"/>
  <c r="N40" i="7" s="1"/>
  <c r="F41" i="7"/>
  <c r="G41" i="7"/>
  <c r="H41" i="7"/>
  <c r="I41" i="7"/>
  <c r="F42" i="7"/>
  <c r="G42" i="7"/>
  <c r="H42" i="7"/>
  <c r="I42" i="7"/>
  <c r="F43" i="7"/>
  <c r="G43" i="7"/>
  <c r="H43" i="7"/>
  <c r="I43" i="7"/>
  <c r="F44" i="7"/>
  <c r="N44" i="7"/>
  <c r="G44" i="7"/>
  <c r="H44" i="7"/>
  <c r="I44" i="7"/>
  <c r="J44" i="7"/>
  <c r="K44" i="7" s="1"/>
  <c r="F45" i="7"/>
  <c r="G45" i="7"/>
  <c r="H45" i="7"/>
  <c r="I45" i="7"/>
  <c r="F46" i="7"/>
  <c r="G46" i="7"/>
  <c r="H46" i="7"/>
  <c r="F48" i="7"/>
  <c r="G48" i="7"/>
  <c r="H48" i="7"/>
  <c r="I48" i="7"/>
  <c r="F49" i="7"/>
  <c r="G49" i="7"/>
  <c r="H49" i="7"/>
  <c r="I49" i="7"/>
  <c r="F50" i="7"/>
  <c r="G50" i="7"/>
  <c r="H50" i="7"/>
  <c r="I50" i="7"/>
  <c r="F51" i="7"/>
  <c r="G51" i="7"/>
  <c r="H51" i="7"/>
  <c r="I51" i="7"/>
  <c r="J51" i="7"/>
  <c r="O51" i="7" s="1"/>
  <c r="F52" i="7"/>
  <c r="G52" i="7"/>
  <c r="H52" i="7"/>
  <c r="I52" i="7"/>
  <c r="J52" i="7"/>
  <c r="F53" i="7"/>
  <c r="L53" i="7"/>
  <c r="G53" i="7"/>
  <c r="H53" i="7"/>
  <c r="I53" i="7"/>
  <c r="J53" i="7"/>
  <c r="K53" i="7" s="1"/>
  <c r="F54" i="7"/>
  <c r="N54" i="7"/>
  <c r="G54" i="7"/>
  <c r="H54" i="7"/>
  <c r="I54" i="7"/>
  <c r="F55" i="7"/>
  <c r="G55" i="7"/>
  <c r="H55" i="7"/>
  <c r="I55" i="7"/>
  <c r="F56" i="7"/>
  <c r="G56" i="7"/>
  <c r="H56" i="7"/>
  <c r="I56" i="7"/>
  <c r="F57" i="7"/>
  <c r="G57" i="7"/>
  <c r="H57" i="7"/>
  <c r="F59" i="7"/>
  <c r="G59" i="7"/>
  <c r="H59" i="7"/>
  <c r="I59" i="7"/>
  <c r="F60" i="7"/>
  <c r="G60" i="7"/>
  <c r="H60" i="7"/>
  <c r="F62" i="7"/>
  <c r="N62" i="7"/>
  <c r="G62" i="7"/>
  <c r="H62" i="7"/>
  <c r="I62" i="7"/>
  <c r="P62" i="7"/>
  <c r="I63" i="7"/>
  <c r="J62" i="7"/>
  <c r="J63" i="7"/>
  <c r="O63" i="7"/>
  <c r="F63" i="7"/>
  <c r="G63" i="7"/>
  <c r="H63" i="7"/>
  <c r="F66" i="7"/>
  <c r="N66" i="7"/>
  <c r="G66" i="7"/>
  <c r="O66" i="7"/>
  <c r="H66" i="7"/>
  <c r="P66" i="7"/>
  <c r="I66" i="7"/>
  <c r="J66" i="7"/>
  <c r="F67" i="7"/>
  <c r="N67" i="7"/>
  <c r="G67" i="7"/>
  <c r="H67" i="7"/>
  <c r="I67" i="7"/>
  <c r="J67" i="7"/>
  <c r="F68" i="7"/>
  <c r="N68" i="7"/>
  <c r="G68" i="7"/>
  <c r="O68" i="7"/>
  <c r="H68" i="7"/>
  <c r="P68" i="7"/>
  <c r="I68" i="7"/>
  <c r="J68" i="7"/>
  <c r="F69" i="7"/>
  <c r="L69" i="7"/>
  <c r="G69" i="7"/>
  <c r="O69" i="7"/>
  <c r="H69" i="7"/>
  <c r="P69" i="7"/>
  <c r="I69" i="7"/>
  <c r="J69" i="7"/>
  <c r="F70" i="7"/>
  <c r="G70" i="7"/>
  <c r="H70" i="7"/>
  <c r="F73" i="7"/>
  <c r="G73" i="7"/>
  <c r="H73" i="7"/>
  <c r="I73" i="7"/>
  <c r="F74" i="7"/>
  <c r="G74" i="7"/>
  <c r="H74" i="7"/>
  <c r="F77" i="7"/>
  <c r="G77" i="7"/>
  <c r="H77" i="7"/>
  <c r="I77" i="7"/>
  <c r="F78" i="7"/>
  <c r="G78" i="7"/>
  <c r="H78" i="7"/>
  <c r="F81" i="7"/>
  <c r="G81" i="7"/>
  <c r="H81" i="7"/>
  <c r="I81" i="7"/>
  <c r="F82" i="7"/>
  <c r="G82" i="7"/>
  <c r="H82" i="7"/>
  <c r="K32" i="7"/>
  <c r="F14" i="9"/>
  <c r="G14" i="9"/>
  <c r="H14" i="9"/>
  <c r="F15" i="9"/>
  <c r="G15" i="9"/>
  <c r="H15" i="9"/>
  <c r="F18" i="9"/>
  <c r="G18" i="9"/>
  <c r="H18" i="9"/>
  <c r="F19" i="9"/>
  <c r="G19" i="9"/>
  <c r="H19" i="9"/>
  <c r="F22" i="9"/>
  <c r="G22" i="9"/>
  <c r="H22" i="9"/>
  <c r="F23" i="9"/>
  <c r="N23" i="9"/>
  <c r="G23" i="9"/>
  <c r="H23" i="9"/>
  <c r="F26" i="9"/>
  <c r="G26" i="9"/>
  <c r="H26" i="9"/>
  <c r="F27" i="9"/>
  <c r="G27" i="9"/>
  <c r="H27" i="9"/>
  <c r="F30" i="9"/>
  <c r="G30" i="9"/>
  <c r="H30" i="9"/>
  <c r="F31" i="9"/>
  <c r="G31" i="9"/>
  <c r="H31" i="9"/>
  <c r="F32" i="9"/>
  <c r="L32" i="9"/>
  <c r="G32" i="9"/>
  <c r="H32" i="9"/>
  <c r="F33" i="9"/>
  <c r="G33" i="9"/>
  <c r="H33" i="9"/>
  <c r="F34" i="9"/>
  <c r="G34" i="9"/>
  <c r="H34" i="9"/>
  <c r="F51" i="9"/>
  <c r="N51" i="9"/>
  <c r="G51" i="9"/>
  <c r="H51" i="9"/>
  <c r="F52" i="9"/>
  <c r="L52" i="9"/>
  <c r="G52" i="9"/>
  <c r="H52" i="9"/>
  <c r="F55" i="9"/>
  <c r="G55" i="9"/>
  <c r="H55" i="9"/>
  <c r="F56" i="9"/>
  <c r="G56" i="9"/>
  <c r="H56" i="9"/>
  <c r="F57" i="9"/>
  <c r="G57" i="9"/>
  <c r="H57" i="9"/>
  <c r="F58" i="9"/>
  <c r="G58" i="9"/>
  <c r="H58" i="9"/>
  <c r="F59" i="9"/>
  <c r="G59" i="9"/>
  <c r="H59" i="9"/>
  <c r="F60" i="9"/>
  <c r="G60" i="9"/>
  <c r="H60" i="9"/>
  <c r="F61" i="9"/>
  <c r="L61" i="9"/>
  <c r="G61" i="9"/>
  <c r="H61" i="9"/>
  <c r="F62" i="9"/>
  <c r="G62" i="9"/>
  <c r="H62" i="9"/>
  <c r="F66" i="9"/>
  <c r="G66" i="9"/>
  <c r="H66" i="9"/>
  <c r="F67" i="9"/>
  <c r="G67" i="9"/>
  <c r="H67" i="9"/>
  <c r="F69" i="9"/>
  <c r="G69" i="9"/>
  <c r="H69" i="9"/>
  <c r="F70" i="9"/>
  <c r="N70" i="9"/>
  <c r="G70" i="9"/>
  <c r="H70" i="9"/>
  <c r="F72" i="9"/>
  <c r="G72" i="9"/>
  <c r="H72" i="9"/>
  <c r="F73" i="9"/>
  <c r="G73" i="9"/>
  <c r="H73" i="9"/>
  <c r="F75" i="9"/>
  <c r="G75" i="9"/>
  <c r="H75" i="9"/>
  <c r="F76" i="9"/>
  <c r="G76" i="9"/>
  <c r="H76" i="9"/>
  <c r="F79" i="9"/>
  <c r="G79" i="9"/>
  <c r="H79" i="9"/>
  <c r="F80" i="9"/>
  <c r="G80" i="9"/>
  <c r="H80" i="9"/>
  <c r="F82" i="9"/>
  <c r="G82" i="9"/>
  <c r="H82" i="9"/>
  <c r="F83" i="9"/>
  <c r="L83" i="9"/>
  <c r="G83" i="9"/>
  <c r="H83" i="9"/>
  <c r="F84" i="9"/>
  <c r="G84" i="9"/>
  <c r="H84" i="9"/>
  <c r="F87" i="9"/>
  <c r="L87" i="9"/>
  <c r="G87" i="9"/>
  <c r="H87" i="9"/>
  <c r="F88" i="9"/>
  <c r="G88" i="9"/>
  <c r="H88" i="9"/>
  <c r="F91" i="9"/>
  <c r="N91" i="9"/>
  <c r="G91" i="9"/>
  <c r="H91" i="9"/>
  <c r="F92" i="9"/>
  <c r="G92" i="9"/>
  <c r="H92" i="9"/>
  <c r="F95" i="9"/>
  <c r="G95" i="9"/>
  <c r="H95" i="9"/>
  <c r="F113" i="9"/>
  <c r="G113" i="9"/>
  <c r="H113" i="9"/>
  <c r="P113" i="9"/>
  <c r="J113" i="9"/>
  <c r="K113" i="9"/>
  <c r="F114" i="9"/>
  <c r="G114" i="9"/>
  <c r="H114" i="9"/>
  <c r="F116" i="9"/>
  <c r="G116" i="9"/>
  <c r="H116" i="9"/>
  <c r="F117" i="9"/>
  <c r="G117" i="9"/>
  <c r="H117" i="9"/>
  <c r="F118" i="9"/>
  <c r="L118" i="9"/>
  <c r="G118" i="9"/>
  <c r="H118" i="9"/>
  <c r="F120" i="9"/>
  <c r="N120" i="9"/>
  <c r="G120" i="9"/>
  <c r="H120" i="9"/>
  <c r="F121" i="9"/>
  <c r="N121" i="9"/>
  <c r="G121" i="9"/>
  <c r="O121" i="9"/>
  <c r="H121" i="9"/>
  <c r="P121" i="9"/>
  <c r="J121" i="9"/>
  <c r="F122" i="9"/>
  <c r="G122" i="9"/>
  <c r="H122" i="9"/>
  <c r="F123" i="9"/>
  <c r="G123" i="9"/>
  <c r="H123" i="9"/>
  <c r="F124" i="9"/>
  <c r="N124" i="9"/>
  <c r="G124" i="9"/>
  <c r="H124" i="9"/>
  <c r="J124" i="9"/>
  <c r="F126" i="9"/>
  <c r="L126" i="9"/>
  <c r="G126" i="9"/>
  <c r="H126" i="9"/>
  <c r="F127" i="9"/>
  <c r="L127" i="9"/>
  <c r="G127" i="9"/>
  <c r="H127" i="9"/>
  <c r="F130" i="9"/>
  <c r="G130" i="9"/>
  <c r="H130" i="9"/>
  <c r="F131" i="9"/>
  <c r="G131" i="9"/>
  <c r="H131" i="9"/>
  <c r="AA183" i="8"/>
  <c r="AA185" i="8"/>
  <c r="AA186" i="8"/>
  <c r="AA187" i="8"/>
  <c r="AA195" i="8"/>
  <c r="AA70" i="8"/>
  <c r="AA71" i="8"/>
  <c r="AA72" i="8"/>
  <c r="AA77" i="8"/>
  <c r="AA81" i="8"/>
  <c r="AA82" i="8"/>
  <c r="AA83" i="8"/>
  <c r="AA84" i="8"/>
  <c r="AA133" i="8"/>
  <c r="AA141" i="8"/>
  <c r="AA145" i="8"/>
  <c r="AA175" i="8"/>
  <c r="AB70" i="8"/>
  <c r="AB72" i="8"/>
  <c r="AB137" i="8"/>
  <c r="AB175" i="8"/>
  <c r="AB178" i="8"/>
  <c r="AB179" i="8"/>
  <c r="AB183" i="8"/>
  <c r="AB184" i="8"/>
  <c r="AB185" i="8"/>
  <c r="AB186" i="8"/>
  <c r="AB187" i="8"/>
  <c r="AB189" i="8"/>
  <c r="AB194" i="8"/>
  <c r="AB195" i="8"/>
  <c r="AB199" i="8"/>
  <c r="AE122" i="4"/>
  <c r="AE123" i="4"/>
  <c r="AE161" i="4"/>
  <c r="AE165" i="4"/>
  <c r="AE170" i="4"/>
  <c r="AE171" i="4"/>
  <c r="AE176" i="4"/>
  <c r="AE295" i="4"/>
  <c r="AE302" i="4"/>
  <c r="AE304" i="4"/>
  <c r="AE323" i="4"/>
  <c r="AE324" i="4"/>
  <c r="AE328" i="4"/>
  <c r="AE332" i="4"/>
  <c r="AF16" i="4"/>
  <c r="AF20" i="4"/>
  <c r="AF121" i="4"/>
  <c r="AF123" i="4"/>
  <c r="AF129" i="4"/>
  <c r="AF134" i="4"/>
  <c r="AF161" i="4"/>
  <c r="AF165" i="4"/>
  <c r="AF166" i="4"/>
  <c r="AF170" i="4"/>
  <c r="AF176" i="4"/>
  <c r="AF295" i="4"/>
  <c r="AF298" i="4"/>
  <c r="AF299" i="4"/>
  <c r="AF302" i="4"/>
  <c r="AF303" i="4"/>
  <c r="AF304" i="4"/>
  <c r="AF323" i="4"/>
  <c r="AF324" i="4"/>
  <c r="AF325" i="4"/>
  <c r="AF326" i="4"/>
  <c r="AF327" i="4"/>
  <c r="AF328" i="4"/>
  <c r="AF329" i="4"/>
  <c r="AF330" i="4"/>
  <c r="AF331" i="4"/>
  <c r="AF332" i="4"/>
  <c r="AA15" i="6"/>
  <c r="AA18" i="6"/>
  <c r="AA21" i="6"/>
  <c r="AA26" i="6"/>
  <c r="AA30" i="6"/>
  <c r="AA68" i="6"/>
  <c r="AA74" i="6"/>
  <c r="AA77" i="6"/>
  <c r="AA80" i="6"/>
  <c r="AA81" i="6"/>
  <c r="AA85" i="6"/>
  <c r="AA87" i="6"/>
  <c r="AA88" i="6"/>
  <c r="AA89" i="6"/>
  <c r="AA90" i="6"/>
  <c r="AA92" i="6"/>
  <c r="AA94" i="6"/>
  <c r="AA97" i="6"/>
  <c r="AA115" i="6"/>
  <c r="AA132" i="6"/>
  <c r="AA136" i="6"/>
  <c r="AA154" i="6"/>
  <c r="AB15" i="6"/>
  <c r="AB18" i="6"/>
  <c r="AB21" i="6"/>
  <c r="AB46" i="6"/>
  <c r="AB68" i="6"/>
  <c r="AB77" i="6"/>
  <c r="AB80" i="6"/>
  <c r="AB88" i="6"/>
  <c r="AB89" i="6"/>
  <c r="AB90" i="6"/>
  <c r="AB92" i="6"/>
  <c r="AB115" i="6"/>
  <c r="E10" i="7"/>
  <c r="D10" i="7"/>
  <c r="C10" i="7"/>
  <c r="B10" i="7"/>
  <c r="AC139" i="7"/>
  <c r="AA139" i="7"/>
  <c r="AC138" i="7"/>
  <c r="AA138" i="7"/>
  <c r="AC136" i="7"/>
  <c r="AA136" i="7"/>
  <c r="AC135" i="7"/>
  <c r="AA135" i="7"/>
  <c r="AC133" i="7"/>
  <c r="AA133" i="7"/>
  <c r="AC132" i="7"/>
  <c r="AA132" i="7"/>
  <c r="E109" i="9"/>
  <c r="D109" i="9"/>
  <c r="C109" i="9"/>
  <c r="B109" i="9"/>
  <c r="E48" i="9"/>
  <c r="D48" i="9"/>
  <c r="C48" i="9"/>
  <c r="B48" i="9"/>
  <c r="E11" i="9"/>
  <c r="D11" i="9"/>
  <c r="B11" i="9"/>
  <c r="C11" i="9"/>
  <c r="R14" i="8"/>
  <c r="U14" i="8"/>
  <c r="U15" i="8"/>
  <c r="U17" i="8"/>
  <c r="R18" i="8"/>
  <c r="U18" i="8"/>
  <c r="U19" i="8"/>
  <c r="U22" i="8"/>
  <c r="R23" i="8"/>
  <c r="U23" i="8"/>
  <c r="R24" i="8"/>
  <c r="U24" i="8"/>
  <c r="R25" i="8"/>
  <c r="U25" i="8"/>
  <c r="R26" i="8"/>
  <c r="U26" i="8"/>
  <c r="R27" i="8"/>
  <c r="U27" i="8"/>
  <c r="R28" i="8"/>
  <c r="U28" i="8"/>
  <c r="R29" i="8"/>
  <c r="U29" i="8"/>
  <c r="R30" i="8"/>
  <c r="U30" i="8"/>
  <c r="R31" i="8"/>
  <c r="U31" i="8"/>
  <c r="R32" i="8"/>
  <c r="U32" i="8"/>
  <c r="R33" i="8"/>
  <c r="U33" i="8"/>
  <c r="R34" i="8"/>
  <c r="U34" i="8"/>
  <c r="R35" i="8"/>
  <c r="U35" i="8"/>
  <c r="R36" i="8"/>
  <c r="U36" i="8"/>
  <c r="R37" i="8"/>
  <c r="U37" i="8"/>
  <c r="R38" i="8"/>
  <c r="U38" i="8"/>
  <c r="R39" i="8"/>
  <c r="U39" i="8"/>
  <c r="R40" i="8"/>
  <c r="U40" i="8"/>
  <c r="R41" i="8"/>
  <c r="U41" i="8"/>
  <c r="R42" i="8"/>
  <c r="U42" i="8"/>
  <c r="R43" i="8"/>
  <c r="U43" i="8"/>
  <c r="R44" i="8"/>
  <c r="U44" i="8"/>
  <c r="R45" i="8"/>
  <c r="U45" i="8"/>
  <c r="R46" i="8"/>
  <c r="U46" i="8"/>
  <c r="U47" i="8"/>
  <c r="U51" i="8"/>
  <c r="R52" i="8"/>
  <c r="U52" i="8"/>
  <c r="R53" i="8"/>
  <c r="U53" i="8"/>
  <c r="U55" i="8"/>
  <c r="R56" i="8"/>
  <c r="U56" i="8"/>
  <c r="R57" i="8"/>
  <c r="U57" i="8"/>
  <c r="U58" i="8"/>
  <c r="U59" i="8"/>
  <c r="R60" i="8"/>
  <c r="U60" i="8"/>
  <c r="R61" i="8"/>
  <c r="U61" i="8"/>
  <c r="U63" i="8"/>
  <c r="R64" i="8"/>
  <c r="U64" i="8"/>
  <c r="U66" i="8"/>
  <c r="R67" i="8"/>
  <c r="U67" i="8"/>
  <c r="U69" i="8"/>
  <c r="R70" i="8"/>
  <c r="U70" i="8"/>
  <c r="R71" i="8"/>
  <c r="U71" i="8"/>
  <c r="R72" i="8"/>
  <c r="U72" i="8"/>
  <c r="U75" i="8"/>
  <c r="R76" i="8"/>
  <c r="U76" i="8"/>
  <c r="R77" i="8"/>
  <c r="U77" i="8"/>
  <c r="U80" i="8"/>
  <c r="R81" i="8"/>
  <c r="U81" i="8"/>
  <c r="R82" i="8"/>
  <c r="U82" i="8"/>
  <c r="R83" i="8"/>
  <c r="U83" i="8"/>
  <c r="R84" i="8"/>
  <c r="U84" i="8"/>
  <c r="U102" i="8"/>
  <c r="U104" i="8"/>
  <c r="R103" i="8"/>
  <c r="U103" i="8"/>
  <c r="U106" i="8"/>
  <c r="R107" i="8"/>
  <c r="U107" i="8"/>
  <c r="R108" i="8"/>
  <c r="U108" i="8"/>
  <c r="R109" i="8"/>
  <c r="U109" i="8"/>
  <c r="R110" i="8"/>
  <c r="U110" i="8"/>
  <c r="R111" i="8"/>
  <c r="U111" i="8"/>
  <c r="R112" i="8"/>
  <c r="U112" i="8"/>
  <c r="U116" i="8"/>
  <c r="R117" i="8"/>
  <c r="U117" i="8"/>
  <c r="U119" i="8"/>
  <c r="R120" i="8"/>
  <c r="U120" i="8"/>
  <c r="U122" i="8"/>
  <c r="R123" i="8"/>
  <c r="U123" i="8"/>
  <c r="U125" i="8"/>
  <c r="R126" i="8"/>
  <c r="U126" i="8"/>
  <c r="U128" i="8"/>
  <c r="R129" i="8"/>
  <c r="U129" i="8"/>
  <c r="U131" i="8"/>
  <c r="R132" i="8"/>
  <c r="U132" i="8"/>
  <c r="R133" i="8"/>
  <c r="U133" i="8"/>
  <c r="U136" i="8"/>
  <c r="U140" i="8"/>
  <c r="R141" i="8"/>
  <c r="U141" i="8"/>
  <c r="U142" i="8"/>
  <c r="U144" i="8"/>
  <c r="R145" i="8"/>
  <c r="U145" i="8"/>
  <c r="U146" i="8"/>
  <c r="U148" i="8"/>
  <c r="U153" i="8"/>
  <c r="U149" i="8"/>
  <c r="U150" i="8"/>
  <c r="U151" i="8"/>
  <c r="U152" i="8"/>
  <c r="U155" i="8"/>
  <c r="U156" i="8"/>
  <c r="U157" i="8"/>
  <c r="U158" i="8"/>
  <c r="V14" i="8"/>
  <c r="V15" i="8"/>
  <c r="R17" i="8"/>
  <c r="V17" i="8"/>
  <c r="V18" i="8"/>
  <c r="R19" i="8"/>
  <c r="V19" i="8"/>
  <c r="V20" i="8"/>
  <c r="R22" i="8"/>
  <c r="V22" i="8"/>
  <c r="V23" i="8"/>
  <c r="V24" i="8"/>
  <c r="V25" i="8"/>
  <c r="V26" i="8"/>
  <c r="V27" i="8"/>
  <c r="V28" i="8"/>
  <c r="V29" i="8"/>
  <c r="V30" i="8"/>
  <c r="V31" i="8"/>
  <c r="V32" i="8"/>
  <c r="V33" i="8"/>
  <c r="V34" i="8"/>
  <c r="V35" i="8"/>
  <c r="V36" i="8"/>
  <c r="V37" i="8"/>
  <c r="V38" i="8"/>
  <c r="V39" i="8"/>
  <c r="V40" i="8"/>
  <c r="V41" i="8"/>
  <c r="V42" i="8"/>
  <c r="V43" i="8"/>
  <c r="V44" i="8"/>
  <c r="V45" i="8"/>
  <c r="V46" i="8"/>
  <c r="R47" i="8"/>
  <c r="V47" i="8"/>
  <c r="R51" i="8"/>
  <c r="V51" i="8"/>
  <c r="V52" i="8"/>
  <c r="V53" i="8"/>
  <c r="R55" i="8"/>
  <c r="V55" i="8"/>
  <c r="V56" i="8"/>
  <c r="V57" i="8"/>
  <c r="V58" i="8"/>
  <c r="R59" i="8"/>
  <c r="V59" i="8"/>
  <c r="V60" i="8"/>
  <c r="V61" i="8"/>
  <c r="R63" i="8"/>
  <c r="V63" i="8"/>
  <c r="V64" i="8"/>
  <c r="V73" i="8"/>
  <c r="R66" i="8"/>
  <c r="V66" i="8"/>
  <c r="V67" i="8"/>
  <c r="R69" i="8"/>
  <c r="V69" i="8"/>
  <c r="V70" i="8"/>
  <c r="V71" i="8"/>
  <c r="V72" i="8"/>
  <c r="R75" i="8"/>
  <c r="V75" i="8"/>
  <c r="V78" i="8"/>
  <c r="V76" i="8"/>
  <c r="V77" i="8"/>
  <c r="R80" i="8"/>
  <c r="V80" i="8"/>
  <c r="V81" i="8"/>
  <c r="V82" i="8"/>
  <c r="V83" i="8"/>
  <c r="V84" i="8"/>
  <c r="R102" i="8"/>
  <c r="V102" i="8"/>
  <c r="V103" i="8"/>
  <c r="R106" i="8"/>
  <c r="V106" i="8"/>
  <c r="V107" i="8"/>
  <c r="V108" i="8"/>
  <c r="V109" i="8"/>
  <c r="V110" i="8"/>
  <c r="V111" i="8"/>
  <c r="V112" i="8"/>
  <c r="R116" i="8"/>
  <c r="V116" i="8"/>
  <c r="V117" i="8"/>
  <c r="R119" i="8"/>
  <c r="V119" i="8"/>
  <c r="V120" i="8"/>
  <c r="R122" i="8"/>
  <c r="V122" i="8"/>
  <c r="V123" i="8"/>
  <c r="R125" i="8"/>
  <c r="V125" i="8"/>
  <c r="V126" i="8"/>
  <c r="R128" i="8"/>
  <c r="V128" i="8"/>
  <c r="V129" i="8"/>
  <c r="R131" i="8"/>
  <c r="V131" i="8"/>
  <c r="V132" i="8"/>
  <c r="V133" i="8"/>
  <c r="V137" i="8"/>
  <c r="R140" i="8"/>
  <c r="V140" i="8"/>
  <c r="V142" i="8"/>
  <c r="V141" i="8"/>
  <c r="R144" i="8"/>
  <c r="V144" i="8"/>
  <c r="V146" i="8"/>
  <c r="V145" i="8"/>
  <c r="R148" i="8"/>
  <c r="V148" i="8"/>
  <c r="R149" i="8"/>
  <c r="V149" i="8"/>
  <c r="R150" i="8"/>
  <c r="V150" i="8"/>
  <c r="R151" i="8"/>
  <c r="V151" i="8"/>
  <c r="R152" i="8"/>
  <c r="V152" i="8"/>
  <c r="R155" i="8"/>
  <c r="V155" i="8"/>
  <c r="V158" i="8"/>
  <c r="R156" i="8"/>
  <c r="V156" i="8"/>
  <c r="R157" i="8"/>
  <c r="V157" i="8"/>
  <c r="S174" i="8"/>
  <c r="X174" i="8"/>
  <c r="X175" i="8"/>
  <c r="S177" i="8"/>
  <c r="X177" i="8"/>
  <c r="X178" i="8"/>
  <c r="X179" i="8"/>
  <c r="S180" i="8"/>
  <c r="X180" i="8"/>
  <c r="S182" i="8"/>
  <c r="X182" i="8"/>
  <c r="X183" i="8"/>
  <c r="X184" i="8"/>
  <c r="X185" i="8"/>
  <c r="X186" i="8"/>
  <c r="X187" i="8"/>
  <c r="X188" i="8"/>
  <c r="X189" i="8"/>
  <c r="S190" i="8"/>
  <c r="X190" i="8"/>
  <c r="X191" i="8"/>
  <c r="S193" i="8"/>
  <c r="X193" i="8"/>
  <c r="X194" i="8"/>
  <c r="X195" i="8"/>
  <c r="S198" i="8"/>
  <c r="X198" i="8"/>
  <c r="X200" i="8"/>
  <c r="X199" i="8"/>
  <c r="W174" i="8"/>
  <c r="S175" i="8"/>
  <c r="W175" i="8"/>
  <c r="W177" i="8"/>
  <c r="S178" i="8"/>
  <c r="W178" i="8"/>
  <c r="S179" i="8"/>
  <c r="W179" i="8"/>
  <c r="W180" i="8"/>
  <c r="W182" i="8"/>
  <c r="S183" i="8"/>
  <c r="W183" i="8"/>
  <c r="S184" i="8"/>
  <c r="W184" i="8"/>
  <c r="S185" i="8"/>
  <c r="W185" i="8"/>
  <c r="S186" i="8"/>
  <c r="W186" i="8"/>
  <c r="S187" i="8"/>
  <c r="W187" i="8"/>
  <c r="S188" i="8"/>
  <c r="W188" i="8"/>
  <c r="S189" i="8"/>
  <c r="W189" i="8"/>
  <c r="W190" i="8"/>
  <c r="S191" i="8"/>
  <c r="W191" i="8"/>
  <c r="W193" i="8"/>
  <c r="S194" i="8"/>
  <c r="W194" i="8"/>
  <c r="S195" i="8"/>
  <c r="W195" i="8"/>
  <c r="W198" i="8"/>
  <c r="W200" i="8"/>
  <c r="S199" i="8"/>
  <c r="W199" i="8"/>
  <c r="Q14" i="6"/>
  <c r="V14" i="6"/>
  <c r="V15" i="6"/>
  <c r="Q16" i="6"/>
  <c r="V16" i="6"/>
  <c r="Q17" i="6"/>
  <c r="V17" i="6"/>
  <c r="V18" i="6"/>
  <c r="V19" i="6"/>
  <c r="Q20" i="6"/>
  <c r="V20" i="6"/>
  <c r="V21" i="6"/>
  <c r="Q22" i="6"/>
  <c r="V22" i="6"/>
  <c r="Q23" i="6"/>
  <c r="V23" i="6"/>
  <c r="V24" i="6"/>
  <c r="V25" i="6"/>
  <c r="V26" i="6"/>
  <c r="Q28" i="6"/>
  <c r="V28" i="6"/>
  <c r="V29" i="6"/>
  <c r="V30" i="6"/>
  <c r="Q31" i="6"/>
  <c r="V31" i="6"/>
  <c r="V36" i="6"/>
  <c r="Q38" i="6"/>
  <c r="V38" i="6"/>
  <c r="Q40" i="6"/>
  <c r="V40" i="6"/>
  <c r="V41" i="6"/>
  <c r="V42" i="6"/>
  <c r="V43" i="6"/>
  <c r="V44" i="6"/>
  <c r="Q45" i="6"/>
  <c r="V45" i="6"/>
  <c r="V46" i="6"/>
  <c r="Q47" i="6"/>
  <c r="V47" i="6"/>
  <c r="Q48" i="6"/>
  <c r="V48" i="6"/>
  <c r="Q49" i="6"/>
  <c r="V49" i="6"/>
  <c r="Q50" i="6"/>
  <c r="V50" i="6"/>
  <c r="Q51" i="6"/>
  <c r="V51" i="6"/>
  <c r="V54" i="6"/>
  <c r="Q61" i="6"/>
  <c r="V61" i="6"/>
  <c r="Q62" i="6"/>
  <c r="V62" i="6"/>
  <c r="Q63" i="6"/>
  <c r="V63" i="6"/>
  <c r="Q64" i="6"/>
  <c r="V64" i="6"/>
  <c r="Q65" i="6"/>
  <c r="V65" i="6"/>
  <c r="Q66" i="6"/>
  <c r="V66" i="6"/>
  <c r="Q67" i="6"/>
  <c r="V67" i="6"/>
  <c r="V68" i="6"/>
  <c r="Q69" i="6"/>
  <c r="V69" i="6"/>
  <c r="Q71" i="6"/>
  <c r="V71" i="6"/>
  <c r="Q72" i="6"/>
  <c r="V72" i="6"/>
  <c r="V73" i="6"/>
  <c r="V74" i="6"/>
  <c r="V75" i="6"/>
  <c r="Q76" i="6"/>
  <c r="V76" i="6"/>
  <c r="V77" i="6"/>
  <c r="Q78" i="6"/>
  <c r="V78" i="6"/>
  <c r="Q79" i="6"/>
  <c r="V79" i="6"/>
  <c r="V80" i="6"/>
  <c r="V81" i="6"/>
  <c r="Q83" i="6"/>
  <c r="V83" i="6"/>
  <c r="Q84" i="6"/>
  <c r="V84" i="6"/>
  <c r="V85" i="6"/>
  <c r="V86" i="6"/>
  <c r="V87" i="6"/>
  <c r="V88" i="6"/>
  <c r="V89" i="6"/>
  <c r="V90" i="6"/>
  <c r="V91" i="6"/>
  <c r="V92" i="6"/>
  <c r="V93" i="6"/>
  <c r="V94" i="6"/>
  <c r="Q96" i="6"/>
  <c r="V96" i="6"/>
  <c r="V97" i="6"/>
  <c r="Q99" i="6"/>
  <c r="V99" i="6"/>
  <c r="Q100" i="6"/>
  <c r="V100" i="6"/>
  <c r="Q102" i="6"/>
  <c r="V102" i="6"/>
  <c r="V103" i="6"/>
  <c r="V104" i="6"/>
  <c r="Q106" i="6"/>
  <c r="V106" i="6"/>
  <c r="V107" i="6"/>
  <c r="Q108" i="6"/>
  <c r="V108" i="6"/>
  <c r="Q109" i="6"/>
  <c r="V109" i="6"/>
  <c r="Q110" i="6"/>
  <c r="V110" i="6"/>
  <c r="Q111" i="6"/>
  <c r="V111" i="6"/>
  <c r="V112" i="6"/>
  <c r="V113" i="6"/>
  <c r="V114" i="6"/>
  <c r="V115" i="6"/>
  <c r="Q116" i="6"/>
  <c r="V116" i="6"/>
  <c r="V117" i="6"/>
  <c r="Q118" i="6"/>
  <c r="V118" i="6"/>
  <c r="Q119" i="6"/>
  <c r="V119" i="6"/>
  <c r="Q120" i="6"/>
  <c r="V120" i="6"/>
  <c r="Q121" i="6"/>
  <c r="V121" i="6"/>
  <c r="Q122" i="6"/>
  <c r="V122" i="6"/>
  <c r="Q124" i="6"/>
  <c r="V124" i="6"/>
  <c r="V125" i="6"/>
  <c r="Q126" i="6"/>
  <c r="V126" i="6"/>
  <c r="Q128" i="6"/>
  <c r="V128" i="6"/>
  <c r="Q131" i="6"/>
  <c r="V131" i="6"/>
  <c r="V132" i="6"/>
  <c r="Q135" i="6"/>
  <c r="V135" i="6"/>
  <c r="V137" i="6"/>
  <c r="V136" i="6"/>
  <c r="Q140" i="6"/>
  <c r="V140" i="6"/>
  <c r="Q141" i="6"/>
  <c r="V141" i="6"/>
  <c r="Q142" i="6"/>
  <c r="V142" i="6"/>
  <c r="Q143" i="6"/>
  <c r="V143" i="6"/>
  <c r="Q145" i="6"/>
  <c r="V145" i="6"/>
  <c r="Q148" i="6"/>
  <c r="V148" i="6"/>
  <c r="V150" i="6"/>
  <c r="V151" i="6"/>
  <c r="V152" i="6"/>
  <c r="V153" i="6"/>
  <c r="V154" i="6"/>
  <c r="U14" i="6"/>
  <c r="Q15" i="6"/>
  <c r="U15" i="6"/>
  <c r="U16" i="6"/>
  <c r="U17" i="6"/>
  <c r="Q18" i="6"/>
  <c r="U18" i="6"/>
  <c r="U19" i="6"/>
  <c r="U20" i="6"/>
  <c r="Q21" i="6"/>
  <c r="U21" i="6"/>
  <c r="U22" i="6"/>
  <c r="U23" i="6"/>
  <c r="U24" i="6"/>
  <c r="U25" i="6"/>
  <c r="U26" i="6"/>
  <c r="U28" i="6"/>
  <c r="Q29" i="6"/>
  <c r="U29" i="6"/>
  <c r="Q30" i="6"/>
  <c r="U30" i="6"/>
  <c r="U31" i="6"/>
  <c r="U35" i="6"/>
  <c r="Q36" i="6"/>
  <c r="U36" i="6"/>
  <c r="U37" i="6"/>
  <c r="U38" i="6"/>
  <c r="U39" i="6"/>
  <c r="U40" i="6"/>
  <c r="Q42" i="6"/>
  <c r="U42" i="6"/>
  <c r="U45" i="6"/>
  <c r="U47" i="6"/>
  <c r="U48" i="6"/>
  <c r="U49" i="6"/>
  <c r="U50" i="6"/>
  <c r="U51" i="6"/>
  <c r="U52" i="6"/>
  <c r="U53" i="6"/>
  <c r="Q54" i="6"/>
  <c r="U54" i="6"/>
  <c r="U55" i="6"/>
  <c r="U57" i="6"/>
  <c r="U61" i="6"/>
  <c r="U62" i="6"/>
  <c r="U63" i="6"/>
  <c r="U64" i="6"/>
  <c r="U65" i="6"/>
  <c r="U66" i="6"/>
  <c r="U67" i="6"/>
  <c r="Q68" i="6"/>
  <c r="U68" i="6"/>
  <c r="U69" i="6"/>
  <c r="U71" i="6"/>
  <c r="U72" i="6"/>
  <c r="Q73" i="6"/>
  <c r="U73" i="6"/>
  <c r="Q74" i="6"/>
  <c r="U74" i="6"/>
  <c r="Q75" i="6"/>
  <c r="U75" i="6"/>
  <c r="U76" i="6"/>
  <c r="Q77" i="6"/>
  <c r="U77" i="6"/>
  <c r="U78" i="6"/>
  <c r="U79" i="6"/>
  <c r="Q80" i="6"/>
  <c r="U80" i="6"/>
  <c r="Q81" i="6"/>
  <c r="U81" i="6"/>
  <c r="U83" i="6"/>
  <c r="U84" i="6"/>
  <c r="Q85" i="6"/>
  <c r="U85" i="6"/>
  <c r="Q86" i="6"/>
  <c r="U86" i="6"/>
  <c r="Q87" i="6"/>
  <c r="U87" i="6"/>
  <c r="Q88" i="6"/>
  <c r="U88" i="6"/>
  <c r="Q89" i="6"/>
  <c r="U89" i="6"/>
  <c r="Q90" i="6"/>
  <c r="U90" i="6"/>
  <c r="Q91" i="6"/>
  <c r="U91" i="6"/>
  <c r="Q92" i="6"/>
  <c r="U92" i="6"/>
  <c r="Q93" i="6"/>
  <c r="U93" i="6"/>
  <c r="Q94" i="6"/>
  <c r="U94" i="6"/>
  <c r="U96" i="6"/>
  <c r="Q97" i="6"/>
  <c r="U97" i="6"/>
  <c r="U99" i="6"/>
  <c r="U100" i="6"/>
  <c r="U102" i="6"/>
  <c r="U103" i="6"/>
  <c r="Q104" i="6"/>
  <c r="U104" i="6"/>
  <c r="U106" i="6"/>
  <c r="Q107" i="6"/>
  <c r="U107" i="6"/>
  <c r="U108" i="6"/>
  <c r="U109" i="6"/>
  <c r="U110" i="6"/>
  <c r="U111" i="6"/>
  <c r="Q112" i="6"/>
  <c r="U112" i="6"/>
  <c r="Q113" i="6"/>
  <c r="U113" i="6"/>
  <c r="Q114" i="6"/>
  <c r="U114" i="6"/>
  <c r="Q115" i="6"/>
  <c r="U115" i="6"/>
  <c r="U116" i="6"/>
  <c r="Q117" i="6"/>
  <c r="U117" i="6"/>
  <c r="U118" i="6"/>
  <c r="U119" i="6"/>
  <c r="U120" i="6"/>
  <c r="U121" i="6"/>
  <c r="U122" i="6"/>
  <c r="U123" i="6"/>
  <c r="U129" i="6" s="1"/>
  <c r="U124" i="6"/>
  <c r="Q125" i="6"/>
  <c r="U125" i="6"/>
  <c r="U126" i="6"/>
  <c r="U128" i="6"/>
  <c r="U131" i="6"/>
  <c r="U133" i="6"/>
  <c r="Q132" i="6"/>
  <c r="U132" i="6"/>
  <c r="U135" i="6"/>
  <c r="Q136" i="6"/>
  <c r="U136" i="6"/>
  <c r="U139" i="6"/>
  <c r="U140" i="6"/>
  <c r="U146" i="6"/>
  <c r="U141" i="6"/>
  <c r="U142" i="6"/>
  <c r="U143" i="6"/>
  <c r="U144" i="6"/>
  <c r="U145" i="6"/>
  <c r="U148" i="6"/>
  <c r="Q151" i="6"/>
  <c r="U151" i="6"/>
  <c r="U152" i="6"/>
  <c r="Q153" i="6"/>
  <c r="U153" i="6"/>
  <c r="Q154" i="6"/>
  <c r="U154" i="6"/>
  <c r="U156" i="6"/>
  <c r="U157" i="6"/>
  <c r="U174" i="8"/>
  <c r="R175" i="8"/>
  <c r="U175" i="8"/>
  <c r="U177" i="8"/>
  <c r="U180" i="8"/>
  <c r="U182" i="8"/>
  <c r="R183" i="8"/>
  <c r="U183" i="8"/>
  <c r="R185" i="8"/>
  <c r="U185" i="8"/>
  <c r="R186" i="8"/>
  <c r="U186" i="8"/>
  <c r="R187" i="8"/>
  <c r="U187" i="8"/>
  <c r="R188" i="8"/>
  <c r="U188" i="8"/>
  <c r="U190" i="8"/>
  <c r="R191" i="8"/>
  <c r="U191" i="8"/>
  <c r="U193" i="8"/>
  <c r="R195" i="8"/>
  <c r="U195" i="8"/>
  <c r="U198" i="8"/>
  <c r="V175" i="8"/>
  <c r="R177" i="8"/>
  <c r="V177" i="8"/>
  <c r="V178" i="8"/>
  <c r="V179" i="8"/>
  <c r="R182" i="8"/>
  <c r="V182" i="8"/>
  <c r="V183" i="8"/>
  <c r="V184" i="8"/>
  <c r="V185" i="8"/>
  <c r="V186" i="8"/>
  <c r="V187" i="8"/>
  <c r="V188" i="8"/>
  <c r="V189" i="8"/>
  <c r="R190" i="8"/>
  <c r="V190" i="8"/>
  <c r="V191" i="8"/>
  <c r="R193" i="8"/>
  <c r="V193" i="8"/>
  <c r="V194" i="8"/>
  <c r="V195" i="8"/>
  <c r="V199" i="8"/>
  <c r="X14" i="8"/>
  <c r="X15" i="8"/>
  <c r="X18" i="8"/>
  <c r="X23" i="8"/>
  <c r="X24" i="8"/>
  <c r="X25" i="8"/>
  <c r="X26" i="8"/>
  <c r="X27" i="8"/>
  <c r="X28" i="8"/>
  <c r="X29" i="8"/>
  <c r="X30" i="8"/>
  <c r="X31" i="8"/>
  <c r="X32" i="8"/>
  <c r="X33" i="8"/>
  <c r="X34" i="8"/>
  <c r="X35" i="8"/>
  <c r="X36" i="8"/>
  <c r="X37" i="8"/>
  <c r="X38" i="8"/>
  <c r="X39" i="8"/>
  <c r="X40" i="8"/>
  <c r="X41" i="8"/>
  <c r="X42" i="8"/>
  <c r="X43" i="8"/>
  <c r="X44" i="8"/>
  <c r="X45" i="8"/>
  <c r="X46" i="8"/>
  <c r="X52" i="8"/>
  <c r="X53" i="8"/>
  <c r="X56" i="8"/>
  <c r="X57" i="8"/>
  <c r="X58" i="8"/>
  <c r="S59" i="8"/>
  <c r="X59" i="8"/>
  <c r="X60" i="8"/>
  <c r="X61" i="8"/>
  <c r="S63" i="8"/>
  <c r="X63" i="8"/>
  <c r="X64" i="8"/>
  <c r="S66" i="8"/>
  <c r="X66" i="8"/>
  <c r="X67" i="8"/>
  <c r="S69" i="8"/>
  <c r="X69" i="8"/>
  <c r="X70" i="8"/>
  <c r="X71" i="8"/>
  <c r="X72" i="8"/>
  <c r="X76" i="8"/>
  <c r="X77" i="8"/>
  <c r="X81" i="8"/>
  <c r="X82" i="8"/>
  <c r="X83" i="8"/>
  <c r="X84" i="8"/>
  <c r="X103" i="8"/>
  <c r="X107" i="8"/>
  <c r="X108" i="8"/>
  <c r="X109" i="8"/>
  <c r="X110" i="8"/>
  <c r="X111" i="8"/>
  <c r="X112" i="8"/>
  <c r="X117" i="8"/>
  <c r="X120" i="8"/>
  <c r="X123" i="8"/>
  <c r="X126" i="8"/>
  <c r="X129" i="8"/>
  <c r="X132" i="8"/>
  <c r="X133" i="8"/>
  <c r="S136" i="8"/>
  <c r="X136" i="8"/>
  <c r="X138" i="8"/>
  <c r="X137" i="8"/>
  <c r="X141" i="8"/>
  <c r="X145" i="8"/>
  <c r="S148" i="8"/>
  <c r="X148" i="8"/>
  <c r="S155" i="8"/>
  <c r="X155" i="8"/>
  <c r="S157" i="8"/>
  <c r="X157" i="8"/>
  <c r="W17" i="8"/>
  <c r="W19" i="8"/>
  <c r="W22" i="8"/>
  <c r="S26" i="8"/>
  <c r="W26" i="8"/>
  <c r="S29" i="8"/>
  <c r="W29" i="8"/>
  <c r="S32" i="8"/>
  <c r="W32" i="8"/>
  <c r="S38" i="8"/>
  <c r="W38" i="8"/>
  <c r="W47" i="8"/>
  <c r="W51" i="8"/>
  <c r="S52" i="8"/>
  <c r="W52" i="8"/>
  <c r="S53" i="8"/>
  <c r="W53" i="8"/>
  <c r="W55" i="8"/>
  <c r="W58" i="8"/>
  <c r="W59" i="8"/>
  <c r="S61" i="8"/>
  <c r="W61" i="8"/>
  <c r="W63" i="8"/>
  <c r="W66" i="8"/>
  <c r="W69" i="8"/>
  <c r="S70" i="8"/>
  <c r="W70" i="8"/>
  <c r="S72" i="8"/>
  <c r="W72" i="8"/>
  <c r="W75" i="8"/>
  <c r="W80" i="8"/>
  <c r="W102" i="8"/>
  <c r="W106" i="8"/>
  <c r="W116" i="8"/>
  <c r="W119" i="8"/>
  <c r="W122" i="8"/>
  <c r="W125" i="8"/>
  <c r="W128" i="8"/>
  <c r="W131" i="8"/>
  <c r="W136" i="8"/>
  <c r="W138" i="8"/>
  <c r="S137" i="8"/>
  <c r="W137" i="8"/>
  <c r="W140" i="8"/>
  <c r="S141" i="8"/>
  <c r="W141" i="8"/>
  <c r="W142" i="8"/>
  <c r="W144" i="8"/>
  <c r="W148" i="8"/>
  <c r="W149" i="8"/>
  <c r="W150" i="8"/>
  <c r="W151" i="8"/>
  <c r="W152" i="8"/>
  <c r="W155" i="8"/>
  <c r="W156" i="8"/>
  <c r="W157" i="8"/>
  <c r="R14" i="6"/>
  <c r="X14" i="6" s="1"/>
  <c r="X32" i="6" s="1"/>
  <c r="X15" i="6"/>
  <c r="R16" i="6"/>
  <c r="X16" i="6"/>
  <c r="R17" i="6"/>
  <c r="X17" i="6"/>
  <c r="X18" i="6"/>
  <c r="X19" i="6"/>
  <c r="X21" i="6"/>
  <c r="X24" i="6"/>
  <c r="X25" i="6"/>
  <c r="X26" i="6"/>
  <c r="X29" i="6"/>
  <c r="X30" i="6"/>
  <c r="R35" i="6"/>
  <c r="X35" i="6"/>
  <c r="X36" i="6"/>
  <c r="R37" i="6"/>
  <c r="X37" i="6"/>
  <c r="R38" i="6"/>
  <c r="X38" i="6"/>
  <c r="R39" i="6"/>
  <c r="X39" i="6"/>
  <c r="R40" i="6"/>
  <c r="X40" i="6"/>
  <c r="X41" i="6"/>
  <c r="X42" i="6"/>
  <c r="X43" i="6"/>
  <c r="X44" i="6"/>
  <c r="R45" i="6"/>
  <c r="X45" i="6"/>
  <c r="X46" i="6"/>
  <c r="R47" i="6"/>
  <c r="X47" i="6"/>
  <c r="R48" i="6"/>
  <c r="X48" i="6"/>
  <c r="R49" i="6"/>
  <c r="X49" i="6"/>
  <c r="R50" i="6"/>
  <c r="X50" i="6"/>
  <c r="R51" i="6"/>
  <c r="X51" i="6"/>
  <c r="R52" i="6"/>
  <c r="X52" i="6"/>
  <c r="R53" i="6"/>
  <c r="X53" i="6"/>
  <c r="X54" i="6"/>
  <c r="R55" i="6"/>
  <c r="X55" i="6"/>
  <c r="R57" i="6"/>
  <c r="X57" i="6"/>
  <c r="R61" i="6"/>
  <c r="X61" i="6"/>
  <c r="R65" i="6"/>
  <c r="X65" i="6"/>
  <c r="R66" i="6"/>
  <c r="X66" i="6"/>
  <c r="X68" i="6"/>
  <c r="R71" i="6"/>
  <c r="X71" i="6" s="1"/>
  <c r="X73" i="6"/>
  <c r="X74" i="6"/>
  <c r="X75" i="6"/>
  <c r="X77" i="6"/>
  <c r="R78" i="6"/>
  <c r="X78" i="6" s="1"/>
  <c r="X80" i="6"/>
  <c r="X81" i="6"/>
  <c r="R83" i="6"/>
  <c r="X83" i="6"/>
  <c r="X85" i="6"/>
  <c r="X86" i="6"/>
  <c r="X87" i="6"/>
  <c r="X88" i="6"/>
  <c r="X89" i="6"/>
  <c r="X90" i="6"/>
  <c r="X91" i="6"/>
  <c r="X92" i="6"/>
  <c r="X93" i="6"/>
  <c r="X94" i="6"/>
  <c r="X97" i="6"/>
  <c r="R102" i="6"/>
  <c r="X102" i="6"/>
  <c r="X103" i="6"/>
  <c r="X104" i="6"/>
  <c r="X107" i="6"/>
  <c r="R109" i="6"/>
  <c r="X109" i="6"/>
  <c r="R110" i="6"/>
  <c r="X110" i="6"/>
  <c r="R111" i="6"/>
  <c r="X111" i="6"/>
  <c r="X112" i="6"/>
  <c r="X113" i="6"/>
  <c r="X114" i="6"/>
  <c r="X115" i="6"/>
  <c r="R116" i="6"/>
  <c r="X116" i="6"/>
  <c r="X117" i="6"/>
  <c r="R118" i="6"/>
  <c r="X118" i="6"/>
  <c r="R119" i="6"/>
  <c r="X119" i="6"/>
  <c r="R120" i="6"/>
  <c r="X120" i="6"/>
  <c r="R121" i="6"/>
  <c r="X121" i="6"/>
  <c r="R122" i="6"/>
  <c r="X122" i="6"/>
  <c r="R123" i="6"/>
  <c r="X123" i="6" s="1"/>
  <c r="X125" i="6"/>
  <c r="R128" i="6"/>
  <c r="X128" i="6"/>
  <c r="X132" i="6"/>
  <c r="X136" i="6"/>
  <c r="R139" i="6"/>
  <c r="X139" i="6"/>
  <c r="R140" i="6"/>
  <c r="X140" i="6"/>
  <c r="R141" i="6"/>
  <c r="X141" i="6"/>
  <c r="R143" i="6"/>
  <c r="X143" i="6"/>
  <c r="R144" i="6"/>
  <c r="X144" i="6"/>
  <c r="R145" i="6"/>
  <c r="X145" i="6"/>
  <c r="X150" i="6"/>
  <c r="X151" i="6"/>
  <c r="X152" i="6"/>
  <c r="X153" i="6"/>
  <c r="X154" i="6"/>
  <c r="W14" i="6"/>
  <c r="R15" i="6"/>
  <c r="W15" i="6" s="1"/>
  <c r="W32" i="6" s="1"/>
  <c r="W16" i="6"/>
  <c r="W17" i="6"/>
  <c r="R18" i="6"/>
  <c r="W18" i="6"/>
  <c r="W19" i="6"/>
  <c r="W20" i="6"/>
  <c r="R21" i="6"/>
  <c r="W21" i="6"/>
  <c r="W22" i="6"/>
  <c r="W23" i="6"/>
  <c r="W24" i="6"/>
  <c r="W25" i="6"/>
  <c r="W26" i="6"/>
  <c r="W28" i="6"/>
  <c r="W31" i="6"/>
  <c r="W35" i="6"/>
  <c r="R36" i="6"/>
  <c r="W36" i="6"/>
  <c r="W37" i="6"/>
  <c r="W38" i="6"/>
  <c r="W39" i="6"/>
  <c r="W40" i="6"/>
  <c r="R41" i="6"/>
  <c r="W41" i="6"/>
  <c r="R42" i="6"/>
  <c r="W42" i="6"/>
  <c r="R43" i="6"/>
  <c r="W43" i="6"/>
  <c r="R44" i="6"/>
  <c r="W44" i="6"/>
  <c r="W45" i="6"/>
  <c r="R46" i="6"/>
  <c r="W46" i="6"/>
  <c r="W47" i="6"/>
  <c r="W48" i="6"/>
  <c r="W49" i="6"/>
  <c r="W50" i="6"/>
  <c r="W51" i="6"/>
  <c r="W52" i="6"/>
  <c r="W53" i="6"/>
  <c r="R54" i="6"/>
  <c r="W54" i="6"/>
  <c r="W55" i="6"/>
  <c r="W57" i="6"/>
  <c r="W61" i="6"/>
  <c r="W62" i="6"/>
  <c r="W129" i="6" s="1"/>
  <c r="W63" i="6"/>
  <c r="W64" i="6"/>
  <c r="W65" i="6"/>
  <c r="W66" i="6"/>
  <c r="W67" i="6"/>
  <c r="R68" i="6"/>
  <c r="W68" i="6"/>
  <c r="W69" i="6"/>
  <c r="W71" i="6"/>
  <c r="W72" i="6"/>
  <c r="R73" i="6"/>
  <c r="W73" i="6" s="1"/>
  <c r="W76" i="6"/>
  <c r="R77" i="6"/>
  <c r="W77" i="6" s="1"/>
  <c r="W78" i="6"/>
  <c r="W79" i="6"/>
  <c r="R80" i="6"/>
  <c r="W80" i="6" s="1"/>
  <c r="W83" i="6"/>
  <c r="W84" i="6"/>
  <c r="R86" i="6"/>
  <c r="W86" i="6"/>
  <c r="R88" i="6"/>
  <c r="W88" i="6" s="1"/>
  <c r="R89" i="6"/>
  <c r="W89" i="6" s="1"/>
  <c r="R90" i="6"/>
  <c r="W90" i="6" s="1"/>
  <c r="R93" i="6"/>
  <c r="W93" i="6" s="1"/>
  <c r="W96" i="6"/>
  <c r="W99" i="6"/>
  <c r="W100" i="6"/>
  <c r="W102" i="6"/>
  <c r="W103" i="6"/>
  <c r="R104" i="6"/>
  <c r="W104" i="6"/>
  <c r="W106" i="6"/>
  <c r="R107" i="6"/>
  <c r="W107" i="6"/>
  <c r="W108" i="6"/>
  <c r="W109" i="6"/>
  <c r="W110" i="6"/>
  <c r="W111" i="6"/>
  <c r="R112" i="6"/>
  <c r="W112" i="6"/>
  <c r="R114" i="6"/>
  <c r="W114" i="6"/>
  <c r="R115" i="6"/>
  <c r="W115" i="6"/>
  <c r="W116" i="6"/>
  <c r="W118" i="6"/>
  <c r="W119" i="6"/>
  <c r="W120" i="6"/>
  <c r="W121" i="6"/>
  <c r="W122" i="6"/>
  <c r="W123" i="6"/>
  <c r="W124" i="6"/>
  <c r="R125" i="6"/>
  <c r="W125" i="6"/>
  <c r="W126" i="6"/>
  <c r="W128" i="6"/>
  <c r="W131" i="6"/>
  <c r="W135" i="6"/>
  <c r="W137" i="6" s="1"/>
  <c r="R136" i="6"/>
  <c r="W136" i="6" s="1"/>
  <c r="W139" i="6"/>
  <c r="W140" i="6"/>
  <c r="W141" i="6"/>
  <c r="W142" i="6"/>
  <c r="W143" i="6"/>
  <c r="W144" i="6"/>
  <c r="W145" i="6"/>
  <c r="W148" i="6"/>
  <c r="W152" i="6"/>
  <c r="W156" i="6"/>
  <c r="W157" i="6"/>
  <c r="X14" i="4"/>
  <c r="U15" i="4"/>
  <c r="X15" i="4"/>
  <c r="X19" i="4"/>
  <c r="X23" i="4"/>
  <c r="X25" i="4"/>
  <c r="X33" i="4"/>
  <c r="X35" i="4"/>
  <c r="X34" i="4"/>
  <c r="X37" i="4"/>
  <c r="X38" i="4"/>
  <c r="X39" i="4"/>
  <c r="X40" i="4"/>
  <c r="X41" i="4"/>
  <c r="X42" i="4"/>
  <c r="X45" i="4"/>
  <c r="X46" i="4"/>
  <c r="X47" i="4"/>
  <c r="X48" i="4"/>
  <c r="X49" i="4"/>
  <c r="X50" i="4"/>
  <c r="X51" i="4"/>
  <c r="X54" i="4"/>
  <c r="X55" i="4"/>
  <c r="X56" i="4"/>
  <c r="X58" i="4"/>
  <c r="X64" i="4"/>
  <c r="X57" i="4"/>
  <c r="X60" i="4"/>
  <c r="X63" i="4"/>
  <c r="X61" i="4"/>
  <c r="X62" i="4"/>
  <c r="X80" i="4"/>
  <c r="X82" i="4"/>
  <c r="X84" i="4"/>
  <c r="X86" i="4"/>
  <c r="X88" i="4"/>
  <c r="X90" i="4"/>
  <c r="X92" i="4"/>
  <c r="X94" i="4"/>
  <c r="X95" i="4"/>
  <c r="X112" i="4"/>
  <c r="U114" i="4"/>
  <c r="X114" i="4"/>
  <c r="X116" i="4"/>
  <c r="X120" i="4"/>
  <c r="U121" i="4"/>
  <c r="X121" i="4"/>
  <c r="U122" i="4"/>
  <c r="X122" i="4"/>
  <c r="U123" i="4"/>
  <c r="X123" i="4"/>
  <c r="U124" i="4"/>
  <c r="X124" i="4"/>
  <c r="X127" i="4"/>
  <c r="X132" i="4"/>
  <c r="U133" i="4"/>
  <c r="X133" i="4"/>
  <c r="X153" i="4"/>
  <c r="U157" i="4"/>
  <c r="X157" i="4"/>
  <c r="U161" i="4"/>
  <c r="X161" i="4"/>
  <c r="U162" i="4"/>
  <c r="X162" i="4"/>
  <c r="U170" i="4"/>
  <c r="X170" i="4"/>
  <c r="U171" i="4"/>
  <c r="X171" i="4"/>
  <c r="U174" i="4"/>
  <c r="X174" i="4"/>
  <c r="U175" i="4"/>
  <c r="X175" i="4"/>
  <c r="U176" i="4"/>
  <c r="X176" i="4"/>
  <c r="X195" i="4"/>
  <c r="X196" i="4"/>
  <c r="U199" i="4"/>
  <c r="X199" i="4"/>
  <c r="X203" i="4"/>
  <c r="X204" i="4"/>
  <c r="U207" i="4"/>
  <c r="X207" i="4"/>
  <c r="U210" i="4"/>
  <c r="X210" i="4"/>
  <c r="U211" i="4"/>
  <c r="X211" i="4"/>
  <c r="U215" i="4"/>
  <c r="X215" i="4"/>
  <c r="U217" i="4"/>
  <c r="X217" i="4"/>
  <c r="U218" i="4"/>
  <c r="X218" i="4"/>
  <c r="U222" i="4"/>
  <c r="X222" i="4"/>
  <c r="U227" i="4"/>
  <c r="X227" i="4"/>
  <c r="U230" i="4"/>
  <c r="X230" i="4"/>
  <c r="U232" i="4"/>
  <c r="X232" i="4"/>
  <c r="U238" i="4"/>
  <c r="X238" i="4"/>
  <c r="U243" i="4"/>
  <c r="X243" i="4"/>
  <c r="U244" i="4"/>
  <c r="X244" i="4"/>
  <c r="U254" i="4"/>
  <c r="X254" i="4"/>
  <c r="U269" i="4"/>
  <c r="X269" i="4"/>
  <c r="U270" i="4"/>
  <c r="X270" i="4"/>
  <c r="U271" i="4"/>
  <c r="X271" i="4"/>
  <c r="U272" i="4"/>
  <c r="X272" i="4"/>
  <c r="U273" i="4"/>
  <c r="X273" i="4"/>
  <c r="U274" i="4"/>
  <c r="X274" i="4"/>
  <c r="U259" i="4"/>
  <c r="X259" i="4"/>
  <c r="U260" i="4"/>
  <c r="X260" i="4"/>
  <c r="U286" i="4"/>
  <c r="X286" i="4"/>
  <c r="U291" i="4"/>
  <c r="X291" i="4"/>
  <c r="U292" i="4"/>
  <c r="X292" i="4"/>
  <c r="U295" i="4"/>
  <c r="X295" i="4"/>
  <c r="X296" i="4"/>
  <c r="U298" i="4"/>
  <c r="X298" i="4"/>
  <c r="U304" i="4"/>
  <c r="X304" i="4"/>
  <c r="U323" i="4"/>
  <c r="X323" i="4"/>
  <c r="U324" i="4"/>
  <c r="X324" i="4"/>
  <c r="U328" i="4"/>
  <c r="X328" i="4"/>
  <c r="U329" i="4"/>
  <c r="X329" i="4"/>
  <c r="U332" i="4"/>
  <c r="X332" i="4"/>
  <c r="U14" i="4"/>
  <c r="Y14" i="4"/>
  <c r="Y17" i="4"/>
  <c r="Y15" i="4"/>
  <c r="Y16" i="4"/>
  <c r="Y20" i="4"/>
  <c r="Y24" i="4"/>
  <c r="U33" i="4"/>
  <c r="Y33" i="4"/>
  <c r="U40" i="4"/>
  <c r="Y40" i="4"/>
  <c r="U48" i="4"/>
  <c r="Y48" i="4"/>
  <c r="U54" i="4"/>
  <c r="Y54" i="4"/>
  <c r="U60" i="4"/>
  <c r="Y60" i="4"/>
  <c r="U61" i="4"/>
  <c r="Y61" i="4"/>
  <c r="U80" i="4"/>
  <c r="Y80" i="4"/>
  <c r="U84" i="4"/>
  <c r="Y84" i="4"/>
  <c r="U94" i="4"/>
  <c r="Y94" i="4"/>
  <c r="U95" i="4"/>
  <c r="Y95" i="4"/>
  <c r="U112" i="4"/>
  <c r="Y112" i="4"/>
  <c r="Y113" i="4"/>
  <c r="Y114" i="4"/>
  <c r="Y115" i="4"/>
  <c r="Y117" i="4"/>
  <c r="U120" i="4"/>
  <c r="Y120" i="4"/>
  <c r="Y125" i="4"/>
  <c r="Y121" i="4"/>
  <c r="Y122" i="4"/>
  <c r="Y123" i="4"/>
  <c r="Y124" i="4"/>
  <c r="U127" i="4"/>
  <c r="Y127" i="4"/>
  <c r="Y130" i="4"/>
  <c r="Y128" i="4"/>
  <c r="Y129" i="4"/>
  <c r="Y133" i="4"/>
  <c r="Y134" i="4"/>
  <c r="Y154" i="4"/>
  <c r="Y155" i="4"/>
  <c r="Y156" i="4"/>
  <c r="Y157" i="4"/>
  <c r="Y158" i="4"/>
  <c r="Y161" i="4"/>
  <c r="Y163" i="4"/>
  <c r="Y162" i="4"/>
  <c r="Y165" i="4"/>
  <c r="Y166" i="4"/>
  <c r="Y169" i="4"/>
  <c r="Y170" i="4"/>
  <c r="Y171" i="4"/>
  <c r="Y172" i="4"/>
  <c r="Y174" i="4"/>
  <c r="Y177" i="4"/>
  <c r="Y175" i="4"/>
  <c r="Y176" i="4"/>
  <c r="U195" i="4"/>
  <c r="Y195" i="4"/>
  <c r="Y199" i="4"/>
  <c r="Y200" i="4"/>
  <c r="U203" i="4"/>
  <c r="Y203" i="4"/>
  <c r="Y207" i="4"/>
  <c r="Y208" i="4"/>
  <c r="Y209" i="4"/>
  <c r="Y212" i="4"/>
  <c r="Y210" i="4"/>
  <c r="Y211" i="4"/>
  <c r="Y214" i="4"/>
  <c r="Y215" i="4"/>
  <c r="Y220" i="4"/>
  <c r="Y216" i="4"/>
  <c r="Y217" i="4"/>
  <c r="Y218" i="4"/>
  <c r="Y219" i="4"/>
  <c r="Y222" i="4"/>
  <c r="Y223" i="4"/>
  <c r="Y224" i="4"/>
  <c r="Y225" i="4"/>
  <c r="Y226" i="4"/>
  <c r="Y227" i="4"/>
  <c r="Y230" i="4"/>
  <c r="Y236" i="4"/>
  <c r="Y231" i="4"/>
  <c r="Y232" i="4"/>
  <c r="Y233" i="4"/>
  <c r="Y234" i="4"/>
  <c r="Y235" i="4"/>
  <c r="Y238" i="4"/>
  <c r="Y239" i="4"/>
  <c r="Y246" i="4"/>
  <c r="Y240" i="4"/>
  <c r="Y241" i="4"/>
  <c r="Y242" i="4"/>
  <c r="Y243" i="4"/>
  <c r="Y244" i="4"/>
  <c r="Y245" i="4"/>
  <c r="Y263" i="4"/>
  <c r="Y264" i="4"/>
  <c r="Y253" i="4"/>
  <c r="Y255" i="4"/>
  <c r="Y254" i="4"/>
  <c r="Y269" i="4"/>
  <c r="Y270" i="4"/>
  <c r="Y271" i="4"/>
  <c r="Y272" i="4"/>
  <c r="Y273" i="4"/>
  <c r="Y274" i="4"/>
  <c r="Y277" i="4"/>
  <c r="Y278" i="4"/>
  <c r="Y279" i="4"/>
  <c r="Y282" i="4"/>
  <c r="Y284" i="4"/>
  <c r="Y283" i="4"/>
  <c r="Y257" i="4"/>
  <c r="Y258" i="4"/>
  <c r="Y259" i="4"/>
  <c r="Y261" i="4"/>
  <c r="Y260" i="4"/>
  <c r="Y286" i="4"/>
  <c r="Y287" i="4"/>
  <c r="Y288" i="4"/>
  <c r="Y290" i="4"/>
  <c r="Y291" i="4"/>
  <c r="Y292" i="4"/>
  <c r="Y295" i="4"/>
  <c r="Y296" i="4"/>
  <c r="Y298" i="4"/>
  <c r="Y299" i="4"/>
  <c r="Y302" i="4"/>
  <c r="Y305" i="4"/>
  <c r="Y303" i="4"/>
  <c r="Y304" i="4"/>
  <c r="Y323" i="4"/>
  <c r="Y324" i="4"/>
  <c r="Y325" i="4"/>
  <c r="Y326" i="4"/>
  <c r="Y327" i="4"/>
  <c r="Y328" i="4"/>
  <c r="Y329" i="4"/>
  <c r="Y330" i="4"/>
  <c r="Y331" i="4"/>
  <c r="Y332" i="4"/>
  <c r="V14" i="4"/>
  <c r="AA14" i="4"/>
  <c r="AA15" i="4"/>
  <c r="AA16" i="4"/>
  <c r="AA20" i="4"/>
  <c r="V23" i="4"/>
  <c r="AA23" i="4"/>
  <c r="AA25" i="4"/>
  <c r="AA24" i="4"/>
  <c r="V37" i="4"/>
  <c r="AA37" i="4"/>
  <c r="V38" i="4"/>
  <c r="AA38" i="4"/>
  <c r="V40" i="4"/>
  <c r="AA40" i="4"/>
  <c r="V41" i="4"/>
  <c r="AA41" i="4"/>
  <c r="V42" i="4"/>
  <c r="AA42" i="4"/>
  <c r="V48" i="4"/>
  <c r="AA48" i="4"/>
  <c r="V51" i="4"/>
  <c r="AA51" i="4"/>
  <c r="V54" i="4"/>
  <c r="AA54" i="4"/>
  <c r="V55" i="4"/>
  <c r="AA55" i="4"/>
  <c r="V56" i="4"/>
  <c r="AA56" i="4" s="1"/>
  <c r="V60" i="4"/>
  <c r="AA60" i="4"/>
  <c r="V62" i="4"/>
  <c r="AA62" i="4"/>
  <c r="V80" i="4"/>
  <c r="AA80" i="4"/>
  <c r="V82" i="4"/>
  <c r="AA82" i="4"/>
  <c r="V84" i="4"/>
  <c r="AA84" i="4"/>
  <c r="V86" i="4"/>
  <c r="AA86" i="4"/>
  <c r="V88" i="4"/>
  <c r="AA88" i="4"/>
  <c r="V90" i="4"/>
  <c r="AA90" i="4"/>
  <c r="V92" i="4"/>
  <c r="AA92" i="4"/>
  <c r="V94" i="4"/>
  <c r="AA94" i="4"/>
  <c r="V95" i="4"/>
  <c r="AA95" i="4"/>
  <c r="V112" i="4"/>
  <c r="AA112" i="4"/>
  <c r="AA118" i="4"/>
  <c r="AA113" i="4"/>
  <c r="AA114" i="4"/>
  <c r="AA115" i="4"/>
  <c r="V116" i="4"/>
  <c r="AA116" i="4"/>
  <c r="AA117" i="4"/>
  <c r="V120" i="4"/>
  <c r="AA120" i="4"/>
  <c r="AA125" i="4"/>
  <c r="AA121" i="4"/>
  <c r="AA122" i="4"/>
  <c r="AA123" i="4"/>
  <c r="AA124" i="4"/>
  <c r="V127" i="4"/>
  <c r="AA127" i="4"/>
  <c r="AA130" i="4"/>
  <c r="AA128" i="4"/>
  <c r="AA129" i="4"/>
  <c r="AA133" i="4"/>
  <c r="AA134" i="4"/>
  <c r="V153" i="4"/>
  <c r="AA153" i="4"/>
  <c r="AA154" i="4"/>
  <c r="AA155" i="4"/>
  <c r="AA159" i="4"/>
  <c r="AA156" i="4"/>
  <c r="AA157" i="4"/>
  <c r="AA158" i="4"/>
  <c r="AA161" i="4"/>
  <c r="AA162" i="4"/>
  <c r="AA165" i="4"/>
  <c r="AA166" i="4"/>
  <c r="AA167" i="4"/>
  <c r="AA169" i="4"/>
  <c r="AA170" i="4"/>
  <c r="AA171" i="4"/>
  <c r="AA174" i="4"/>
  <c r="AA175" i="4"/>
  <c r="AA176" i="4"/>
  <c r="V196" i="4"/>
  <c r="AA196" i="4"/>
  <c r="AA199" i="4"/>
  <c r="AA200" i="4"/>
  <c r="AA201" i="4"/>
  <c r="V203" i="4"/>
  <c r="AA203" i="4"/>
  <c r="AA205" i="4"/>
  <c r="V204" i="4"/>
  <c r="AA204" i="4"/>
  <c r="AA207" i="4"/>
  <c r="AA208" i="4"/>
  <c r="AA209" i="4"/>
  <c r="AA210" i="4"/>
  <c r="AA211" i="4"/>
  <c r="AA214" i="4"/>
  <c r="AA215" i="4"/>
  <c r="AA216" i="4"/>
  <c r="AA217" i="4"/>
  <c r="AA218" i="4"/>
  <c r="AA219" i="4"/>
  <c r="AA222" i="4"/>
  <c r="AA223" i="4"/>
  <c r="AA224" i="4"/>
  <c r="AA225" i="4"/>
  <c r="AA226" i="4"/>
  <c r="AA228" i="4"/>
  <c r="AA227" i="4"/>
  <c r="AA230" i="4"/>
  <c r="AA231" i="4"/>
  <c r="AA232" i="4"/>
  <c r="AA233" i="4"/>
  <c r="AA234" i="4"/>
  <c r="AA235" i="4"/>
  <c r="AA238" i="4"/>
  <c r="AA239" i="4"/>
  <c r="AA240" i="4"/>
  <c r="AA241" i="4"/>
  <c r="AA242" i="4"/>
  <c r="AA243" i="4"/>
  <c r="AA244" i="4"/>
  <c r="AA245" i="4"/>
  <c r="AA263" i="4"/>
  <c r="AA264" i="4"/>
  <c r="AA253" i="4"/>
  <c r="AA255" i="4"/>
  <c r="AA254" i="4"/>
  <c r="AA269" i="4"/>
  <c r="AA270" i="4"/>
  <c r="AA271" i="4"/>
  <c r="AA272" i="4"/>
  <c r="AA273" i="4"/>
  <c r="AA274" i="4"/>
  <c r="AA277" i="4"/>
  <c r="AA280" i="4"/>
  <c r="AA278" i="4"/>
  <c r="AA279" i="4"/>
  <c r="AA282" i="4"/>
  <c r="AA284" i="4"/>
  <c r="AA283" i="4"/>
  <c r="AA257" i="4"/>
  <c r="AA258" i="4"/>
  <c r="AA259" i="4"/>
  <c r="AA260" i="4"/>
  <c r="AA286" i="4"/>
  <c r="AA287" i="4"/>
  <c r="AA290" i="4"/>
  <c r="AA291" i="4"/>
  <c r="AA292" i="4"/>
  <c r="AA295" i="4"/>
  <c r="AA296" i="4"/>
  <c r="AA298" i="4"/>
  <c r="AA299" i="4"/>
  <c r="AA302" i="4"/>
  <c r="AA303" i="4"/>
  <c r="AA304" i="4"/>
  <c r="AA323" i="4"/>
  <c r="AA324" i="4"/>
  <c r="AA325" i="4"/>
  <c r="AA326" i="4"/>
  <c r="AA327" i="4"/>
  <c r="AA328" i="4"/>
  <c r="AA329" i="4"/>
  <c r="AA330" i="4"/>
  <c r="AA331" i="4"/>
  <c r="AA332" i="4"/>
  <c r="Z14" i="4"/>
  <c r="Z17" i="4"/>
  <c r="V16" i="4"/>
  <c r="Z16" i="4"/>
  <c r="Z19" i="4"/>
  <c r="V20" i="4"/>
  <c r="Z20" i="4"/>
  <c r="Z23" i="4"/>
  <c r="Z33" i="4"/>
  <c r="Z34" i="4"/>
  <c r="Z35" i="4"/>
  <c r="Z37" i="4"/>
  <c r="Z38" i="4"/>
  <c r="Z43" i="4"/>
  <c r="Z39" i="4"/>
  <c r="Z40" i="4"/>
  <c r="Z41" i="4"/>
  <c r="Z42" i="4"/>
  <c r="Z45" i="4"/>
  <c r="Z46" i="4"/>
  <c r="Z47" i="4"/>
  <c r="Z52" i="4" s="1"/>
  <c r="Z64" i="4" s="1"/>
  <c r="Z48" i="4"/>
  <c r="Z49" i="4"/>
  <c r="Z50" i="4"/>
  <c r="Z51" i="4"/>
  <c r="Z54" i="4"/>
  <c r="Z55" i="4"/>
  <c r="Z56" i="4"/>
  <c r="Z57" i="4"/>
  <c r="Z60" i="4"/>
  <c r="Z61" i="4"/>
  <c r="Z62" i="4"/>
  <c r="Z80" i="4"/>
  <c r="Z82" i="4"/>
  <c r="Z84" i="4"/>
  <c r="Z86" i="4"/>
  <c r="Z88" i="4"/>
  <c r="Z90" i="4"/>
  <c r="Z92" i="4"/>
  <c r="Z94" i="4"/>
  <c r="Z95" i="4"/>
  <c r="Z112" i="4"/>
  <c r="V114" i="4"/>
  <c r="Z114" i="4"/>
  <c r="Z116" i="4"/>
  <c r="V117" i="4"/>
  <c r="Z117" i="4"/>
  <c r="Z120" i="4"/>
  <c r="V121" i="4"/>
  <c r="Z121" i="4"/>
  <c r="V122" i="4"/>
  <c r="Z122" i="4"/>
  <c r="V123" i="4"/>
  <c r="Z123" i="4"/>
  <c r="V124" i="4"/>
  <c r="Z124" i="4"/>
  <c r="Z127" i="4"/>
  <c r="V128" i="4"/>
  <c r="Z128" i="4"/>
  <c r="Z130" i="4"/>
  <c r="V129" i="4"/>
  <c r="Z129" i="4"/>
  <c r="Z132" i="4"/>
  <c r="V133" i="4"/>
  <c r="Z133" i="4"/>
  <c r="Z135" i="4"/>
  <c r="V134" i="4"/>
  <c r="Z134" i="4"/>
  <c r="Z153" i="4"/>
  <c r="V155" i="4"/>
  <c r="Z155" i="4"/>
  <c r="V156" i="4"/>
  <c r="Z156" i="4"/>
  <c r="V157" i="4"/>
  <c r="Z157" i="4"/>
  <c r="V158" i="4"/>
  <c r="Z158" i="4"/>
  <c r="V161" i="4"/>
  <c r="Z161" i="4"/>
  <c r="V162" i="4"/>
  <c r="Z162" i="4"/>
  <c r="V165" i="4"/>
  <c r="Z165" i="4"/>
  <c r="Z167" i="4"/>
  <c r="V166" i="4"/>
  <c r="Z166" i="4"/>
  <c r="V169" i="4"/>
  <c r="Z169" i="4"/>
  <c r="V170" i="4"/>
  <c r="Z170" i="4"/>
  <c r="V171" i="4"/>
  <c r="Z171" i="4"/>
  <c r="V174" i="4"/>
  <c r="Z174" i="4"/>
  <c r="V175" i="4"/>
  <c r="Z175" i="4"/>
  <c r="V176" i="4"/>
  <c r="Z176" i="4"/>
  <c r="Z195" i="4"/>
  <c r="Z196" i="4"/>
  <c r="V199" i="4"/>
  <c r="Z199" i="4"/>
  <c r="Z201" i="4"/>
  <c r="Z203" i="4"/>
  <c r="Z205" i="4"/>
  <c r="Z204" i="4"/>
  <c r="V207" i="4"/>
  <c r="Z207" i="4"/>
  <c r="V208" i="4"/>
  <c r="Z208" i="4"/>
  <c r="V209" i="4"/>
  <c r="Z209" i="4"/>
  <c r="V210" i="4"/>
  <c r="Z210" i="4"/>
  <c r="V211" i="4"/>
  <c r="Z211" i="4"/>
  <c r="V214" i="4"/>
  <c r="Z214" i="4"/>
  <c r="V215" i="4"/>
  <c r="Z215" i="4"/>
  <c r="V216" i="4"/>
  <c r="Z216" i="4"/>
  <c r="V218" i="4"/>
  <c r="Z218" i="4"/>
  <c r="V222" i="4"/>
  <c r="Z222" i="4"/>
  <c r="V223" i="4"/>
  <c r="Z223" i="4"/>
  <c r="V224" i="4"/>
  <c r="Z224" i="4"/>
  <c r="V225" i="4"/>
  <c r="Z225" i="4"/>
  <c r="V226" i="4"/>
  <c r="Z226" i="4"/>
  <c r="V227" i="4"/>
  <c r="Z227" i="4"/>
  <c r="V230" i="4"/>
  <c r="Z230" i="4"/>
  <c r="V232" i="4"/>
  <c r="Z232" i="4"/>
  <c r="V233" i="4"/>
  <c r="Z233" i="4"/>
  <c r="V234" i="4"/>
  <c r="Z234" i="4"/>
  <c r="V238" i="4"/>
  <c r="Z238" i="4"/>
  <c r="V239" i="4"/>
  <c r="Z239" i="4"/>
  <c r="V240" i="4"/>
  <c r="Z240" i="4"/>
  <c r="V243" i="4"/>
  <c r="Z243" i="4"/>
  <c r="V245" i="4"/>
  <c r="Z245" i="4"/>
  <c r="V263" i="4"/>
  <c r="Z263" i="4"/>
  <c r="Z264" i="4"/>
  <c r="V253" i="4"/>
  <c r="Z253" i="4"/>
  <c r="Z255" i="4"/>
  <c r="V254" i="4"/>
  <c r="Z254" i="4"/>
  <c r="V270" i="4"/>
  <c r="Z270" i="4"/>
  <c r="V272" i="4"/>
  <c r="Z272" i="4"/>
  <c r="V273" i="4"/>
  <c r="Z273" i="4"/>
  <c r="V274" i="4"/>
  <c r="Z274" i="4"/>
  <c r="V277" i="4"/>
  <c r="Z277" i="4"/>
  <c r="V279" i="4"/>
  <c r="Z279" i="4"/>
  <c r="V282" i="4"/>
  <c r="Z282" i="4"/>
  <c r="V283" i="4"/>
  <c r="Z283" i="4"/>
  <c r="V257" i="4"/>
  <c r="Z257" i="4"/>
  <c r="Z259" i="4"/>
  <c r="V260" i="4"/>
  <c r="Z260" i="4"/>
  <c r="V286" i="4"/>
  <c r="Z286" i="4"/>
  <c r="Z288" i="4"/>
  <c r="V290" i="4"/>
  <c r="Z290" i="4"/>
  <c r="Z293" i="4"/>
  <c r="V291" i="4"/>
  <c r="Z291" i="4"/>
  <c r="V292" i="4"/>
  <c r="Z292" i="4"/>
  <c r="V295" i="4"/>
  <c r="Z295" i="4"/>
  <c r="Z296" i="4"/>
  <c r="V298" i="4"/>
  <c r="Z298" i="4"/>
  <c r="Z300" i="4"/>
  <c r="V299" i="4"/>
  <c r="Z299" i="4"/>
  <c r="V302" i="4"/>
  <c r="Z302" i="4"/>
  <c r="V303" i="4"/>
  <c r="Z303" i="4"/>
  <c r="V304" i="4"/>
  <c r="Z304" i="4"/>
  <c r="V323" i="4"/>
  <c r="Z323" i="4"/>
  <c r="V324" i="4"/>
  <c r="Z324" i="4"/>
  <c r="V325" i="4"/>
  <c r="Z325" i="4"/>
  <c r="V326" i="4"/>
  <c r="Z326" i="4"/>
  <c r="V327" i="4"/>
  <c r="Z327" i="4"/>
  <c r="V328" i="4"/>
  <c r="Z328" i="4"/>
  <c r="V329" i="4"/>
  <c r="Z329" i="4"/>
  <c r="V330" i="4"/>
  <c r="Z330" i="4"/>
  <c r="V331" i="4"/>
  <c r="Z331" i="4"/>
  <c r="V332" i="4"/>
  <c r="Z332" i="4"/>
  <c r="Q18" i="4"/>
  <c r="Q22" i="4"/>
  <c r="Q26" i="4"/>
  <c r="Q27" i="4"/>
  <c r="Q31" i="4"/>
  <c r="Q36" i="4"/>
  <c r="Q44" i="4"/>
  <c r="Q53" i="4"/>
  <c r="Q59" i="4"/>
  <c r="I266" i="4"/>
  <c r="U250" i="4"/>
  <c r="X250" i="4" s="1"/>
  <c r="U249" i="4"/>
  <c r="X249" i="4"/>
  <c r="U248" i="4"/>
  <c r="X248" i="4" s="1"/>
  <c r="U32" i="4"/>
  <c r="Y32" i="4"/>
  <c r="AA266" i="4"/>
  <c r="AA267" i="4"/>
  <c r="Y266" i="4"/>
  <c r="Y267" i="4"/>
  <c r="AA248" i="4"/>
  <c r="AA249" i="4"/>
  <c r="AA250" i="4"/>
  <c r="Y248" i="4"/>
  <c r="Y249" i="4"/>
  <c r="Y250" i="4"/>
  <c r="Y251" i="4" s="1"/>
  <c r="Z32" i="4"/>
  <c r="X32" i="4"/>
  <c r="Z30" i="4"/>
  <c r="X30" i="4"/>
  <c r="Z29" i="4"/>
  <c r="X29" i="4"/>
  <c r="Z28" i="4"/>
  <c r="X28" i="4"/>
  <c r="H266" i="4"/>
  <c r="G266" i="4"/>
  <c r="F266" i="4"/>
  <c r="L266" i="4"/>
  <c r="K249" i="4"/>
  <c r="K250" i="4"/>
  <c r="N248" i="4"/>
  <c r="E320" i="4"/>
  <c r="D320" i="4"/>
  <c r="C320" i="4"/>
  <c r="B320" i="4"/>
  <c r="E192" i="4"/>
  <c r="D192" i="4"/>
  <c r="C192" i="4"/>
  <c r="B192" i="4"/>
  <c r="E150" i="4"/>
  <c r="D150" i="4"/>
  <c r="C150" i="4"/>
  <c r="B150" i="4"/>
  <c r="E109" i="4"/>
  <c r="D109" i="4"/>
  <c r="C109" i="4"/>
  <c r="B109" i="4"/>
  <c r="E77" i="4"/>
  <c r="D77" i="4"/>
  <c r="C77" i="4"/>
  <c r="B77" i="4"/>
  <c r="AM118" i="4"/>
  <c r="AM111" i="4"/>
  <c r="AM136" i="4"/>
  <c r="AM119" i="4"/>
  <c r="E11" i="4"/>
  <c r="D11" i="4"/>
  <c r="C11" i="4"/>
  <c r="B11" i="4"/>
  <c r="AM114" i="4"/>
  <c r="N156" i="4"/>
  <c r="N114" i="4"/>
  <c r="N158" i="4"/>
  <c r="N157" i="4"/>
  <c r="N299" i="4"/>
  <c r="N298" i="4"/>
  <c r="N170" i="4"/>
  <c r="N171" i="4"/>
  <c r="N174" i="4"/>
  <c r="N175" i="4"/>
  <c r="N176" i="4"/>
  <c r="N304" i="4"/>
  <c r="N165" i="4"/>
  <c r="J266" i="4"/>
  <c r="V266" i="4"/>
  <c r="Z266" i="4"/>
  <c r="Z267" i="4"/>
  <c r="V249" i="4"/>
  <c r="Z249" i="4"/>
  <c r="V250" i="4"/>
  <c r="Z250" i="4"/>
  <c r="V32" i="4"/>
  <c r="AA32" i="4"/>
  <c r="V28" i="4"/>
  <c r="AA28" i="4"/>
  <c r="N33" i="4"/>
  <c r="AM120" i="4"/>
  <c r="AM86" i="4"/>
  <c r="AM124" i="4"/>
  <c r="AM122" i="4"/>
  <c r="AM123" i="4"/>
  <c r="AM127" i="4"/>
  <c r="AM133" i="4"/>
  <c r="AM121" i="4"/>
  <c r="AM112" i="4"/>
  <c r="AM84" i="4"/>
  <c r="AM95" i="4"/>
  <c r="AM94" i="4"/>
  <c r="AM80" i="4"/>
  <c r="AM96" i="4"/>
  <c r="AI179" i="6"/>
  <c r="AD127" i="6"/>
  <c r="Q152" i="6"/>
  <c r="Q103" i="6"/>
  <c r="Q26" i="6"/>
  <c r="Q25" i="6"/>
  <c r="E10" i="6"/>
  <c r="D10" i="6"/>
  <c r="C10" i="6"/>
  <c r="B10" i="6"/>
  <c r="M148" i="6"/>
  <c r="R152" i="6"/>
  <c r="R103" i="6"/>
  <c r="R25" i="6"/>
  <c r="R26" i="6"/>
  <c r="R192" i="8"/>
  <c r="R181" i="8"/>
  <c r="R176" i="8"/>
  <c r="S130" i="8"/>
  <c r="S127" i="8"/>
  <c r="S124" i="8"/>
  <c r="S121" i="8"/>
  <c r="S118" i="8"/>
  <c r="S74" i="8"/>
  <c r="S54" i="8"/>
  <c r="R143" i="8"/>
  <c r="N180" i="8"/>
  <c r="N179" i="8"/>
  <c r="N178" i="8"/>
  <c r="E170" i="8"/>
  <c r="D170" i="8"/>
  <c r="C170" i="8"/>
  <c r="B170" i="8"/>
  <c r="E99" i="8"/>
  <c r="D99" i="8"/>
  <c r="C99" i="8"/>
  <c r="B99" i="8"/>
  <c r="E11" i="8"/>
  <c r="D11" i="8"/>
  <c r="C11" i="8"/>
  <c r="B11" i="8"/>
  <c r="P188" i="8"/>
  <c r="J13" i="10"/>
  <c r="H48" i="11"/>
  <c r="I48" i="11"/>
  <c r="J48" i="11"/>
  <c r="L47" i="11"/>
  <c r="L46" i="11"/>
  <c r="L45" i="11"/>
  <c r="L44" i="11"/>
  <c r="L43" i="11"/>
  <c r="L42" i="11"/>
  <c r="L41" i="11"/>
  <c r="L40" i="11"/>
  <c r="L39" i="11"/>
  <c r="L38" i="11"/>
  <c r="L37" i="11"/>
  <c r="L36" i="11"/>
  <c r="K48" i="11"/>
  <c r="D38" i="11"/>
  <c r="D39" i="11"/>
  <c r="C38" i="11"/>
  <c r="C39" i="11"/>
  <c r="E10" i="5"/>
  <c r="D10" i="5"/>
  <c r="C10" i="5"/>
  <c r="B10" i="5"/>
  <c r="K323" i="4"/>
  <c r="K232" i="4"/>
  <c r="K230" i="4"/>
  <c r="K210" i="4"/>
  <c r="K157" i="4"/>
  <c r="Z63" i="4"/>
  <c r="J108" i="6"/>
  <c r="P108" i="6"/>
  <c r="K298" i="4"/>
  <c r="K274" i="4"/>
  <c r="K270" i="4"/>
  <c r="J235" i="4"/>
  <c r="K225" i="4"/>
  <c r="K161" i="4"/>
  <c r="K62" i="4"/>
  <c r="K61" i="4"/>
  <c r="K38" i="4"/>
  <c r="AA288" i="4"/>
  <c r="Z172" i="4"/>
  <c r="AA163" i="4"/>
  <c r="K68" i="7"/>
  <c r="K62" i="7"/>
  <c r="K52" i="7"/>
  <c r="K58" i="5"/>
  <c r="J156" i="8"/>
  <c r="I200" i="4"/>
  <c r="K199" i="4"/>
  <c r="P144" i="6"/>
  <c r="J100" i="6"/>
  <c r="K226" i="4"/>
  <c r="S257" i="4"/>
  <c r="T94" i="4"/>
  <c r="K175" i="4"/>
  <c r="K171" i="4"/>
  <c r="K169" i="4"/>
  <c r="K162" i="4"/>
  <c r="S272" i="4"/>
  <c r="S232" i="4"/>
  <c r="K134" i="4"/>
  <c r="K94" i="4"/>
  <c r="K80" i="4"/>
  <c r="K19" i="7"/>
  <c r="K187" i="8"/>
  <c r="K66" i="7"/>
  <c r="F23" i="5"/>
  <c r="F19" i="5"/>
  <c r="L19" i="5"/>
  <c r="F16" i="5"/>
  <c r="N16" i="5"/>
  <c r="F14" i="5"/>
  <c r="Q195" i="8"/>
  <c r="K189" i="8"/>
  <c r="K175" i="8"/>
  <c r="K25" i="6"/>
  <c r="I325" i="4"/>
  <c r="S325" i="4"/>
  <c r="K149" i="8"/>
  <c r="K136" i="8"/>
  <c r="J84" i="6"/>
  <c r="N84" i="6"/>
  <c r="I37" i="6"/>
  <c r="K332" i="4"/>
  <c r="K328" i="4"/>
  <c r="F14" i="4"/>
  <c r="R14" i="4"/>
  <c r="F15" i="4"/>
  <c r="L15" i="4"/>
  <c r="F16" i="4"/>
  <c r="R16" i="4"/>
  <c r="Q16" i="4"/>
  <c r="F23" i="4"/>
  <c r="R23" i="4"/>
  <c r="Q23" i="4"/>
  <c r="F24" i="4"/>
  <c r="F37" i="4"/>
  <c r="R37" i="4"/>
  <c r="F38" i="4"/>
  <c r="R38" i="4"/>
  <c r="Q38" i="4"/>
  <c r="F39" i="4"/>
  <c r="L39" i="4"/>
  <c r="F40" i="4"/>
  <c r="R40" i="4"/>
  <c r="Q40" i="4"/>
  <c r="F41" i="4"/>
  <c r="R41" i="4"/>
  <c r="Q41" i="4"/>
  <c r="F42" i="4"/>
  <c r="F54" i="4"/>
  <c r="R54" i="4"/>
  <c r="Q54" i="4"/>
  <c r="F55" i="4"/>
  <c r="F56" i="4"/>
  <c r="R56" i="4"/>
  <c r="R58" i="4" s="1"/>
  <c r="F57" i="4"/>
  <c r="R57" i="4"/>
  <c r="F92" i="4"/>
  <c r="L92" i="4"/>
  <c r="N92" i="4"/>
  <c r="F112" i="4"/>
  <c r="R112" i="4"/>
  <c r="F116" i="4"/>
  <c r="L116" i="4"/>
  <c r="N116" i="4"/>
  <c r="F115" i="4"/>
  <c r="F117" i="4"/>
  <c r="R117" i="4"/>
  <c r="F120" i="4"/>
  <c r="R120" i="4"/>
  <c r="F19" i="4"/>
  <c r="F20" i="4"/>
  <c r="R20" i="4"/>
  <c r="Q20" i="4"/>
  <c r="F28" i="4"/>
  <c r="F29" i="4"/>
  <c r="R29" i="4"/>
  <c r="F30" i="4"/>
  <c r="F32" i="4"/>
  <c r="R32" i="4"/>
  <c r="Q32" i="4"/>
  <c r="F33" i="4"/>
  <c r="F34" i="4"/>
  <c r="F45" i="4"/>
  <c r="R45" i="4"/>
  <c r="F46" i="4"/>
  <c r="R46" i="4"/>
  <c r="Q46" i="4"/>
  <c r="F47" i="4"/>
  <c r="L47" i="4"/>
  <c r="N47" i="4" s="1"/>
  <c r="F48" i="4"/>
  <c r="R48" i="4"/>
  <c r="Q48" i="4"/>
  <c r="F49" i="4"/>
  <c r="F50" i="4"/>
  <c r="F51" i="4"/>
  <c r="F60" i="4"/>
  <c r="R60" i="4"/>
  <c r="F61" i="4"/>
  <c r="R61" i="4"/>
  <c r="Q61" i="4"/>
  <c r="F62" i="4"/>
  <c r="R62" i="4"/>
  <c r="Q62" i="4"/>
  <c r="F80" i="4"/>
  <c r="F82" i="4"/>
  <c r="F86" i="4"/>
  <c r="L86" i="4"/>
  <c r="N86" i="4"/>
  <c r="F90" i="4"/>
  <c r="R90" i="4"/>
  <c r="F94" i="4"/>
  <c r="F84" i="4"/>
  <c r="R84" i="4"/>
  <c r="F88" i="4"/>
  <c r="R88" i="4"/>
  <c r="F95" i="4"/>
  <c r="R95" i="4"/>
  <c r="F113" i="4"/>
  <c r="R113" i="4"/>
  <c r="F114" i="4"/>
  <c r="R114" i="4"/>
  <c r="F121" i="4"/>
  <c r="L121" i="4"/>
  <c r="F122" i="4"/>
  <c r="R122" i="4"/>
  <c r="F123" i="4"/>
  <c r="L123" i="4"/>
  <c r="N123" i="4"/>
  <c r="F124" i="4"/>
  <c r="R124" i="4"/>
  <c r="F132" i="4"/>
  <c r="F133" i="4"/>
  <c r="R133" i="4"/>
  <c r="F134" i="4"/>
  <c r="R134" i="4"/>
  <c r="K117" i="4"/>
  <c r="I115" i="4"/>
  <c r="AE115" i="4"/>
  <c r="U115" i="4"/>
  <c r="X115" i="4"/>
  <c r="K235" i="4"/>
  <c r="V235" i="4"/>
  <c r="Z235" i="4"/>
  <c r="K108" i="6"/>
  <c r="R84" i="6"/>
  <c r="X84" i="6" s="1"/>
  <c r="I326" i="4"/>
  <c r="AE326" i="4"/>
  <c r="K325" i="4"/>
  <c r="AE325" i="4"/>
  <c r="K116" i="8"/>
  <c r="K12" i="10"/>
  <c r="K13" i="10"/>
  <c r="E22" i="11"/>
  <c r="U169" i="4"/>
  <c r="X169" i="4"/>
  <c r="X172" i="4"/>
  <c r="AE169" i="4"/>
  <c r="I31" i="5"/>
  <c r="O31" i="5"/>
  <c r="N169" i="4"/>
  <c r="K23" i="4"/>
  <c r="U155" i="4"/>
  <c r="X155" i="4"/>
  <c r="K155" i="4"/>
  <c r="U88" i="4"/>
  <c r="Y88" i="4"/>
  <c r="AM88" i="4"/>
  <c r="K283" i="4"/>
  <c r="I14" i="5"/>
  <c r="AE16" i="4"/>
  <c r="U16" i="4"/>
  <c r="X16" i="4"/>
  <c r="X17" i="4"/>
  <c r="T16" i="4"/>
  <c r="K30" i="7"/>
  <c r="K290" i="4"/>
  <c r="U290" i="4"/>
  <c r="X290" i="4"/>
  <c r="X293" i="4"/>
  <c r="K282" i="4"/>
  <c r="K284" i="4"/>
  <c r="U282" i="4"/>
  <c r="X282" i="4"/>
  <c r="X284" i="4"/>
  <c r="U245" i="4"/>
  <c r="X245" i="4"/>
  <c r="K245" i="4"/>
  <c r="U235" i="4"/>
  <c r="X235" i="4"/>
  <c r="AA137" i="8"/>
  <c r="K82" i="4"/>
  <c r="AM82" i="4"/>
  <c r="U82" i="4"/>
  <c r="Y82" i="4"/>
  <c r="I42" i="4"/>
  <c r="K42" i="4"/>
  <c r="U41" i="4"/>
  <c r="Y41" i="4"/>
  <c r="K54" i="4"/>
  <c r="AM92" i="4"/>
  <c r="U92" i="4"/>
  <c r="Y92" i="4"/>
  <c r="U23" i="4"/>
  <c r="Y23" i="4"/>
  <c r="Y25" i="4"/>
  <c r="U156" i="4"/>
  <c r="X156" i="4"/>
  <c r="K156" i="4"/>
  <c r="I25" i="5"/>
  <c r="AM134" i="4"/>
  <c r="U134" i="4"/>
  <c r="X134" i="4"/>
  <c r="AE134" i="4"/>
  <c r="I46" i="6"/>
  <c r="Q43" i="6"/>
  <c r="U43" i="6"/>
  <c r="I13" i="10"/>
  <c r="K16" i="4"/>
  <c r="K44" i="5"/>
  <c r="K184" i="8"/>
  <c r="AA184" i="8"/>
  <c r="R184" i="8"/>
  <c r="U184" i="8"/>
  <c r="K144" i="6"/>
  <c r="Q144" i="6"/>
  <c r="V144" i="6"/>
  <c r="V133" i="6"/>
  <c r="AE303" i="4"/>
  <c r="U303" i="4"/>
  <c r="X303" i="4"/>
  <c r="U132" i="4"/>
  <c r="Y132" i="4"/>
  <c r="X154" i="4"/>
  <c r="U128" i="4"/>
  <c r="X128" i="4"/>
  <c r="AE298" i="4"/>
  <c r="K257" i="4"/>
  <c r="U257" i="4"/>
  <c r="X257" i="4"/>
  <c r="K84" i="4"/>
  <c r="U62" i="4"/>
  <c r="Y62" i="4"/>
  <c r="U45" i="4"/>
  <c r="Y45" i="4"/>
  <c r="K45" i="4"/>
  <c r="K20" i="4"/>
  <c r="AE20" i="4"/>
  <c r="U20" i="4"/>
  <c r="X20" i="4"/>
  <c r="X21" i="4"/>
  <c r="K233" i="4"/>
  <c r="U86" i="4"/>
  <c r="Y86" i="4"/>
  <c r="I19" i="5"/>
  <c r="K19" i="5"/>
  <c r="K20" i="5"/>
  <c r="K28" i="4"/>
  <c r="K331" i="4"/>
  <c r="AM128" i="4"/>
  <c r="N303" i="4"/>
  <c r="U331" i="4"/>
  <c r="X331" i="4"/>
  <c r="U302" i="4"/>
  <c r="X302" i="4"/>
  <c r="X305" i="4"/>
  <c r="N302" i="4"/>
  <c r="I45" i="5"/>
  <c r="U231" i="4"/>
  <c r="X231" i="4"/>
  <c r="K224" i="4"/>
  <c r="U224" i="4"/>
  <c r="X224" i="4"/>
  <c r="K214" i="4"/>
  <c r="K158" i="4"/>
  <c r="K121" i="4"/>
  <c r="AE121" i="4"/>
  <c r="AM117" i="4"/>
  <c r="U117" i="4"/>
  <c r="X117" i="4"/>
  <c r="K57" i="6"/>
  <c r="I29" i="7"/>
  <c r="K29" i="7"/>
  <c r="Q35" i="6"/>
  <c r="V35" i="6"/>
  <c r="K35" i="6"/>
  <c r="U278" i="4"/>
  <c r="X278" i="4"/>
  <c r="U216" i="4"/>
  <c r="X216" i="4"/>
  <c r="K216" i="4"/>
  <c r="K209" i="4"/>
  <c r="U209" i="4"/>
  <c r="X209" i="4"/>
  <c r="K153" i="4"/>
  <c r="U153" i="4"/>
  <c r="Y153" i="4"/>
  <c r="K55" i="4"/>
  <c r="Y201" i="4"/>
  <c r="U55" i="4"/>
  <c r="Y55" i="4"/>
  <c r="U208" i="4"/>
  <c r="X208" i="4"/>
  <c r="Q57" i="6"/>
  <c r="V57" i="6"/>
  <c r="K47" i="6"/>
  <c r="K329" i="4"/>
  <c r="AE329" i="4"/>
  <c r="U299" i="4"/>
  <c r="X299" i="4"/>
  <c r="X300" i="4"/>
  <c r="AE299" i="4"/>
  <c r="K299" i="4"/>
  <c r="K300" i="4"/>
  <c r="U258" i="4"/>
  <c r="X258" i="4"/>
  <c r="U223" i="4"/>
  <c r="X223" i="4"/>
  <c r="K223" i="4"/>
  <c r="U204" i="4"/>
  <c r="Y204" i="4"/>
  <c r="Y205" i="4"/>
  <c r="K272" i="4"/>
  <c r="K128" i="4"/>
  <c r="X197" i="4"/>
  <c r="X306" i="4"/>
  <c r="Y293" i="4"/>
  <c r="I180" i="8"/>
  <c r="P180" i="8"/>
  <c r="N46" i="4"/>
  <c r="U46" i="4"/>
  <c r="Y46" i="4"/>
  <c r="I57" i="4"/>
  <c r="K56" i="4"/>
  <c r="U56" i="4"/>
  <c r="Y56" i="4"/>
  <c r="V45" i="4"/>
  <c r="AA45" i="4"/>
  <c r="K39" i="4"/>
  <c r="N39" i="4"/>
  <c r="U200" i="4"/>
  <c r="X200" i="4"/>
  <c r="U39" i="4"/>
  <c r="Y39" i="4"/>
  <c r="I52" i="5"/>
  <c r="J50" i="4"/>
  <c r="V50" i="4"/>
  <c r="AA50" i="4"/>
  <c r="V49" i="4"/>
  <c r="AA49" i="4"/>
  <c r="K49" i="4"/>
  <c r="U326" i="4"/>
  <c r="X326" i="4"/>
  <c r="K326" i="4"/>
  <c r="AA333" i="4"/>
  <c r="U73" i="8"/>
  <c r="U48" i="8"/>
  <c r="V113" i="8"/>
  <c r="K51" i="7"/>
  <c r="W196" i="8"/>
  <c r="W201" i="8"/>
  <c r="U134" i="8"/>
  <c r="Q136" i="8"/>
  <c r="R136" i="8"/>
  <c r="V136" i="8"/>
  <c r="V138" i="8"/>
  <c r="K172" i="4"/>
  <c r="K33" i="5"/>
  <c r="K194" i="8"/>
  <c r="AA194" i="8"/>
  <c r="J126" i="9"/>
  <c r="O126" i="9"/>
  <c r="AA189" i="8"/>
  <c r="R189" i="8"/>
  <c r="U189" i="8"/>
  <c r="U78" i="8"/>
  <c r="K137" i="8"/>
  <c r="K138" i="8"/>
  <c r="J87" i="9"/>
  <c r="P87" i="9"/>
  <c r="R137" i="8"/>
  <c r="U137" i="8"/>
  <c r="U138" i="8"/>
  <c r="K46" i="6"/>
  <c r="Q46" i="6"/>
  <c r="U46" i="6"/>
  <c r="U85" i="8"/>
  <c r="R194" i="8"/>
  <c r="U194" i="8"/>
  <c r="J122" i="9"/>
  <c r="K51" i="8"/>
  <c r="V48" i="8"/>
  <c r="U20" i="8"/>
  <c r="K157" i="8"/>
  <c r="K324" i="4"/>
  <c r="I50" i="5"/>
  <c r="N50" i="5"/>
  <c r="J42" i="5"/>
  <c r="J219" i="4"/>
  <c r="K218" i="4"/>
  <c r="K204" i="4"/>
  <c r="I37" i="5"/>
  <c r="J46" i="5"/>
  <c r="J114" i="9"/>
  <c r="N114" i="9"/>
  <c r="K69" i="7"/>
  <c r="K72" i="6"/>
  <c r="K259" i="4"/>
  <c r="K279" i="4"/>
  <c r="K166" i="4"/>
  <c r="U113" i="8"/>
  <c r="I156" i="6"/>
  <c r="Q150" i="6"/>
  <c r="U150" i="6" s="1"/>
  <c r="U158" i="6" s="1"/>
  <c r="K43" i="6"/>
  <c r="I44" i="6"/>
  <c r="J63" i="6"/>
  <c r="O63" i="6" s="1"/>
  <c r="AE331" i="4"/>
  <c r="I57" i="5"/>
  <c r="O57" i="5"/>
  <c r="K196" i="4"/>
  <c r="S150" i="8"/>
  <c r="X150" i="8"/>
  <c r="K114" i="4"/>
  <c r="K188" i="8"/>
  <c r="K143" i="6"/>
  <c r="K125" i="8"/>
  <c r="J39" i="8"/>
  <c r="J18" i="8"/>
  <c r="S18" i="8"/>
  <c r="W18" i="8"/>
  <c r="W20" i="8"/>
  <c r="S27" i="8"/>
  <c r="W27" i="8"/>
  <c r="J40" i="8"/>
  <c r="P40" i="8"/>
  <c r="J81" i="8"/>
  <c r="AB81" i="8"/>
  <c r="J84" i="8"/>
  <c r="P84" i="8"/>
  <c r="K24" i="8"/>
  <c r="J31" i="8"/>
  <c r="K37" i="8"/>
  <c r="O47" i="8"/>
  <c r="L14" i="8"/>
  <c r="L15" i="8"/>
  <c r="J83" i="8"/>
  <c r="K83" i="8"/>
  <c r="J120" i="8"/>
  <c r="J131" i="8"/>
  <c r="S131" i="8"/>
  <c r="X131" i="8"/>
  <c r="S23" i="8"/>
  <c r="W23" i="8"/>
  <c r="J35" i="8"/>
  <c r="K35" i="8"/>
  <c r="K106" i="8"/>
  <c r="J57" i="9"/>
  <c r="J126" i="8"/>
  <c r="Q126" i="8"/>
  <c r="J107" i="8"/>
  <c r="J55" i="9"/>
  <c r="P55" i="9"/>
  <c r="J152" i="8"/>
  <c r="P152" i="8"/>
  <c r="I198" i="8"/>
  <c r="P198" i="8"/>
  <c r="K292" i="4"/>
  <c r="K273" i="4"/>
  <c r="J120" i="9"/>
  <c r="O120" i="9"/>
  <c r="J123" i="8"/>
  <c r="J58" i="9"/>
  <c r="J41" i="8"/>
  <c r="K41" i="8"/>
  <c r="K114" i="6"/>
  <c r="K99" i="6"/>
  <c r="K39" i="6"/>
  <c r="K254" i="4"/>
  <c r="K302" i="4"/>
  <c r="K211" i="4"/>
  <c r="S199" i="4"/>
  <c r="K88" i="4"/>
  <c r="AF169" i="4"/>
  <c r="K193" i="8"/>
  <c r="K119" i="8"/>
  <c r="J151" i="8"/>
  <c r="S151" i="8"/>
  <c r="X151" i="8"/>
  <c r="J129" i="8"/>
  <c r="K129" i="8"/>
  <c r="J103" i="8"/>
  <c r="Q103" i="8"/>
  <c r="J80" i="8"/>
  <c r="Q80" i="8"/>
  <c r="P30" i="8"/>
  <c r="J19" i="8"/>
  <c r="K19" i="8"/>
  <c r="K67" i="6"/>
  <c r="I34" i="4"/>
  <c r="U34" i="4"/>
  <c r="J17" i="8"/>
  <c r="K17" i="8"/>
  <c r="K61" i="6"/>
  <c r="K17" i="6"/>
  <c r="K32" i="6" s="1"/>
  <c r="K207" i="4"/>
  <c r="K90" i="6"/>
  <c r="I55" i="6"/>
  <c r="P55" i="6"/>
  <c r="K54" i="6"/>
  <c r="K145" i="6"/>
  <c r="J85" i="6"/>
  <c r="N85" i="6" s="1"/>
  <c r="K68" i="6"/>
  <c r="J69" i="6"/>
  <c r="K303" i="4"/>
  <c r="K176" i="4"/>
  <c r="K112" i="4"/>
  <c r="K260" i="4"/>
  <c r="K123" i="4"/>
  <c r="K112" i="6"/>
  <c r="K16" i="6"/>
  <c r="O57" i="6"/>
  <c r="G123" i="6"/>
  <c r="K92" i="4"/>
  <c r="K14" i="4"/>
  <c r="R180" i="8"/>
  <c r="V180" i="8"/>
  <c r="K180" i="8"/>
  <c r="AA46" i="6"/>
  <c r="AA160" i="6"/>
  <c r="K14" i="5"/>
  <c r="Q156" i="6"/>
  <c r="V156" i="6" s="1"/>
  <c r="K219" i="4"/>
  <c r="S219" i="4"/>
  <c r="V219" i="4"/>
  <c r="Z219" i="4"/>
  <c r="K122" i="9"/>
  <c r="K107" i="8"/>
  <c r="J32" i="9"/>
  <c r="K32" i="9"/>
  <c r="S81" i="8"/>
  <c r="W81" i="8"/>
  <c r="N34" i="4"/>
  <c r="Y34" i="4"/>
  <c r="Y35" i="4"/>
  <c r="K57" i="5"/>
  <c r="H12" i="10"/>
  <c r="H13" i="10"/>
  <c r="K120" i="9"/>
  <c r="J123" i="9"/>
  <c r="K27" i="8"/>
  <c r="K46" i="5"/>
  <c r="P46" i="5"/>
  <c r="K50" i="5"/>
  <c r="Q41" i="8"/>
  <c r="K198" i="8"/>
  <c r="K47" i="8"/>
  <c r="U57" i="4"/>
  <c r="Y57" i="4"/>
  <c r="K110" i="8"/>
  <c r="S35" i="8"/>
  <c r="W35" i="8"/>
  <c r="P35" i="8"/>
  <c r="K114" i="9"/>
  <c r="K126" i="9"/>
  <c r="J127" i="9"/>
  <c r="P127" i="9"/>
  <c r="S24" i="8"/>
  <c r="W24" i="8"/>
  <c r="K44" i="6"/>
  <c r="I31" i="7"/>
  <c r="K31" i="7"/>
  <c r="S106" i="8"/>
  <c r="X106" i="8"/>
  <c r="X113" i="8"/>
  <c r="U86" i="8"/>
  <c r="K52" i="5"/>
  <c r="K55" i="6"/>
  <c r="Q55" i="6"/>
  <c r="V55" i="6"/>
  <c r="S30" i="8"/>
  <c r="W30" i="8"/>
  <c r="J51" i="9"/>
  <c r="K103" i="8"/>
  <c r="S103" i="8"/>
  <c r="W103" i="8"/>
  <c r="W104" i="8"/>
  <c r="K123" i="8"/>
  <c r="J72" i="9"/>
  <c r="P72" i="9"/>
  <c r="S123" i="8"/>
  <c r="W123" i="8"/>
  <c r="K23" i="8"/>
  <c r="S31" i="8"/>
  <c r="W31" i="8"/>
  <c r="J88" i="9"/>
  <c r="L88" i="9"/>
  <c r="K51" i="9"/>
  <c r="K127" i="9"/>
  <c r="M144" i="8"/>
  <c r="O52" i="6"/>
  <c r="M148" i="8"/>
  <c r="M131" i="8"/>
  <c r="M14" i="8"/>
  <c r="M15" i="8"/>
  <c r="M195" i="8"/>
  <c r="M33" i="8"/>
  <c r="M76" i="8"/>
  <c r="M187" i="8"/>
  <c r="P187" i="8"/>
  <c r="M132" i="8"/>
  <c r="H64" i="6"/>
  <c r="P148" i="8"/>
  <c r="L15" i="7"/>
  <c r="M80" i="8"/>
  <c r="M52" i="8"/>
  <c r="M155" i="8"/>
  <c r="L41" i="8"/>
  <c r="P66" i="8"/>
  <c r="O15" i="7"/>
  <c r="M30" i="8"/>
  <c r="S42" i="4"/>
  <c r="L127" i="4"/>
  <c r="N127" i="4"/>
  <c r="M128" i="8"/>
  <c r="S127" i="4"/>
  <c r="M17" i="8"/>
  <c r="M175" i="8"/>
  <c r="M154" i="6"/>
  <c r="M139" i="6"/>
  <c r="L35" i="6"/>
  <c r="M35" i="6"/>
  <c r="M29" i="8"/>
  <c r="M110" i="8"/>
  <c r="M56" i="8"/>
  <c r="M64" i="8"/>
  <c r="M145" i="8"/>
  <c r="M75" i="8"/>
  <c r="M142" i="6"/>
  <c r="M198" i="8"/>
  <c r="P174" i="8"/>
  <c r="M174" i="8"/>
  <c r="M51" i="8"/>
  <c r="L188" i="8"/>
  <c r="O188" i="8"/>
  <c r="M116" i="8"/>
  <c r="Q144" i="8"/>
  <c r="P155" i="8"/>
  <c r="M126" i="8"/>
  <c r="L113" i="9"/>
  <c r="M125" i="8"/>
  <c r="M189" i="8"/>
  <c r="M140" i="6"/>
  <c r="O140" i="6"/>
  <c r="L108" i="6"/>
  <c r="M108" i="6"/>
  <c r="S38" i="4"/>
  <c r="M136" i="8"/>
  <c r="M138" i="8"/>
  <c r="M119" i="8"/>
  <c r="M103" i="8"/>
  <c r="M36" i="8"/>
  <c r="S120" i="4"/>
  <c r="L120" i="4"/>
  <c r="N120" i="4"/>
  <c r="L28" i="4"/>
  <c r="N28" i="4"/>
  <c r="M182" i="8"/>
  <c r="M112" i="8"/>
  <c r="M40" i="8"/>
  <c r="M111" i="8"/>
  <c r="L121" i="6"/>
  <c r="M121" i="6"/>
  <c r="M188" i="8"/>
  <c r="N55" i="6"/>
  <c r="L55" i="6"/>
  <c r="M55" i="6"/>
  <c r="Q30" i="8"/>
  <c r="Q198" i="8"/>
  <c r="L50" i="5"/>
  <c r="P125" i="8"/>
  <c r="M140" i="8"/>
  <c r="P41" i="8"/>
  <c r="M41" i="8"/>
  <c r="M108" i="8"/>
  <c r="M59" i="8"/>
  <c r="M84" i="8"/>
  <c r="M63" i="8"/>
  <c r="L125" i="6"/>
  <c r="M125" i="6"/>
  <c r="M184" i="8"/>
  <c r="M57" i="8"/>
  <c r="M45" i="8"/>
  <c r="M37" i="8"/>
  <c r="M22" i="8"/>
  <c r="M28" i="8"/>
  <c r="M144" i="6"/>
  <c r="M27" i="8"/>
  <c r="M122" i="8"/>
  <c r="M70" i="8"/>
  <c r="P70" i="8"/>
  <c r="M46" i="8"/>
  <c r="M38" i="8"/>
  <c r="P38" i="8"/>
  <c r="M71" i="8"/>
  <c r="P177" i="8"/>
  <c r="M177" i="8"/>
  <c r="L195" i="8"/>
  <c r="O195" i="8"/>
  <c r="L31" i="7"/>
  <c r="L46" i="5"/>
  <c r="N44" i="5"/>
  <c r="L44" i="5"/>
  <c r="P31" i="8"/>
  <c r="R39" i="4"/>
  <c r="Q39" i="4"/>
  <c r="M193" i="8"/>
  <c r="P141" i="6"/>
  <c r="M141" i="6"/>
  <c r="O136" i="8"/>
  <c r="M83" i="8"/>
  <c r="M47" i="8"/>
  <c r="T128" i="4"/>
  <c r="L128" i="4"/>
  <c r="N128" i="4"/>
  <c r="L140" i="6"/>
  <c r="P140" i="6"/>
  <c r="P12" i="10"/>
  <c r="P13" i="10"/>
  <c r="L25" i="6"/>
  <c r="O25" i="6"/>
  <c r="M31" i="8"/>
  <c r="P59" i="8"/>
  <c r="M55" i="8"/>
  <c r="N121" i="6"/>
  <c r="L92" i="6"/>
  <c r="M92" i="6" s="1"/>
  <c r="M186" i="8"/>
  <c r="M102" i="8"/>
  <c r="M104" i="8"/>
  <c r="M24" i="8"/>
  <c r="L99" i="6"/>
  <c r="M99" i="6"/>
  <c r="L14" i="5"/>
  <c r="P193" i="8"/>
  <c r="M151" i="8"/>
  <c r="L114" i="9"/>
  <c r="M149" i="8"/>
  <c r="P149" i="8"/>
  <c r="Q107" i="8"/>
  <c r="M107" i="8"/>
  <c r="R224" i="4"/>
  <c r="L224" i="4"/>
  <c r="P184" i="8"/>
  <c r="L33" i="5"/>
  <c r="N116" i="6"/>
  <c r="L116" i="6"/>
  <c r="M116" i="6"/>
  <c r="L39" i="6"/>
  <c r="M39" i="6"/>
  <c r="L243" i="4"/>
  <c r="N243" i="4"/>
  <c r="L51" i="4"/>
  <c r="N51" i="4"/>
  <c r="S51" i="4"/>
  <c r="P69" i="8"/>
  <c r="M69" i="8"/>
  <c r="L270" i="4"/>
  <c r="O144" i="6"/>
  <c r="P67" i="7"/>
  <c r="L63" i="7"/>
  <c r="P63" i="7"/>
  <c r="O125" i="6"/>
  <c r="L175" i="8"/>
  <c r="M150" i="8"/>
  <c r="M117" i="8"/>
  <c r="M61" i="8"/>
  <c r="M18" i="8"/>
  <c r="L103" i="6"/>
  <c r="L158" i="4"/>
  <c r="L153" i="4"/>
  <c r="N153" i="4"/>
  <c r="L19" i="7"/>
  <c r="M81" i="8"/>
  <c r="M60" i="8"/>
  <c r="M53" i="8"/>
  <c r="M143" i="6"/>
  <c r="L55" i="4"/>
  <c r="N55" i="4"/>
  <c r="L131" i="8"/>
  <c r="L171" i="4"/>
  <c r="L94" i="4"/>
  <c r="N94" i="4"/>
  <c r="L122" i="9"/>
  <c r="L52" i="5"/>
  <c r="M109" i="8"/>
  <c r="P66" i="6"/>
  <c r="H34" i="4"/>
  <c r="H116" i="4"/>
  <c r="H88" i="4"/>
  <c r="T88" i="4"/>
  <c r="H145" i="6"/>
  <c r="P145" i="6"/>
  <c r="H17" i="6"/>
  <c r="P17" i="6"/>
  <c r="M42" i="8"/>
  <c r="H52" i="6"/>
  <c r="Q24" i="8"/>
  <c r="M23" i="8"/>
  <c r="H62" i="4"/>
  <c r="T62" i="4"/>
  <c r="M141" i="8"/>
  <c r="M178" i="8"/>
  <c r="M179" i="8"/>
  <c r="M133" i="8"/>
  <c r="H57" i="6"/>
  <c r="Q61" i="8"/>
  <c r="P73" i="6"/>
  <c r="Q35" i="8"/>
  <c r="M35" i="8"/>
  <c r="M137" i="8"/>
  <c r="Q137" i="8"/>
  <c r="Q138" i="8"/>
  <c r="M67" i="8"/>
  <c r="M190" i="8"/>
  <c r="P143" i="6"/>
  <c r="M185" i="8"/>
  <c r="L141" i="8"/>
  <c r="L23" i="8"/>
  <c r="M120" i="8"/>
  <c r="L254" i="4"/>
  <c r="N254" i="4"/>
  <c r="L273" i="4"/>
  <c r="N273" i="4"/>
  <c r="L189" i="8"/>
  <c r="M129" i="8"/>
  <c r="T171" i="4"/>
  <c r="Q184" i="8"/>
  <c r="Q186" i="8"/>
  <c r="Q56" i="8"/>
  <c r="L44" i="6"/>
  <c r="M44" i="6"/>
  <c r="L18" i="6"/>
  <c r="M18" i="6" s="1"/>
  <c r="L328" i="4"/>
  <c r="N328" i="4"/>
  <c r="L323" i="4"/>
  <c r="L263" i="4"/>
  <c r="N263" i="4"/>
  <c r="M43" i="8"/>
  <c r="Q43" i="8"/>
  <c r="M25" i="8"/>
  <c r="H199" i="8"/>
  <c r="M150" i="6"/>
  <c r="M77" i="8"/>
  <c r="Q194" i="8"/>
  <c r="M194" i="8"/>
  <c r="Q180" i="8"/>
  <c r="M180" i="8"/>
  <c r="Q26" i="8"/>
  <c r="M26" i="8"/>
  <c r="T249" i="4"/>
  <c r="L249" i="4"/>
  <c r="N249" i="4" s="1"/>
  <c r="M32" i="8"/>
  <c r="Q191" i="8"/>
  <c r="M191" i="8"/>
  <c r="M82" i="8"/>
  <c r="L278" i="4"/>
  <c r="H82" i="4"/>
  <c r="T82" i="4"/>
  <c r="H90" i="4"/>
  <c r="H86" i="4"/>
  <c r="T86" i="4"/>
  <c r="H153" i="6"/>
  <c r="H78" i="6"/>
  <c r="P78" i="6"/>
  <c r="H104" i="6"/>
  <c r="H157" i="8"/>
  <c r="H40" i="4"/>
  <c r="H92" i="4"/>
  <c r="T92" i="4"/>
  <c r="H67" i="6"/>
  <c r="H122" i="6"/>
  <c r="P122" i="6"/>
  <c r="H69" i="6"/>
  <c r="P69" i="6"/>
  <c r="H128" i="6"/>
  <c r="P128" i="6"/>
  <c r="H157" i="6"/>
  <c r="H72" i="6"/>
  <c r="H48" i="4"/>
  <c r="H84" i="4"/>
  <c r="T84" i="4"/>
  <c r="H156" i="8"/>
  <c r="L156" i="8"/>
  <c r="L302" i="4"/>
  <c r="H156" i="6"/>
  <c r="M123" i="8"/>
  <c r="Q123" i="8"/>
  <c r="H65" i="6"/>
  <c r="P65" i="6"/>
  <c r="H31" i="6"/>
  <c r="H80" i="4"/>
  <c r="T80" i="4"/>
  <c r="Q152" i="8"/>
  <c r="M152" i="8"/>
  <c r="L211" i="4"/>
  <c r="N211" i="4"/>
  <c r="L170" i="4"/>
  <c r="L162" i="4"/>
  <c r="N162" i="4"/>
  <c r="H16" i="6"/>
  <c r="P16" i="6"/>
  <c r="H151" i="6"/>
  <c r="M151" i="6"/>
  <c r="L151" i="6"/>
  <c r="M34" i="8"/>
  <c r="H57" i="4"/>
  <c r="Q183" i="8"/>
  <c r="M183" i="8"/>
  <c r="H19" i="8"/>
  <c r="H23" i="6"/>
  <c r="H56" i="4"/>
  <c r="T56" i="4"/>
  <c r="H22" i="6"/>
  <c r="M44" i="8"/>
  <c r="L169" i="4"/>
  <c r="M72" i="8"/>
  <c r="L219" i="4"/>
  <c r="N219" i="4"/>
  <c r="L70" i="8"/>
  <c r="L90" i="6"/>
  <c r="M90" i="6" s="1"/>
  <c r="L210" i="4"/>
  <c r="L161" i="4"/>
  <c r="N161" i="4"/>
  <c r="N33" i="5"/>
  <c r="L14" i="7"/>
  <c r="N52" i="5"/>
  <c r="L124" i="9"/>
  <c r="N122" i="9"/>
  <c r="L57" i="5"/>
  <c r="L55" i="5"/>
  <c r="L52" i="7"/>
  <c r="N14" i="5"/>
  <c r="N19" i="7"/>
  <c r="L18" i="7"/>
  <c r="L121" i="9"/>
  <c r="L51" i="7"/>
  <c r="N31" i="7"/>
  <c r="N69" i="7"/>
  <c r="N113" i="9"/>
  <c r="N87" i="9"/>
  <c r="N18" i="6"/>
  <c r="L282" i="4"/>
  <c r="R170" i="4"/>
  <c r="L143" i="6"/>
  <c r="R302" i="4"/>
  <c r="L149" i="8"/>
  <c r="L119" i="6"/>
  <c r="M119" i="6"/>
  <c r="L38" i="8"/>
  <c r="L126" i="6"/>
  <c r="M126" i="6"/>
  <c r="R327" i="4"/>
  <c r="R211" i="4"/>
  <c r="L232" i="4"/>
  <c r="L14" i="6"/>
  <c r="M14" i="6" s="1"/>
  <c r="M32" i="6" s="1"/>
  <c r="O72" i="8"/>
  <c r="L111" i="6"/>
  <c r="M111" i="6"/>
  <c r="R153" i="4"/>
  <c r="L298" i="4"/>
  <c r="R162" i="4"/>
  <c r="R219" i="4"/>
  <c r="L271" i="4"/>
  <c r="L216" i="4"/>
  <c r="L218" i="4"/>
  <c r="N218" i="4"/>
  <c r="L43" i="6"/>
  <c r="M43" i="6"/>
  <c r="N108" i="6"/>
  <c r="R328" i="4"/>
  <c r="O174" i="8"/>
  <c r="L52" i="8"/>
  <c r="R323" i="4"/>
  <c r="R158" i="4"/>
  <c r="O23" i="8"/>
  <c r="R210" i="4"/>
  <c r="O131" i="8"/>
  <c r="R55" i="4"/>
  <c r="L107" i="6"/>
  <c r="M107" i="6"/>
  <c r="L114" i="4"/>
  <c r="L88" i="6"/>
  <c r="M88" i="6" s="1"/>
  <c r="L227" i="4"/>
  <c r="N227" i="4"/>
  <c r="L71" i="6"/>
  <c r="M71" i="6" s="1"/>
  <c r="L30" i="8"/>
  <c r="L81" i="8"/>
  <c r="L133" i="4"/>
  <c r="N133" i="4"/>
  <c r="L32" i="8"/>
  <c r="R240" i="4"/>
  <c r="R176" i="4"/>
  <c r="L176" i="4"/>
  <c r="L46" i="6"/>
  <c r="M46" i="6"/>
  <c r="N46" i="6"/>
  <c r="R290" i="4"/>
  <c r="L290" i="4"/>
  <c r="R274" i="4"/>
  <c r="L274" i="4"/>
  <c r="N274" i="4"/>
  <c r="R248" i="4"/>
  <c r="R251" i="4" s="1"/>
  <c r="R174" i="4"/>
  <c r="L174" i="4"/>
  <c r="N50" i="6"/>
  <c r="L50" i="6"/>
  <c r="M50" i="6"/>
  <c r="L203" i="4"/>
  <c r="N203" i="4"/>
  <c r="R203" i="4"/>
  <c r="R205" i="4"/>
  <c r="L155" i="4"/>
  <c r="R155" i="4"/>
  <c r="R207" i="4"/>
  <c r="L207" i="4"/>
  <c r="L43" i="8"/>
  <c r="O43" i="8"/>
  <c r="L114" i="6"/>
  <c r="M114" i="6"/>
  <c r="N114" i="6"/>
  <c r="N93" i="6"/>
  <c r="L93" i="6"/>
  <c r="M93" i="6" s="1"/>
  <c r="R230" i="4"/>
  <c r="L230" i="4"/>
  <c r="R222" i="4"/>
  <c r="L222" i="4"/>
  <c r="L209" i="4"/>
  <c r="R209" i="4"/>
  <c r="L23" i="4"/>
  <c r="N23" i="4"/>
  <c r="L182" i="8"/>
  <c r="O182" i="8"/>
  <c r="O152" i="8"/>
  <c r="L152" i="8"/>
  <c r="O148" i="8"/>
  <c r="O59" i="8"/>
  <c r="L59" i="8"/>
  <c r="O53" i="8"/>
  <c r="L53" i="8"/>
  <c r="O37" i="8"/>
  <c r="L37" i="8"/>
  <c r="L24" i="8"/>
  <c r="L74" i="6"/>
  <c r="M74" i="6" s="1"/>
  <c r="R234" i="4"/>
  <c r="L226" i="4"/>
  <c r="N226" i="4"/>
  <c r="R226" i="4"/>
  <c r="R215" i="4"/>
  <c r="L215" i="4"/>
  <c r="R80" i="4"/>
  <c r="N103" i="6"/>
  <c r="N39" i="6"/>
  <c r="R161" i="4"/>
  <c r="R163" i="4"/>
  <c r="L66" i="8"/>
  <c r="L257" i="4"/>
  <c r="R257" i="4"/>
  <c r="N54" i="6"/>
  <c r="L54" i="6"/>
  <c r="M54" i="6"/>
  <c r="N89" i="6"/>
  <c r="L89" i="6"/>
  <c r="M89" i="6" s="1"/>
  <c r="O186" i="8"/>
  <c r="L186" i="8"/>
  <c r="L107" i="8"/>
  <c r="O107" i="8"/>
  <c r="R329" i="4"/>
  <c r="L329" i="4"/>
  <c r="N329" i="4"/>
  <c r="N144" i="6"/>
  <c r="L144" i="6"/>
  <c r="N135" i="6"/>
  <c r="L135" i="6"/>
  <c r="R225" i="4"/>
  <c r="L225" i="4"/>
  <c r="L233" i="4"/>
  <c r="L21" i="6"/>
  <c r="M21" i="6"/>
  <c r="R235" i="4"/>
  <c r="L235" i="4"/>
  <c r="N235" i="4"/>
  <c r="R214" i="4"/>
  <c r="L214" i="4"/>
  <c r="L68" i="6"/>
  <c r="M68" i="6"/>
  <c r="R123" i="4"/>
  <c r="N100" i="6"/>
  <c r="N118" i="6"/>
  <c r="L118" i="6"/>
  <c r="M118" i="6"/>
  <c r="R292" i="4"/>
  <c r="L292" i="4"/>
  <c r="L45" i="4"/>
  <c r="N45" i="4"/>
  <c r="L54" i="4"/>
  <c r="N54" i="4"/>
  <c r="R270" i="4"/>
  <c r="L157" i="4"/>
  <c r="R157" i="4"/>
  <c r="L150" i="8"/>
  <c r="O150" i="8"/>
  <c r="L137" i="8"/>
  <c r="L123" i="8"/>
  <c r="L117" i="4"/>
  <c r="N117" i="4"/>
  <c r="R94" i="4"/>
  <c r="L36" i="6"/>
  <c r="M36" i="6"/>
  <c r="O155" i="8"/>
  <c r="N120" i="6"/>
  <c r="L120" i="6"/>
  <c r="M120" i="6"/>
  <c r="R326" i="4"/>
  <c r="L326" i="4"/>
  <c r="N326" i="4"/>
  <c r="L245" i="4"/>
  <c r="R245" i="4"/>
  <c r="L190" i="8"/>
  <c r="R243" i="4"/>
  <c r="L175" i="4"/>
  <c r="L177" i="4"/>
  <c r="R175" i="4"/>
  <c r="R82" i="4"/>
  <c r="R259" i="4"/>
  <c r="L259" i="4"/>
  <c r="L134" i="4"/>
  <c r="N134" i="4"/>
  <c r="L331" i="4"/>
  <c r="N331" i="4"/>
  <c r="L84" i="6"/>
  <c r="M84" i="6"/>
  <c r="L124" i="4"/>
  <c r="N124" i="4"/>
  <c r="R33" i="4"/>
  <c r="Q33" i="4"/>
  <c r="L33" i="4"/>
  <c r="L185" i="8"/>
  <c r="O55" i="8"/>
  <c r="L51" i="6"/>
  <c r="M51" i="6"/>
  <c r="L291" i="4"/>
  <c r="R291" i="4"/>
  <c r="R208" i="4"/>
  <c r="L208" i="4"/>
  <c r="M145" i="6"/>
  <c r="L145" i="6"/>
  <c r="L62" i="4"/>
  <c r="N62" i="4"/>
  <c r="L56" i="4"/>
  <c r="N56" i="4" s="1"/>
  <c r="P52" i="6"/>
  <c r="L82" i="4"/>
  <c r="N82" i="4"/>
  <c r="L80" i="4"/>
  <c r="N80" i="4"/>
  <c r="L264" i="4"/>
  <c r="L122" i="6"/>
  <c r="M122" i="6"/>
  <c r="P57" i="6"/>
  <c r="M156" i="8"/>
  <c r="Q156" i="8"/>
  <c r="M199" i="8"/>
  <c r="M200" i="8"/>
  <c r="P151" i="6"/>
  <c r="T48" i="4"/>
  <c r="L48" i="4"/>
  <c r="N48" i="4"/>
  <c r="L65" i="6"/>
  <c r="M65" i="6"/>
  <c r="M156" i="6"/>
  <c r="M157" i="8"/>
  <c r="L157" i="8"/>
  <c r="Q157" i="8"/>
  <c r="M153" i="6"/>
  <c r="T57" i="4"/>
  <c r="C50" i="11"/>
  <c r="D50" i="11"/>
  <c r="L48" i="11"/>
  <c r="K54" i="7"/>
  <c r="L91" i="6"/>
  <c r="M91" i="6"/>
  <c r="S47" i="4"/>
  <c r="S52" i="4" s="1"/>
  <c r="S64" i="4" s="1"/>
  <c r="C9" i="11" s="1"/>
  <c r="X52" i="4"/>
  <c r="R79" i="6"/>
  <c r="X79" i="6"/>
  <c r="P54" i="7"/>
  <c r="K75" i="6"/>
  <c r="N79" i="6"/>
  <c r="AB81" i="6"/>
  <c r="J38" i="5"/>
  <c r="L38" i="5" s="1"/>
  <c r="L47" i="5" s="1"/>
  <c r="K91" i="6"/>
  <c r="P91" i="6"/>
  <c r="N91" i="6"/>
  <c r="K94" i="6"/>
  <c r="R94" i="6"/>
  <c r="W94" i="6" s="1"/>
  <c r="P90" i="6"/>
  <c r="O91" i="6"/>
  <c r="S250" i="4"/>
  <c r="L94" i="6"/>
  <c r="M94" i="6"/>
  <c r="L195" i="4"/>
  <c r="N195" i="4" s="1"/>
  <c r="J96" i="6"/>
  <c r="J56" i="7"/>
  <c r="K81" i="6"/>
  <c r="T195" i="4"/>
  <c r="T197" i="4" s="1"/>
  <c r="T306" i="4" s="1"/>
  <c r="D13" i="11" s="1"/>
  <c r="P72" i="6"/>
  <c r="P81" i="6"/>
  <c r="R195" i="4"/>
  <c r="J97" i="6"/>
  <c r="N97" i="6" s="1"/>
  <c r="AB94" i="6"/>
  <c r="P53" i="7"/>
  <c r="O90" i="6"/>
  <c r="L72" i="6"/>
  <c r="M72" i="6"/>
  <c r="R91" i="6"/>
  <c r="W91" i="6"/>
  <c r="R81" i="6"/>
  <c r="W81" i="6" s="1"/>
  <c r="V195" i="4"/>
  <c r="AA195" i="4"/>
  <c r="AA197" i="4" s="1"/>
  <c r="AA306" i="4" s="1"/>
  <c r="R72" i="6"/>
  <c r="X72" i="6"/>
  <c r="P75" i="6"/>
  <c r="S116" i="8"/>
  <c r="X116" i="8" s="1"/>
  <c r="X134" i="8" s="1"/>
  <c r="X159" i="8" s="1"/>
  <c r="P116" i="8"/>
  <c r="V19" i="4"/>
  <c r="AA19" i="4"/>
  <c r="AA21" i="4"/>
  <c r="O69" i="6"/>
  <c r="R69" i="6"/>
  <c r="X69" i="6"/>
  <c r="T234" i="4"/>
  <c r="I42" i="5"/>
  <c r="S231" i="4"/>
  <c r="K231" i="4"/>
  <c r="L24" i="4"/>
  <c r="L241" i="4"/>
  <c r="L28" i="5"/>
  <c r="K69" i="6"/>
  <c r="AA212" i="4"/>
  <c r="Y280" i="4"/>
  <c r="Y167" i="4"/>
  <c r="J70" i="7"/>
  <c r="K67" i="7"/>
  <c r="R117" i="6"/>
  <c r="W117" i="6"/>
  <c r="K117" i="6"/>
  <c r="O113" i="6"/>
  <c r="K113" i="6"/>
  <c r="V278" i="4"/>
  <c r="Z278" i="4"/>
  <c r="K278" i="4"/>
  <c r="S263" i="4"/>
  <c r="S264" i="4"/>
  <c r="K263" i="4"/>
  <c r="K264" i="4"/>
  <c r="U263" i="4"/>
  <c r="X263" i="4"/>
  <c r="X264" i="4"/>
  <c r="I41" i="5"/>
  <c r="K241" i="4"/>
  <c r="U241" i="4"/>
  <c r="X241" i="4"/>
  <c r="AE24" i="4"/>
  <c r="T24" i="4"/>
  <c r="K24" i="4"/>
  <c r="S24" i="4"/>
  <c r="L234" i="4"/>
  <c r="N234" i="4"/>
  <c r="K239" i="4"/>
  <c r="J117" i="8"/>
  <c r="K117" i="8" s="1"/>
  <c r="P156" i="8"/>
  <c r="S156" i="8"/>
  <c r="X156" i="8"/>
  <c r="K156" i="8"/>
  <c r="K37" i="4"/>
  <c r="U239" i="4"/>
  <c r="X239" i="4"/>
  <c r="N126" i="6"/>
  <c r="P126" i="6"/>
  <c r="K126" i="6"/>
  <c r="R126" i="6"/>
  <c r="X126" i="6"/>
  <c r="O126" i="6"/>
  <c r="J20" i="6"/>
  <c r="P20" i="6" s="1"/>
  <c r="J22" i="6"/>
  <c r="L31" i="5"/>
  <c r="K28" i="5"/>
  <c r="V24" i="4"/>
  <c r="Z24" i="4"/>
  <c r="Z25" i="4"/>
  <c r="AA261" i="4"/>
  <c r="AA236" i="4"/>
  <c r="AA220" i="4"/>
  <c r="X177" i="4"/>
  <c r="J29" i="6"/>
  <c r="N29" i="6" s="1"/>
  <c r="J30" i="6"/>
  <c r="O30" i="6" s="1"/>
  <c r="J28" i="6"/>
  <c r="J31" i="6"/>
  <c r="L31" i="6" s="1"/>
  <c r="M31" i="6" s="1"/>
  <c r="K163" i="4"/>
  <c r="L116" i="8"/>
  <c r="K31" i="8"/>
  <c r="K47" i="4"/>
  <c r="K52" i="4" s="1"/>
  <c r="K64" i="4" s="1"/>
  <c r="E9" i="11" s="1"/>
  <c r="V231" i="4"/>
  <c r="Z231" i="4"/>
  <c r="Z236" i="4"/>
  <c r="AA293" i="4"/>
  <c r="U19" i="4"/>
  <c r="Y19" i="4"/>
  <c r="Y21" i="4"/>
  <c r="U234" i="4"/>
  <c r="X234" i="4"/>
  <c r="X236" i="4"/>
  <c r="W58" i="6"/>
  <c r="R239" i="4"/>
  <c r="T40" i="4"/>
  <c r="K31" i="5"/>
  <c r="Y159" i="4"/>
  <c r="Y178" i="4"/>
  <c r="AA251" i="4"/>
  <c r="Z125" i="4"/>
  <c r="X58" i="6"/>
  <c r="V32" i="6"/>
  <c r="Q38" i="8"/>
  <c r="K38" i="8"/>
  <c r="X125" i="4"/>
  <c r="O41" i="8"/>
  <c r="S41" i="8"/>
  <c r="W41" i="8"/>
  <c r="K45" i="5"/>
  <c r="K234" i="4"/>
  <c r="K266" i="4"/>
  <c r="K267" i="4"/>
  <c r="U266" i="4"/>
  <c r="X266" i="4"/>
  <c r="X267" i="4"/>
  <c r="Z284" i="4"/>
  <c r="AA63" i="4"/>
  <c r="X43" i="4"/>
  <c r="K56" i="8"/>
  <c r="S56" i="8"/>
  <c r="W56" i="8"/>
  <c r="S51" i="8"/>
  <c r="X51" i="8"/>
  <c r="Q51" i="8"/>
  <c r="P51" i="8"/>
  <c r="K43" i="8"/>
  <c r="S43" i="8"/>
  <c r="W43" i="8"/>
  <c r="X212" i="4"/>
  <c r="Y63" i="4"/>
  <c r="R24" i="4"/>
  <c r="Q24" i="4"/>
  <c r="S266" i="4"/>
  <c r="S267" i="4"/>
  <c r="Z163" i="4"/>
  <c r="AA17" i="4"/>
  <c r="Y333" i="4"/>
  <c r="P28" i="5"/>
  <c r="Q149" i="8"/>
  <c r="S149" i="8"/>
  <c r="X149" i="8"/>
  <c r="K141" i="8"/>
  <c r="P141" i="8"/>
  <c r="J91" i="9"/>
  <c r="K135" i="6"/>
  <c r="P135" i="6"/>
  <c r="R135" i="6"/>
  <c r="X135" i="6"/>
  <c r="X137" i="6" s="1"/>
  <c r="P25" i="6"/>
  <c r="N25" i="6"/>
  <c r="J21" i="7"/>
  <c r="S271" i="4"/>
  <c r="T271" i="4"/>
  <c r="AA43" i="4"/>
  <c r="O67" i="7"/>
  <c r="P21" i="7"/>
  <c r="J16" i="7"/>
  <c r="O16" i="7" s="1"/>
  <c r="K15" i="7"/>
  <c r="K42" i="8"/>
  <c r="P42" i="8"/>
  <c r="S42" i="8"/>
  <c r="W42" i="8"/>
  <c r="J154" i="6"/>
  <c r="O154" i="6" s="1"/>
  <c r="R148" i="6"/>
  <c r="X148" i="6" s="1"/>
  <c r="X158" i="6" s="1"/>
  <c r="J153" i="6"/>
  <c r="N153" i="6" s="1"/>
  <c r="K148" i="6"/>
  <c r="Q39" i="6"/>
  <c r="V39" i="6"/>
  <c r="P39" i="6"/>
  <c r="AB26" i="6"/>
  <c r="O26" i="6"/>
  <c r="AA58" i="4"/>
  <c r="J48" i="7"/>
  <c r="L48" i="7" s="1"/>
  <c r="X118" i="4"/>
  <c r="Z305" i="4"/>
  <c r="Z246" i="4"/>
  <c r="Z212" i="4"/>
  <c r="Z96" i="4"/>
  <c r="AA305" i="4"/>
  <c r="X205" i="4"/>
  <c r="P26" i="6"/>
  <c r="O75" i="6"/>
  <c r="J157" i="6"/>
  <c r="R151" i="6"/>
  <c r="W151" i="6"/>
  <c r="O67" i="6"/>
  <c r="R67" i="6"/>
  <c r="X67" i="6"/>
  <c r="T204" i="4"/>
  <c r="T205" i="4"/>
  <c r="S158" i="4"/>
  <c r="U158" i="4"/>
  <c r="X158" i="4"/>
  <c r="X159" i="4"/>
  <c r="R198" i="8"/>
  <c r="V198" i="8"/>
  <c r="V200" i="8"/>
  <c r="V201" i="8"/>
  <c r="K131" i="8"/>
  <c r="U159" i="8"/>
  <c r="O42" i="5"/>
  <c r="AA52" i="4"/>
  <c r="AA64" i="4" s="1"/>
  <c r="R19" i="4"/>
  <c r="Q19" i="4"/>
  <c r="K84" i="6"/>
  <c r="AA177" i="4"/>
  <c r="AB141" i="8"/>
  <c r="O55" i="5"/>
  <c r="K55" i="5"/>
  <c r="N28" i="5"/>
  <c r="P117" i="6"/>
  <c r="O135" i="6"/>
  <c r="K79" i="6"/>
  <c r="P79" i="6"/>
  <c r="R75" i="6"/>
  <c r="W75" i="6" s="1"/>
  <c r="J42" i="7"/>
  <c r="O61" i="6"/>
  <c r="P42" i="6"/>
  <c r="O42" i="6"/>
  <c r="S169" i="4"/>
  <c r="T169" i="4"/>
  <c r="T172" i="4"/>
  <c r="AF162" i="4"/>
  <c r="J29" i="5"/>
  <c r="S155" i="4"/>
  <c r="T155" i="4"/>
  <c r="Y135" i="4"/>
  <c r="T326" i="4"/>
  <c r="U325" i="4"/>
  <c r="X325" i="4"/>
  <c r="AA275" i="4"/>
  <c r="N52" i="7"/>
  <c r="O46" i="5"/>
  <c r="Q174" i="8"/>
  <c r="R174" i="8"/>
  <c r="V174" i="8"/>
  <c r="V196" i="8"/>
  <c r="K174" i="8"/>
  <c r="O39" i="6"/>
  <c r="R106" i="6"/>
  <c r="X106" i="6"/>
  <c r="T254" i="4"/>
  <c r="S234" i="4"/>
  <c r="R217" i="4"/>
  <c r="S171" i="4"/>
  <c r="R169" i="4"/>
  <c r="I29" i="5"/>
  <c r="AE162" i="4"/>
  <c r="K122" i="4"/>
  <c r="T122" i="4"/>
  <c r="T125" i="4"/>
  <c r="AF122" i="4"/>
  <c r="K87" i="9"/>
  <c r="X220" i="4"/>
  <c r="X261" i="4"/>
  <c r="K25" i="4"/>
  <c r="I51" i="5"/>
  <c r="O51" i="5"/>
  <c r="R108" i="6"/>
  <c r="X108" i="6"/>
  <c r="AA300" i="4"/>
  <c r="AA246" i="4"/>
  <c r="AA172" i="4"/>
  <c r="AA178" i="4"/>
  <c r="Y228" i="4"/>
  <c r="N15" i="7"/>
  <c r="F123" i="6"/>
  <c r="L123" i="6" s="1"/>
  <c r="M123" i="6" s="1"/>
  <c r="Q123" i="6"/>
  <c r="V123" i="6" s="1"/>
  <c r="V129" i="6" s="1"/>
  <c r="T241" i="4"/>
  <c r="T224" i="4"/>
  <c r="S224" i="4"/>
  <c r="P56" i="7"/>
  <c r="O53" i="7"/>
  <c r="P148" i="6"/>
  <c r="P124" i="6"/>
  <c r="P99" i="6"/>
  <c r="P61" i="6"/>
  <c r="O79" i="6"/>
  <c r="N125" i="6"/>
  <c r="N117" i="6"/>
  <c r="N99" i="6"/>
  <c r="N72" i="6"/>
  <c r="S328" i="4"/>
  <c r="T303" i="4"/>
  <c r="T292" i="4"/>
  <c r="T272" i="4"/>
  <c r="T231" i="4"/>
  <c r="S299" i="4"/>
  <c r="S300" i="4"/>
  <c r="S233" i="4"/>
  <c r="S208" i="4"/>
  <c r="T273" i="4"/>
  <c r="R271" i="4"/>
  <c r="R241" i="4"/>
  <c r="K238" i="4"/>
  <c r="K227" i="4"/>
  <c r="K203" i="4"/>
  <c r="K205" i="4"/>
  <c r="R171" i="4"/>
  <c r="S132" i="4"/>
  <c r="S135" i="4"/>
  <c r="K127" i="4"/>
  <c r="S86" i="4"/>
  <c r="S40" i="4"/>
  <c r="O62" i="7"/>
  <c r="O56" i="7"/>
  <c r="P51" i="7"/>
  <c r="N55" i="5"/>
  <c r="O33" i="5"/>
  <c r="K65" i="6"/>
  <c r="O124" i="6"/>
  <c r="O117" i="6"/>
  <c r="O112" i="6"/>
  <c r="Q41" i="6"/>
  <c r="U41" i="6"/>
  <c r="U58" i="6"/>
  <c r="U159" i="6" s="1"/>
  <c r="T302" i="4"/>
  <c r="T305" i="4"/>
  <c r="T263" i="4"/>
  <c r="T264" i="4"/>
  <c r="T239" i="4"/>
  <c r="T211" i="4"/>
  <c r="S283" i="4"/>
  <c r="S284" i="4"/>
  <c r="S241" i="4"/>
  <c r="T282" i="4"/>
  <c r="T284" i="4"/>
  <c r="R254" i="4"/>
  <c r="T162" i="4"/>
  <c r="T163" i="4"/>
  <c r="T133" i="4"/>
  <c r="S129" i="4"/>
  <c r="J25" i="5"/>
  <c r="R129" i="4"/>
  <c r="R127" i="4"/>
  <c r="S204" i="4"/>
  <c r="S205" i="4"/>
  <c r="O113" i="9"/>
  <c r="O91" i="9"/>
  <c r="N63" i="7"/>
  <c r="O54" i="7"/>
  <c r="N51" i="7"/>
  <c r="O21" i="7"/>
  <c r="O29" i="5"/>
  <c r="Q116" i="8"/>
  <c r="P113" i="6"/>
  <c r="P106" i="6"/>
  <c r="O77" i="6"/>
  <c r="N65" i="6"/>
  <c r="T278" i="4"/>
  <c r="S239" i="4"/>
  <c r="K124" i="4"/>
  <c r="S92" i="4"/>
  <c r="S37" i="4"/>
  <c r="P88" i="6"/>
  <c r="P52" i="7"/>
  <c r="N21" i="7"/>
  <c r="P56" i="8"/>
  <c r="P103" i="6"/>
  <c r="O110" i="6"/>
  <c r="O89" i="6"/>
  <c r="O47" i="6"/>
  <c r="O35" i="6"/>
  <c r="N145" i="6"/>
  <c r="T250" i="4"/>
  <c r="S249" i="4"/>
  <c r="T217" i="4"/>
  <c r="S278" i="4"/>
  <c r="S270" i="4"/>
  <c r="S214" i="4"/>
  <c r="T274" i="4"/>
  <c r="S124" i="4"/>
  <c r="T37" i="4"/>
  <c r="S61" i="4"/>
  <c r="K48" i="4"/>
  <c r="P93" i="6"/>
  <c r="O52" i="7"/>
  <c r="N42" i="7"/>
  <c r="O32" i="7"/>
  <c r="P15" i="7"/>
  <c r="P32" i="5"/>
  <c r="N107" i="6"/>
  <c r="N88" i="6"/>
  <c r="R249" i="4"/>
  <c r="T257" i="4"/>
  <c r="S277" i="4"/>
  <c r="S211" i="4"/>
  <c r="K222" i="4"/>
  <c r="K228" i="4"/>
  <c r="T176" i="4"/>
  <c r="T60" i="4"/>
  <c r="T47" i="4"/>
  <c r="D22" i="11"/>
  <c r="P104" i="6"/>
  <c r="Q199" i="8"/>
  <c r="Q200" i="8"/>
  <c r="L67" i="6"/>
  <c r="M67" i="6"/>
  <c r="P67" i="6"/>
  <c r="Q55" i="4"/>
  <c r="L19" i="8"/>
  <c r="M19" i="8"/>
  <c r="Q19" i="8"/>
  <c r="N51" i="5"/>
  <c r="M157" i="6"/>
  <c r="O85" i="6"/>
  <c r="K85" i="6"/>
  <c r="AB85" i="6"/>
  <c r="R85" i="6"/>
  <c r="W85" i="6" s="1"/>
  <c r="J49" i="7"/>
  <c r="L49" i="7" s="1"/>
  <c r="O49" i="7"/>
  <c r="R121" i="4"/>
  <c r="K88" i="9"/>
  <c r="K89" i="9"/>
  <c r="O88" i="9"/>
  <c r="N44" i="6"/>
  <c r="Q44" i="6"/>
  <c r="U44" i="6"/>
  <c r="N123" i="9"/>
  <c r="K123" i="9"/>
  <c r="P76" i="8"/>
  <c r="K76" i="8"/>
  <c r="S76" i="8"/>
  <c r="W76" i="8"/>
  <c r="W78" i="8"/>
  <c r="X196" i="8"/>
  <c r="X201" i="8"/>
  <c r="L123" i="9"/>
  <c r="T42" i="4"/>
  <c r="R42" i="4"/>
  <c r="Q42" i="4"/>
  <c r="U42" i="4"/>
  <c r="Y42" i="4"/>
  <c r="Y43" i="4"/>
  <c r="L42" i="4"/>
  <c r="N42" i="4"/>
  <c r="Z333" i="4"/>
  <c r="P31" i="7"/>
  <c r="I33" i="7"/>
  <c r="P33" i="7"/>
  <c r="E39" i="11"/>
  <c r="K100" i="6"/>
  <c r="L100" i="6"/>
  <c r="M100" i="6"/>
  <c r="R100" i="6"/>
  <c r="X100" i="6"/>
  <c r="P51" i="9"/>
  <c r="J52" i="9"/>
  <c r="P52" i="9"/>
  <c r="Z220" i="4"/>
  <c r="O52" i="5"/>
  <c r="P52" i="5"/>
  <c r="O14" i="5"/>
  <c r="P14" i="5"/>
  <c r="J87" i="6"/>
  <c r="R87" i="6" s="1"/>
  <c r="W87" i="6" s="1"/>
  <c r="AA96" i="4"/>
  <c r="S258" i="4"/>
  <c r="T258" i="4"/>
  <c r="J34" i="4"/>
  <c r="S33" i="4"/>
  <c r="K33" i="4"/>
  <c r="T33" i="4"/>
  <c r="V33" i="4"/>
  <c r="AA33" i="4"/>
  <c r="AA35" i="4"/>
  <c r="K57" i="4"/>
  <c r="O19" i="8"/>
  <c r="P19" i="8"/>
  <c r="K258" i="4"/>
  <c r="K261" i="4"/>
  <c r="O22" i="6"/>
  <c r="N22" i="6"/>
  <c r="Z280" i="4"/>
  <c r="Z177" i="4"/>
  <c r="Z21" i="4"/>
  <c r="Q37" i="8"/>
  <c r="P37" i="8"/>
  <c r="O29" i="7"/>
  <c r="P29" i="7"/>
  <c r="P34" i="7"/>
  <c r="P46" i="6"/>
  <c r="O46" i="6"/>
  <c r="O20" i="6"/>
  <c r="V85" i="8"/>
  <c r="V86" i="8"/>
  <c r="K14" i="7"/>
  <c r="P14" i="7"/>
  <c r="K30" i="8"/>
  <c r="K96" i="6"/>
  <c r="Q31" i="8"/>
  <c r="S57" i="4"/>
  <c r="N28" i="6"/>
  <c r="P28" i="6"/>
  <c r="R200" i="4"/>
  <c r="T200" i="4"/>
  <c r="K51" i="4"/>
  <c r="S34" i="4"/>
  <c r="P30" i="6"/>
  <c r="R51" i="4"/>
  <c r="T266" i="4"/>
  <c r="T267" i="4"/>
  <c r="R96" i="6"/>
  <c r="X96" i="6"/>
  <c r="X129" i="6"/>
  <c r="O29" i="6"/>
  <c r="K46" i="4"/>
  <c r="X146" i="6"/>
  <c r="S37" i="8"/>
  <c r="W37" i="8"/>
  <c r="O37" i="6"/>
  <c r="P37" i="6"/>
  <c r="V258" i="4"/>
  <c r="Z258" i="4"/>
  <c r="Z261" i="4"/>
  <c r="Z228" i="4"/>
  <c r="U32" i="6"/>
  <c r="O127" i="9"/>
  <c r="P114" i="9"/>
  <c r="N127" i="9"/>
  <c r="P123" i="9"/>
  <c r="O114" i="9"/>
  <c r="P88" i="9"/>
  <c r="P89" i="9"/>
  <c r="O31" i="7"/>
  <c r="P42" i="5"/>
  <c r="P126" i="9"/>
  <c r="O123" i="9"/>
  <c r="O48" i="7"/>
  <c r="O14" i="7"/>
  <c r="O37" i="5"/>
  <c r="P19" i="5"/>
  <c r="P20" i="5"/>
  <c r="O100" i="6"/>
  <c r="V153" i="8"/>
  <c r="N88" i="9"/>
  <c r="O51" i="9"/>
  <c r="N14" i="7"/>
  <c r="P122" i="9"/>
  <c r="P120" i="9"/>
  <c r="P32" i="9"/>
  <c r="O30" i="7"/>
  <c r="P57" i="5"/>
  <c r="V134" i="8"/>
  <c r="O124" i="9"/>
  <c r="K124" i="9"/>
  <c r="O122" i="9"/>
  <c r="O87" i="9"/>
  <c r="O89" i="9"/>
  <c r="O32" i="9"/>
  <c r="P50" i="5"/>
  <c r="O81" i="8"/>
  <c r="V104" i="8"/>
  <c r="P124" i="9"/>
  <c r="O70" i="7"/>
  <c r="O33" i="7"/>
  <c r="N57" i="5"/>
  <c r="O50" i="5"/>
  <c r="N31" i="5"/>
  <c r="O12" i="10"/>
  <c r="O13" i="10"/>
  <c r="C22" i="11"/>
  <c r="K63" i="7"/>
  <c r="N46" i="5"/>
  <c r="P131" i="8"/>
  <c r="P81" i="8"/>
  <c r="Q76" i="8"/>
  <c r="Q27" i="8"/>
  <c r="O30" i="8"/>
  <c r="O142" i="6"/>
  <c r="O139" i="6"/>
  <c r="K139" i="6"/>
  <c r="K146" i="6"/>
  <c r="N37" i="5"/>
  <c r="P16" i="5"/>
  <c r="K177" i="8"/>
  <c r="I179" i="8"/>
  <c r="I178" i="8"/>
  <c r="P178" i="8"/>
  <c r="P107" i="8"/>
  <c r="P24" i="8"/>
  <c r="O84" i="6"/>
  <c r="P142" i="6"/>
  <c r="K142" i="6"/>
  <c r="T113" i="4"/>
  <c r="K121" i="9"/>
  <c r="O45" i="5"/>
  <c r="O41" i="5"/>
  <c r="P33" i="5"/>
  <c r="O19" i="5"/>
  <c r="O20" i="5"/>
  <c r="O16" i="5"/>
  <c r="Q189" i="8"/>
  <c r="P23" i="8"/>
  <c r="P100" i="6"/>
  <c r="O45" i="6"/>
  <c r="K45" i="6"/>
  <c r="K39" i="5"/>
  <c r="Q83" i="8"/>
  <c r="P85" i="6"/>
  <c r="O55" i="6"/>
  <c r="N37" i="6"/>
  <c r="P31" i="5"/>
  <c r="P194" i="8"/>
  <c r="P103" i="8"/>
  <c r="P96" i="6"/>
  <c r="P84" i="6"/>
  <c r="P44" i="6"/>
  <c r="O31" i="6"/>
  <c r="P123" i="8"/>
  <c r="Q131" i="8"/>
  <c r="O123" i="8"/>
  <c r="P27" i="8"/>
  <c r="O83" i="8"/>
  <c r="O32" i="8"/>
  <c r="P37" i="5"/>
  <c r="P179" i="8"/>
  <c r="P196" i="8"/>
  <c r="Q177" i="8"/>
  <c r="O137" i="8"/>
  <c r="O138" i="8"/>
  <c r="P17" i="8"/>
  <c r="O44" i="6"/>
  <c r="N151" i="6"/>
  <c r="N96" i="6"/>
  <c r="N35" i="6"/>
  <c r="S217" i="4"/>
  <c r="S220" i="4"/>
  <c r="S153" i="4"/>
  <c r="S154" i="4"/>
  <c r="T154" i="4"/>
  <c r="T132" i="4"/>
  <c r="S121" i="4"/>
  <c r="J113" i="4"/>
  <c r="AM113" i="4"/>
  <c r="S113" i="4"/>
  <c r="J115" i="4"/>
  <c r="T115" i="4"/>
  <c r="Q23" i="8"/>
  <c r="Q42" i="8"/>
  <c r="K63" i="8"/>
  <c r="Q77" i="8"/>
  <c r="Q34" i="8"/>
  <c r="Q28" i="8"/>
  <c r="I53" i="6"/>
  <c r="Q53" i="6"/>
  <c r="V53" i="6"/>
  <c r="P53" i="6"/>
  <c r="J23" i="6"/>
  <c r="L23" i="6" s="1"/>
  <c r="M23" i="6" s="1"/>
  <c r="P23" i="6"/>
  <c r="T222" i="4"/>
  <c r="T228" i="4"/>
  <c r="R263" i="4"/>
  <c r="R264" i="4"/>
  <c r="K174" i="4"/>
  <c r="K177" i="4"/>
  <c r="T174" i="4"/>
  <c r="S174" i="4"/>
  <c r="S177" i="4"/>
  <c r="U165" i="4"/>
  <c r="X165" i="4"/>
  <c r="K165" i="4"/>
  <c r="K167" i="4"/>
  <c r="T51" i="4"/>
  <c r="S23" i="4"/>
  <c r="S46" i="4"/>
  <c r="N30" i="6"/>
  <c r="T325" i="4"/>
  <c r="T298" i="4"/>
  <c r="T219" i="4"/>
  <c r="O97" i="6"/>
  <c r="N94" i="6"/>
  <c r="T235" i="4"/>
  <c r="R298" i="4"/>
  <c r="U287" i="4"/>
  <c r="X287" i="4"/>
  <c r="X288" i="4"/>
  <c r="S287" i="4"/>
  <c r="R282" i="4"/>
  <c r="R273" i="4"/>
  <c r="S115" i="4"/>
  <c r="Q141" i="8"/>
  <c r="P123" i="6"/>
  <c r="Q32" i="8"/>
  <c r="P80" i="6"/>
  <c r="Q22" i="8"/>
  <c r="O28" i="6"/>
  <c r="N43" i="6"/>
  <c r="S329" i="4"/>
  <c r="T329" i="4"/>
  <c r="T199" i="4"/>
  <c r="S235" i="4"/>
  <c r="S222" i="4"/>
  <c r="R287" i="4"/>
  <c r="T23" i="4"/>
  <c r="T25" i="4"/>
  <c r="P86" i="6"/>
  <c r="K108" i="8"/>
  <c r="O108" i="6"/>
  <c r="S327" i="4"/>
  <c r="S273" i="4"/>
  <c r="S226" i="4"/>
  <c r="S200" i="4"/>
  <c r="S201" i="4"/>
  <c r="R233" i="4"/>
  <c r="S230" i="4"/>
  <c r="S162" i="4"/>
  <c r="S163" i="4"/>
  <c r="K95" i="4"/>
  <c r="K41" i="4"/>
  <c r="P94" i="6"/>
  <c r="P75" i="8"/>
  <c r="F97" i="6"/>
  <c r="S326" i="4"/>
  <c r="S114" i="4"/>
  <c r="T114" i="4"/>
  <c r="S80" i="4"/>
  <c r="T46" i="4"/>
  <c r="T19" i="4"/>
  <c r="T158" i="4"/>
  <c r="S95" i="4"/>
  <c r="AB97" i="6"/>
  <c r="R97" i="6"/>
  <c r="W97" i="6" s="1"/>
  <c r="P97" i="6"/>
  <c r="J59" i="7"/>
  <c r="N59" i="7" s="1"/>
  <c r="L56" i="7"/>
  <c r="K56" i="7"/>
  <c r="O96" i="6"/>
  <c r="L96" i="6"/>
  <c r="M96" i="6"/>
  <c r="N56" i="7"/>
  <c r="K25" i="5"/>
  <c r="L25" i="5"/>
  <c r="P25" i="5"/>
  <c r="O153" i="6"/>
  <c r="K153" i="6"/>
  <c r="P153" i="6"/>
  <c r="K43" i="4"/>
  <c r="N25" i="5"/>
  <c r="T261" i="4"/>
  <c r="O25" i="5"/>
  <c r="S43" i="4"/>
  <c r="O42" i="7"/>
  <c r="K42" i="7"/>
  <c r="L42" i="7"/>
  <c r="K31" i="6"/>
  <c r="R31" i="6"/>
  <c r="X31" i="6" s="1"/>
  <c r="P31" i="6"/>
  <c r="S125" i="4"/>
  <c r="N49" i="7"/>
  <c r="P49" i="7"/>
  <c r="N29" i="5"/>
  <c r="L29" i="5"/>
  <c r="K29" i="5"/>
  <c r="P29" i="5"/>
  <c r="J81" i="7"/>
  <c r="K81" i="7" s="1"/>
  <c r="R28" i="6"/>
  <c r="X28" i="6"/>
  <c r="K28" i="6"/>
  <c r="L28" i="6"/>
  <c r="M28" i="6" s="1"/>
  <c r="O23" i="6"/>
  <c r="K30" i="6"/>
  <c r="AB30" i="6"/>
  <c r="K22" i="6"/>
  <c r="L22" i="6"/>
  <c r="M22" i="6"/>
  <c r="R22" i="6"/>
  <c r="X22" i="6"/>
  <c r="P22" i="6"/>
  <c r="J66" i="9"/>
  <c r="O66" i="9" s="1"/>
  <c r="S117" i="8"/>
  <c r="W117" i="8" s="1"/>
  <c r="W134" i="8" s="1"/>
  <c r="W159" i="8" s="1"/>
  <c r="N24" i="4"/>
  <c r="O157" i="6"/>
  <c r="R157" i="6"/>
  <c r="X157" i="6"/>
  <c r="S236" i="4"/>
  <c r="T201" i="4"/>
  <c r="P51" i="5"/>
  <c r="L51" i="5"/>
  <c r="P42" i="7"/>
  <c r="S172" i="4"/>
  <c r="J92" i="9"/>
  <c r="P91" i="9"/>
  <c r="L91" i="9"/>
  <c r="K91" i="9"/>
  <c r="K29" i="6"/>
  <c r="K20" i="6"/>
  <c r="R20" i="6"/>
  <c r="X20" i="6" s="1"/>
  <c r="N70" i="7"/>
  <c r="L70" i="7"/>
  <c r="K70" i="7"/>
  <c r="P70" i="7"/>
  <c r="K236" i="4"/>
  <c r="K51" i="5"/>
  <c r="N16" i="7"/>
  <c r="P16" i="7"/>
  <c r="K16" i="7"/>
  <c r="L16" i="7"/>
  <c r="K48" i="7"/>
  <c r="K21" i="7"/>
  <c r="J22" i="7"/>
  <c r="L21" i="7"/>
  <c r="P41" i="5"/>
  <c r="N41" i="5"/>
  <c r="K41" i="5"/>
  <c r="L41" i="5"/>
  <c r="K42" i="5"/>
  <c r="S108" i="8"/>
  <c r="W108" i="8"/>
  <c r="O108" i="8"/>
  <c r="Q108" i="8"/>
  <c r="S35" i="4"/>
  <c r="P17" i="5"/>
  <c r="K77" i="8"/>
  <c r="P28" i="8"/>
  <c r="V159" i="8"/>
  <c r="V34" i="4"/>
  <c r="AA34" i="4"/>
  <c r="K34" i="4"/>
  <c r="L34" i="4"/>
  <c r="R34" i="4"/>
  <c r="Q34" i="4"/>
  <c r="T34" i="4"/>
  <c r="O17" i="5"/>
  <c r="N33" i="7"/>
  <c r="K33" i="7"/>
  <c r="K34" i="7"/>
  <c r="L33" i="7"/>
  <c r="K49" i="7"/>
  <c r="J18" i="9"/>
  <c r="T21" i="4"/>
  <c r="J116" i="9"/>
  <c r="N116" i="9"/>
  <c r="R178" i="8"/>
  <c r="U178" i="8"/>
  <c r="U196" i="8"/>
  <c r="K178" i="8"/>
  <c r="K196" i="8"/>
  <c r="AA178" i="8"/>
  <c r="O178" i="8"/>
  <c r="Q51" i="4"/>
  <c r="O34" i="7"/>
  <c r="S28" i="8"/>
  <c r="W28" i="8"/>
  <c r="L28" i="8"/>
  <c r="K28" i="8"/>
  <c r="K75" i="8"/>
  <c r="K78" i="8"/>
  <c r="S75" i="8"/>
  <c r="X75" i="8"/>
  <c r="X78" i="8"/>
  <c r="Q75" i="8"/>
  <c r="S25" i="4"/>
  <c r="Q179" i="8"/>
  <c r="R179" i="8"/>
  <c r="U179" i="8"/>
  <c r="K179" i="8"/>
  <c r="AA179" i="8"/>
  <c r="O179" i="8"/>
  <c r="J117" i="9"/>
  <c r="L117" i="9"/>
  <c r="L179" i="8"/>
  <c r="S228" i="4"/>
  <c r="K23" i="6"/>
  <c r="AF115" i="4"/>
  <c r="AF336" i="4"/>
  <c r="AM115" i="4"/>
  <c r="V115" i="4"/>
  <c r="Z115" i="4"/>
  <c r="K115" i="4"/>
  <c r="L115" i="4"/>
  <c r="N115" i="4"/>
  <c r="R115" i="4"/>
  <c r="O52" i="9"/>
  <c r="K52" i="9"/>
  <c r="K22" i="8"/>
  <c r="S22" i="8"/>
  <c r="X22" i="8"/>
  <c r="X48" i="8"/>
  <c r="P22" i="8"/>
  <c r="L22" i="8"/>
  <c r="K53" i="6"/>
  <c r="V113" i="4"/>
  <c r="Z113" i="4"/>
  <c r="Z118" i="4"/>
  <c r="Z136" i="4"/>
  <c r="K113" i="4"/>
  <c r="P87" i="6"/>
  <c r="AB87" i="6"/>
  <c r="J50" i="7"/>
  <c r="K87" i="6"/>
  <c r="L59" i="7"/>
  <c r="P59" i="7"/>
  <c r="O59" i="7"/>
  <c r="K59" i="7"/>
  <c r="J60" i="7"/>
  <c r="O60" i="7" s="1"/>
  <c r="K22" i="7"/>
  <c r="N22" i="7"/>
  <c r="L22" i="7"/>
  <c r="O22" i="7"/>
  <c r="P22" i="7"/>
  <c r="P117" i="9"/>
  <c r="K117" i="9"/>
  <c r="N117" i="9"/>
  <c r="O116" i="9"/>
  <c r="K116" i="9"/>
  <c r="K128" i="9"/>
  <c r="J118" i="9"/>
  <c r="P118" i="9"/>
  <c r="N60" i="7"/>
  <c r="P60" i="7"/>
  <c r="K60" i="7"/>
  <c r="L60" i="7"/>
  <c r="K118" i="9"/>
  <c r="O118" i="9"/>
  <c r="P116" i="9"/>
  <c r="P128" i="9"/>
  <c r="L53" i="6"/>
  <c r="M53" i="6"/>
  <c r="L178" i="8"/>
  <c r="Y300" i="4"/>
  <c r="Y275" i="4"/>
  <c r="X228" i="4"/>
  <c r="O54" i="5"/>
  <c r="K54" i="5"/>
  <c r="N54" i="5"/>
  <c r="L54" i="5"/>
  <c r="P54" i="5"/>
  <c r="K16" i="5"/>
  <c r="K17" i="5"/>
  <c r="S293" i="4"/>
  <c r="U90" i="4"/>
  <c r="Y90" i="4"/>
  <c r="Y96" i="4"/>
  <c r="S90" i="4"/>
  <c r="K90" i="4"/>
  <c r="AM90" i="4"/>
  <c r="T90" i="4"/>
  <c r="T96" i="4"/>
  <c r="L116" i="9"/>
  <c r="O53" i="6"/>
  <c r="K125" i="4"/>
  <c r="N323" i="4"/>
  <c r="X201" i="4"/>
  <c r="I50" i="4"/>
  <c r="T49" i="4"/>
  <c r="R49" i="4"/>
  <c r="U49" i="4"/>
  <c r="Y49" i="4"/>
  <c r="L49" i="4"/>
  <c r="N49" i="4"/>
  <c r="S49" i="4"/>
  <c r="K19" i="4"/>
  <c r="K21" i="4"/>
  <c r="S19" i="4"/>
  <c r="L19" i="4"/>
  <c r="N19" i="4"/>
  <c r="O117" i="9"/>
  <c r="O128" i="9"/>
  <c r="Q178" i="8"/>
  <c r="Q196" i="8"/>
  <c r="Q201" i="8"/>
  <c r="D20" i="11"/>
  <c r="X275" i="4"/>
  <c r="X163" i="4"/>
  <c r="U137" i="6"/>
  <c r="K96" i="4"/>
  <c r="X96" i="4"/>
  <c r="L139" i="6"/>
  <c r="Q139" i="6"/>
  <c r="V139" i="6"/>
  <c r="V146" i="6"/>
  <c r="N139" i="6"/>
  <c r="U116" i="4"/>
  <c r="Y116" i="4"/>
  <c r="Y118" i="4"/>
  <c r="Y136" i="4"/>
  <c r="R116" i="4"/>
  <c r="K116" i="4"/>
  <c r="K118" i="4"/>
  <c r="K136" i="4"/>
  <c r="T116" i="4"/>
  <c r="AM116" i="4"/>
  <c r="I23" i="5"/>
  <c r="S116" i="4"/>
  <c r="S118" i="4"/>
  <c r="K37" i="6"/>
  <c r="Q37" i="6"/>
  <c r="V37" i="6"/>
  <c r="L37" i="6"/>
  <c r="M37" i="6"/>
  <c r="K49" i="5"/>
  <c r="P49" i="5"/>
  <c r="O49" i="5"/>
  <c r="U327" i="4"/>
  <c r="X327" i="4"/>
  <c r="X333" i="4"/>
  <c r="K327" i="4"/>
  <c r="K333" i="4"/>
  <c r="L327" i="4"/>
  <c r="N327" i="4"/>
  <c r="AE327" i="4"/>
  <c r="T327" i="4"/>
  <c r="I53" i="5"/>
  <c r="T277" i="4"/>
  <c r="U277" i="4"/>
  <c r="X277" i="4"/>
  <c r="X280" i="4"/>
  <c r="K277" i="4"/>
  <c r="K280" i="4"/>
  <c r="N253" i="4"/>
  <c r="I40" i="5"/>
  <c r="U253" i="4"/>
  <c r="X253" i="4"/>
  <c r="X255" i="4"/>
  <c r="K253" i="4"/>
  <c r="K255" i="4"/>
  <c r="I43" i="5"/>
  <c r="O43" i="5"/>
  <c r="S242" i="4"/>
  <c r="U242" i="4"/>
  <c r="X242" i="4"/>
  <c r="X246" i="4"/>
  <c r="U129" i="4"/>
  <c r="X129" i="4"/>
  <c r="X130" i="4"/>
  <c r="X136" i="4"/>
  <c r="K129" i="4"/>
  <c r="K130" i="4"/>
  <c r="AM129" i="4"/>
  <c r="L129" i="4"/>
  <c r="N129" i="4"/>
  <c r="AE129" i="4"/>
  <c r="K60" i="4"/>
  <c r="K63" i="4"/>
  <c r="U28" i="4"/>
  <c r="Y28" i="4"/>
  <c r="T28" i="4"/>
  <c r="I29" i="4"/>
  <c r="R28" i="4"/>
  <c r="Q28" i="4"/>
  <c r="S28" i="4"/>
  <c r="X135" i="4"/>
  <c r="O41" i="6"/>
  <c r="O58" i="6"/>
  <c r="N41" i="6"/>
  <c r="K41" i="6"/>
  <c r="P41" i="6"/>
  <c r="S330" i="4"/>
  <c r="S333" i="4"/>
  <c r="C14" i="11"/>
  <c r="T330" i="4"/>
  <c r="L330" i="4"/>
  <c r="N330" i="4"/>
  <c r="K330" i="4"/>
  <c r="AE330" i="4"/>
  <c r="U330" i="4"/>
  <c r="X330" i="4"/>
  <c r="I56" i="5"/>
  <c r="R330" i="4"/>
  <c r="S286" i="4"/>
  <c r="S288" i="4"/>
  <c r="R286" i="4"/>
  <c r="R288" i="4"/>
  <c r="L286" i="4"/>
  <c r="T286" i="4"/>
  <c r="K286" i="4"/>
  <c r="T166" i="4"/>
  <c r="T167" i="4"/>
  <c r="I30" i="5"/>
  <c r="R166" i="4"/>
  <c r="N166" i="4"/>
  <c r="L166" i="4"/>
  <c r="S166" i="4"/>
  <c r="S167" i="4"/>
  <c r="AE166" i="4"/>
  <c r="U166" i="4"/>
  <c r="X166" i="4"/>
  <c r="X167" i="4"/>
  <c r="O28" i="5"/>
  <c r="S274" i="4"/>
  <c r="R128" i="4"/>
  <c r="T230" i="4"/>
  <c r="S209" i="4"/>
  <c r="S207" i="4"/>
  <c r="K305" i="4"/>
  <c r="T299" i="4"/>
  <c r="T300" i="4"/>
  <c r="T112" i="4"/>
  <c r="T118" i="4"/>
  <c r="S94" i="4"/>
  <c r="S96" i="4"/>
  <c r="C10" i="11"/>
  <c r="T38" i="4"/>
  <c r="O44" i="5"/>
  <c r="O23" i="5"/>
  <c r="O26" i="5"/>
  <c r="T295" i="4"/>
  <c r="T296" i="4"/>
  <c r="R232" i="4"/>
  <c r="T127" i="4"/>
  <c r="T130" i="4"/>
  <c r="K212" i="4"/>
  <c r="T270" i="4"/>
  <c r="S157" i="4"/>
  <c r="T134" i="4"/>
  <c r="T135" i="4"/>
  <c r="P139" i="6"/>
  <c r="P146" i="6"/>
  <c r="T279" i="4"/>
  <c r="T253" i="4"/>
  <c r="T255" i="4"/>
  <c r="T129" i="4"/>
  <c r="S60" i="4"/>
  <c r="S63" i="4"/>
  <c r="E38" i="11"/>
  <c r="E10" i="11"/>
  <c r="V30" i="4"/>
  <c r="AA30" i="4"/>
  <c r="Z58" i="4"/>
  <c r="W146" i="6"/>
  <c r="L39" i="5"/>
  <c r="P39" i="5"/>
  <c r="O39" i="5"/>
  <c r="K269" i="4"/>
  <c r="S269" i="4"/>
  <c r="S275" i="4"/>
  <c r="T269" i="4"/>
  <c r="V269" i="4"/>
  <c r="Z269" i="4"/>
  <c r="Z275" i="4"/>
  <c r="V287" i="4"/>
  <c r="Z287" i="4"/>
  <c r="L287" i="4"/>
  <c r="K287" i="4"/>
  <c r="T287" i="4"/>
  <c r="T288" i="4"/>
  <c r="V271" i="4"/>
  <c r="Z271" i="4"/>
  <c r="K271" i="4"/>
  <c r="R113" i="6"/>
  <c r="W113" i="6"/>
  <c r="L217" i="4"/>
  <c r="V217" i="4"/>
  <c r="Z217" i="4"/>
  <c r="K217" i="4"/>
  <c r="K220" i="4"/>
  <c r="L37" i="5"/>
  <c r="K37" i="5"/>
  <c r="K200" i="4"/>
  <c r="K201" i="4"/>
  <c r="V200" i="4"/>
  <c r="Z200" i="4"/>
  <c r="L200" i="4"/>
  <c r="N200" i="4"/>
  <c r="K132" i="4"/>
  <c r="K135" i="4"/>
  <c r="L132" i="4"/>
  <c r="N132" i="4"/>
  <c r="V132" i="4"/>
  <c r="AA132" i="4"/>
  <c r="AA135" i="4"/>
  <c r="AA136" i="4"/>
  <c r="R132" i="4"/>
  <c r="AM132" i="4"/>
  <c r="V61" i="4"/>
  <c r="AA61" i="4"/>
  <c r="T61" i="4"/>
  <c r="K37" i="7"/>
  <c r="O37" i="7"/>
  <c r="P37" i="7"/>
  <c r="J38" i="7"/>
  <c r="T240" i="4"/>
  <c r="S240" i="4"/>
  <c r="K240" i="4"/>
  <c r="R142" i="6"/>
  <c r="X142" i="6"/>
  <c r="L45" i="5"/>
  <c r="P45" i="5"/>
  <c r="N45" i="5"/>
  <c r="K242" i="4"/>
  <c r="T242" i="4"/>
  <c r="V242" i="4"/>
  <c r="Z242" i="4"/>
  <c r="L154" i="4"/>
  <c r="L159" i="4"/>
  <c r="K154" i="4"/>
  <c r="K159" i="4"/>
  <c r="K178" i="4"/>
  <c r="R154" i="4"/>
  <c r="V154" i="4"/>
  <c r="Z154" i="4"/>
  <c r="Z159" i="4"/>
  <c r="Z178" i="4"/>
  <c r="V29" i="4"/>
  <c r="AA29" i="4"/>
  <c r="K29" i="4"/>
  <c r="L124" i="6"/>
  <c r="M124" i="6"/>
  <c r="R124" i="6"/>
  <c r="X124" i="6"/>
  <c r="K124" i="6"/>
  <c r="N124" i="6"/>
  <c r="S244" i="4"/>
  <c r="S246" i="4"/>
  <c r="V244" i="4"/>
  <c r="Z244" i="4"/>
  <c r="K244" i="4"/>
  <c r="L244" i="4"/>
  <c r="N244" i="4"/>
  <c r="T244" i="4"/>
  <c r="K103" i="6"/>
  <c r="T291" i="4"/>
  <c r="T232" i="4"/>
  <c r="T236" i="4"/>
  <c r="S253" i="4"/>
  <c r="S255" i="4"/>
  <c r="T175" i="4"/>
  <c r="T177" i="4"/>
  <c r="J34" i="5"/>
  <c r="S128" i="4"/>
  <c r="S130" i="4"/>
  <c r="O143" i="6"/>
  <c r="O146" i="6"/>
  <c r="S260" i="4"/>
  <c r="S261" i="4"/>
  <c r="K15" i="4"/>
  <c r="K17" i="4"/>
  <c r="S15" i="4"/>
  <c r="S17" i="4"/>
  <c r="P114" i="6"/>
  <c r="T209" i="4"/>
  <c r="R227" i="4"/>
  <c r="P44" i="5"/>
  <c r="K107" i="6"/>
  <c r="P118" i="6"/>
  <c r="O118" i="6"/>
  <c r="K295" i="4"/>
  <c r="K296" i="4"/>
  <c r="T215" i="4"/>
  <c r="T220" i="4"/>
  <c r="T290" i="4"/>
  <c r="T15" i="4"/>
  <c r="T17" i="4"/>
  <c r="O107" i="6"/>
  <c r="T157" i="4"/>
  <c r="T159" i="4"/>
  <c r="T178" i="4"/>
  <c r="D12" i="11"/>
  <c r="T207" i="4"/>
  <c r="T212" i="4"/>
  <c r="E14" i="11"/>
  <c r="X178" i="4"/>
  <c r="K40" i="5"/>
  <c r="P40" i="5"/>
  <c r="O40" i="5"/>
  <c r="L53" i="5"/>
  <c r="K53" i="5"/>
  <c r="K59" i="5"/>
  <c r="N53" i="5"/>
  <c r="O53" i="5"/>
  <c r="P53" i="5"/>
  <c r="P59" i="5"/>
  <c r="T333" i="4"/>
  <c r="D14" i="11"/>
  <c r="D10" i="11"/>
  <c r="K288" i="4"/>
  <c r="K275" i="4"/>
  <c r="T43" i="4"/>
  <c r="S212" i="4"/>
  <c r="K30" i="5"/>
  <c r="O30" i="5"/>
  <c r="O35" i="5"/>
  <c r="P30" i="5"/>
  <c r="N30" i="5"/>
  <c r="L30" i="5"/>
  <c r="P56" i="5"/>
  <c r="L56" i="5"/>
  <c r="K56" i="5"/>
  <c r="O56" i="5"/>
  <c r="O59" i="5"/>
  <c r="Q49" i="4"/>
  <c r="L43" i="5"/>
  <c r="K43" i="5"/>
  <c r="P43" i="5"/>
  <c r="N43" i="5"/>
  <c r="T52" i="4"/>
  <c r="T64" i="4" s="1"/>
  <c r="D9" i="11" s="1"/>
  <c r="AE336" i="4"/>
  <c r="AG336" i="4"/>
  <c r="K58" i="6"/>
  <c r="R50" i="4"/>
  <c r="K50" i="4"/>
  <c r="U50" i="4"/>
  <c r="Y50" i="4"/>
  <c r="L50" i="4"/>
  <c r="N50" i="4"/>
  <c r="T50" i="4"/>
  <c r="S50" i="4"/>
  <c r="S21" i="4"/>
  <c r="T275" i="4"/>
  <c r="I30" i="4"/>
  <c r="U29" i="4"/>
  <c r="Y29" i="4"/>
  <c r="T29" i="4"/>
  <c r="S29" i="4"/>
  <c r="T280" i="4"/>
  <c r="N23" i="5"/>
  <c r="N26" i="5"/>
  <c r="K23" i="5"/>
  <c r="K26" i="5"/>
  <c r="P23" i="5"/>
  <c r="P26" i="5"/>
  <c r="L23" i="5"/>
  <c r="L26" i="5"/>
  <c r="K246" i="4"/>
  <c r="T293" i="4"/>
  <c r="K34" i="5"/>
  <c r="K35" i="5"/>
  <c r="P34" i="5"/>
  <c r="P35" i="5"/>
  <c r="O34" i="5"/>
  <c r="T63" i="4"/>
  <c r="T246" i="4"/>
  <c r="E12" i="11"/>
  <c r="N38" i="7"/>
  <c r="L38" i="7"/>
  <c r="K38" i="7"/>
  <c r="P38" i="7"/>
  <c r="O38" i="7"/>
  <c r="E11" i="11"/>
  <c r="E43" i="11"/>
  <c r="E40" i="11"/>
  <c r="Q50" i="4"/>
  <c r="U30" i="4"/>
  <c r="Y30" i="4"/>
  <c r="K30" i="4"/>
  <c r="K35" i="4"/>
  <c r="S30" i="4"/>
  <c r="T30" i="4"/>
  <c r="T35" i="4"/>
  <c r="R30" i="4"/>
  <c r="Q30" i="4"/>
  <c r="L30" i="4"/>
  <c r="N30" i="4"/>
  <c r="E41" i="11"/>
  <c r="N53" i="7"/>
  <c r="L120" i="9"/>
  <c r="L67" i="7"/>
  <c r="L16" i="5"/>
  <c r="N126" i="9"/>
  <c r="N118" i="9"/>
  <c r="N52" i="9"/>
  <c r="N42" i="5"/>
  <c r="N34" i="5"/>
  <c r="N32" i="9"/>
  <c r="L30" i="7"/>
  <c r="N40" i="5"/>
  <c r="N19" i="5"/>
  <c r="N20" i="5"/>
  <c r="L142" i="6"/>
  <c r="O110" i="8"/>
  <c r="L57" i="4"/>
  <c r="N57" i="4"/>
  <c r="L304" i="4"/>
  <c r="L85" i="6"/>
  <c r="M85" i="6" s="1"/>
  <c r="M20" i="8"/>
  <c r="L47" i="6"/>
  <c r="M47" i="6"/>
  <c r="L191" i="8"/>
  <c r="L38" i="4"/>
  <c r="L212" i="4"/>
  <c r="O61" i="8"/>
  <c r="N78" i="6"/>
  <c r="O180" i="8"/>
  <c r="N42" i="6"/>
  <c r="O198" i="8"/>
  <c r="L31" i="8"/>
  <c r="L40" i="4"/>
  <c r="N40" i="4"/>
  <c r="L95" i="4"/>
  <c r="N95" i="4"/>
  <c r="N152" i="6"/>
  <c r="L106" i="6"/>
  <c r="M106" i="6"/>
  <c r="L242" i="4"/>
  <c r="N242" i="4"/>
  <c r="L253" i="4"/>
  <c r="L255" i="4"/>
  <c r="L29" i="6"/>
  <c r="M29" i="6" s="1"/>
  <c r="N113" i="6"/>
  <c r="N102" i="6"/>
  <c r="N77" i="6"/>
  <c r="L184" i="8"/>
  <c r="M146" i="8"/>
  <c r="R266" i="4"/>
  <c r="R267" i="4"/>
  <c r="L14" i="4"/>
  <c r="N14" i="4"/>
  <c r="L277" i="4"/>
  <c r="L45" i="6"/>
  <c r="M45" i="6"/>
  <c r="L112" i="4"/>
  <c r="N112" i="4"/>
  <c r="O27" i="8"/>
  <c r="O103" i="8"/>
  <c r="L16" i="6"/>
  <c r="M16" i="6" s="1"/>
  <c r="R223" i="4"/>
  <c r="L250" i="4"/>
  <c r="N250" i="4" s="1"/>
  <c r="R325" i="4"/>
  <c r="M153" i="8"/>
  <c r="L84" i="4"/>
  <c r="N84" i="4"/>
  <c r="L128" i="6"/>
  <c r="M128" i="6"/>
  <c r="R279" i="4"/>
  <c r="L46" i="4"/>
  <c r="L29" i="8"/>
  <c r="O35" i="8"/>
  <c r="L299" i="4"/>
  <c r="L300" i="4"/>
  <c r="L115" i="6"/>
  <c r="M115" i="6"/>
  <c r="L194" i="8"/>
  <c r="L76" i="8"/>
  <c r="L61" i="4"/>
  <c r="N61" i="4"/>
  <c r="R258" i="4"/>
  <c r="M135" i="6"/>
  <c r="M137" i="6" s="1"/>
  <c r="N109" i="6"/>
  <c r="R324" i="4"/>
  <c r="L122" i="4"/>
  <c r="M142" i="8"/>
  <c r="L48" i="6"/>
  <c r="M48" i="6"/>
  <c r="M113" i="8"/>
  <c r="N40" i="6"/>
  <c r="N141" i="6"/>
  <c r="O51" i="8"/>
  <c r="L86" i="6"/>
  <c r="M86" i="6" s="1"/>
  <c r="L42" i="8"/>
  <c r="N81" i="6"/>
  <c r="L272" i="4"/>
  <c r="L15" i="6"/>
  <c r="M15" i="6" s="1"/>
  <c r="R15" i="4"/>
  <c r="Q15" i="4"/>
  <c r="N20" i="6"/>
  <c r="O156" i="8"/>
  <c r="L104" i="6"/>
  <c r="M104" i="6"/>
  <c r="N26" i="6"/>
  <c r="L332" i="4"/>
  <c r="N332" i="4"/>
  <c r="M196" i="8"/>
  <c r="L29" i="4"/>
  <c r="N29" i="4"/>
  <c r="L177" i="8"/>
  <c r="R283" i="4"/>
  <c r="R284" i="4"/>
  <c r="M134" i="8"/>
  <c r="O157" i="8"/>
  <c r="O70" i="8"/>
  <c r="N112" i="6"/>
  <c r="L165" i="4"/>
  <c r="L57" i="6"/>
  <c r="M57" i="6"/>
  <c r="L201" i="4"/>
  <c r="N199" i="4"/>
  <c r="L269" i="4"/>
  <c r="N23" i="6"/>
  <c r="L88" i="4"/>
  <c r="N88" i="4"/>
  <c r="R92" i="4"/>
  <c r="O187" i="8"/>
  <c r="L148" i="6"/>
  <c r="L238" i="4"/>
  <c r="L303" i="4"/>
  <c r="L73" i="6"/>
  <c r="M73" i="6" s="1"/>
  <c r="L204" i="4"/>
  <c r="N204" i="4"/>
  <c r="O125" i="8"/>
  <c r="L231" i="4"/>
  <c r="L236" i="4"/>
  <c r="R260" i="4"/>
  <c r="L49" i="6"/>
  <c r="M49" i="6"/>
  <c r="R199" i="4"/>
  <c r="L61" i="6"/>
  <c r="M61" i="6"/>
  <c r="O66" i="8"/>
  <c r="N69" i="6"/>
  <c r="N80" i="6"/>
  <c r="R156" i="4"/>
  <c r="O63" i="8"/>
  <c r="L295" i="4"/>
  <c r="L296" i="4"/>
  <c r="L41" i="4"/>
  <c r="N41" i="4"/>
  <c r="L183" i="8"/>
  <c r="N131" i="6"/>
  <c r="L62" i="6"/>
  <c r="M62" i="6" s="1"/>
  <c r="N87" i="6"/>
  <c r="L153" i="6"/>
  <c r="N66" i="6"/>
  <c r="L16" i="4"/>
  <c r="N16" i="4"/>
  <c r="N83" i="6"/>
  <c r="L110" i="6"/>
  <c r="M110" i="6"/>
  <c r="L38" i="6"/>
  <c r="M38" i="6"/>
  <c r="O149" i="8"/>
  <c r="L25" i="4"/>
  <c r="N75" i="6"/>
  <c r="L17" i="6"/>
  <c r="M17" i="6"/>
  <c r="L56" i="8"/>
  <c r="N31" i="6"/>
  <c r="Z197" i="4"/>
  <c r="Z306" i="4"/>
  <c r="K58" i="9"/>
  <c r="N58" i="9"/>
  <c r="P58" i="9"/>
  <c r="L58" i="9"/>
  <c r="O58" i="9"/>
  <c r="P46" i="8"/>
  <c r="O106" i="8"/>
  <c r="P53" i="9"/>
  <c r="T58" i="4"/>
  <c r="O151" i="8"/>
  <c r="L83" i="8"/>
  <c r="P83" i="8"/>
  <c r="S110" i="8"/>
  <c r="W110" i="8"/>
  <c r="S80" i="8"/>
  <c r="X80" i="8"/>
  <c r="X85" i="8"/>
  <c r="AB83" i="8"/>
  <c r="W158" i="8"/>
  <c r="K195" i="4"/>
  <c r="K197" i="4" s="1"/>
  <c r="K306" i="4" s="1"/>
  <c r="E13" i="11" s="1"/>
  <c r="P151" i="8"/>
  <c r="P153" i="8"/>
  <c r="Q18" i="8"/>
  <c r="P18" i="8"/>
  <c r="Q46" i="8"/>
  <c r="L75" i="8"/>
  <c r="L78" i="8"/>
  <c r="L46" i="8"/>
  <c r="P77" i="8"/>
  <c r="P78" i="8"/>
  <c r="K34" i="8"/>
  <c r="Q151" i="8"/>
  <c r="L18" i="8"/>
  <c r="J14" i="9"/>
  <c r="Q110" i="8"/>
  <c r="S107" i="8"/>
  <c r="W107" i="8"/>
  <c r="W113" i="8"/>
  <c r="K52" i="8"/>
  <c r="O34" i="8"/>
  <c r="S46" i="8"/>
  <c r="W46" i="8"/>
  <c r="P34" i="8"/>
  <c r="L106" i="8"/>
  <c r="P110" i="8"/>
  <c r="K18" i="8"/>
  <c r="Y58" i="4"/>
  <c r="Q70" i="8"/>
  <c r="Q53" i="8"/>
  <c r="K46" i="8"/>
  <c r="K58" i="4"/>
  <c r="Q81" i="8"/>
  <c r="J30" i="9"/>
  <c r="O28" i="8"/>
  <c r="J56" i="9"/>
  <c r="O18" i="8"/>
  <c r="P106" i="8"/>
  <c r="K81" i="8"/>
  <c r="W48" i="8"/>
  <c r="Q59" i="8"/>
  <c r="Q106" i="8"/>
  <c r="K151" i="8"/>
  <c r="L151" i="8"/>
  <c r="O57" i="9"/>
  <c r="N57" i="9"/>
  <c r="X158" i="8"/>
  <c r="O75" i="8"/>
  <c r="L108" i="8"/>
  <c r="P14" i="8"/>
  <c r="P15" i="8"/>
  <c r="K62" i="6"/>
  <c r="L63" i="6"/>
  <c r="M63" i="6"/>
  <c r="Q84" i="8"/>
  <c r="S14" i="8"/>
  <c r="W14" i="8"/>
  <c r="W15" i="8"/>
  <c r="W85" i="8"/>
  <c r="P57" i="8"/>
  <c r="K57" i="8"/>
  <c r="S84" i="8"/>
  <c r="W84" i="8"/>
  <c r="K55" i="9"/>
  <c r="P62" i="6"/>
  <c r="Q158" i="8"/>
  <c r="N62" i="6"/>
  <c r="J64" i="6"/>
  <c r="N64" i="6" s="1"/>
  <c r="K14" i="8"/>
  <c r="K15" i="8"/>
  <c r="AB84" i="8"/>
  <c r="J22" i="9"/>
  <c r="N22" i="9"/>
  <c r="P157" i="8"/>
  <c r="P158" i="8"/>
  <c r="K45" i="8"/>
  <c r="O62" i="6"/>
  <c r="O129" i="8"/>
  <c r="P129" i="8"/>
  <c r="S17" i="8"/>
  <c r="X17" i="8"/>
  <c r="X20" i="8"/>
  <c r="J33" i="9"/>
  <c r="O55" i="9"/>
  <c r="L131" i="6"/>
  <c r="M131" i="6"/>
  <c r="M133" i="6"/>
  <c r="O14" i="8"/>
  <c r="O15" i="8"/>
  <c r="N55" i="9"/>
  <c r="L57" i="8"/>
  <c r="R63" i="6"/>
  <c r="X63" i="6"/>
  <c r="R62" i="6"/>
  <c r="X62" i="6" s="1"/>
  <c r="Q14" i="8"/>
  <c r="Q15" i="8"/>
  <c r="K152" i="8"/>
  <c r="R131" i="6"/>
  <c r="X131" i="6"/>
  <c r="X133" i="6"/>
  <c r="K148" i="8"/>
  <c r="Q57" i="8"/>
  <c r="L17" i="8"/>
  <c r="K84" i="8"/>
  <c r="Q67" i="8"/>
  <c r="K158" i="8"/>
  <c r="L45" i="8"/>
  <c r="Q129" i="8"/>
  <c r="L55" i="9"/>
  <c r="K63" i="6"/>
  <c r="J79" i="9"/>
  <c r="S45" i="8"/>
  <c r="W45" i="8"/>
  <c r="P45" i="8"/>
  <c r="P108" i="8"/>
  <c r="L77" i="8"/>
  <c r="O84" i="8"/>
  <c r="Q17" i="8"/>
  <c r="Q20" i="8"/>
  <c r="P67" i="8"/>
  <c r="O45" i="8"/>
  <c r="O57" i="8"/>
  <c r="L84" i="8"/>
  <c r="L129" i="8"/>
  <c r="S129" i="8"/>
  <c r="W129" i="8"/>
  <c r="J132" i="6"/>
  <c r="S67" i="8"/>
  <c r="W67" i="8"/>
  <c r="O69" i="8"/>
  <c r="P63" i="6"/>
  <c r="K67" i="8"/>
  <c r="N63" i="6"/>
  <c r="L67" i="8"/>
  <c r="K131" i="6"/>
  <c r="Q78" i="8"/>
  <c r="K22" i="9"/>
  <c r="R199" i="8"/>
  <c r="U199" i="8"/>
  <c r="U200" i="8"/>
  <c r="U201" i="8"/>
  <c r="K199" i="8"/>
  <c r="K200" i="8"/>
  <c r="K201" i="8"/>
  <c r="L199" i="8"/>
  <c r="P199" i="8"/>
  <c r="P200" i="8"/>
  <c r="AA199" i="8"/>
  <c r="AA202" i="8"/>
  <c r="O199" i="8"/>
  <c r="S109" i="8"/>
  <c r="W109" i="8"/>
  <c r="K109" i="8"/>
  <c r="L109" i="8"/>
  <c r="O109" i="8"/>
  <c r="Q109" i="8"/>
  <c r="P109" i="8"/>
  <c r="K71" i="8"/>
  <c r="Q71" i="8"/>
  <c r="AB71" i="8"/>
  <c r="O71" i="8"/>
  <c r="P71" i="8"/>
  <c r="S71" i="8"/>
  <c r="W71" i="8"/>
  <c r="L71" i="8"/>
  <c r="K33" i="8"/>
  <c r="O33" i="8"/>
  <c r="L33" i="8"/>
  <c r="S33" i="8"/>
  <c r="W33" i="8"/>
  <c r="P33" i="8"/>
  <c r="P48" i="8"/>
  <c r="Q33" i="8"/>
  <c r="K140" i="8"/>
  <c r="K142" i="8"/>
  <c r="O140" i="8"/>
  <c r="P140" i="8"/>
  <c r="P142" i="8"/>
  <c r="L140" i="8"/>
  <c r="L142" i="8"/>
  <c r="Q140" i="8"/>
  <c r="Q142" i="8"/>
  <c r="S140" i="8"/>
  <c r="X140" i="8"/>
  <c r="X142" i="8"/>
  <c r="O44" i="8"/>
  <c r="P44" i="8"/>
  <c r="Q44" i="8"/>
  <c r="K44" i="8"/>
  <c r="S44" i="8"/>
  <c r="W44" i="8"/>
  <c r="L196" i="4"/>
  <c r="T196" i="4"/>
  <c r="R196" i="4"/>
  <c r="R197" i="4"/>
  <c r="R306" i="4" s="1"/>
  <c r="B13" i="11" s="1"/>
  <c r="U196" i="4"/>
  <c r="Y196" i="4"/>
  <c r="Y197" i="4"/>
  <c r="Y306" i="4"/>
  <c r="S196" i="4"/>
  <c r="S197" i="4"/>
  <c r="N30" i="9"/>
  <c r="L30" i="9"/>
  <c r="O30" i="9"/>
  <c r="K30" i="9"/>
  <c r="P30" i="9"/>
  <c r="O144" i="8"/>
  <c r="K144" i="8"/>
  <c r="S144" i="8"/>
  <c r="X144" i="8"/>
  <c r="X146" i="8"/>
  <c r="L144" i="8"/>
  <c r="L57" i="9"/>
  <c r="K57" i="9"/>
  <c r="P57" i="9"/>
  <c r="S64" i="8"/>
  <c r="W64" i="8"/>
  <c r="L64" i="8"/>
  <c r="O64" i="8"/>
  <c r="K64" i="8"/>
  <c r="Q64" i="8"/>
  <c r="Q60" i="8"/>
  <c r="O60" i="8"/>
  <c r="P60" i="8"/>
  <c r="L60" i="8"/>
  <c r="K60" i="8"/>
  <c r="S60" i="8"/>
  <c r="W60" i="8"/>
  <c r="Q55" i="8"/>
  <c r="Q73" i="8"/>
  <c r="S55" i="8"/>
  <c r="X55" i="8"/>
  <c r="X73" i="8"/>
  <c r="X86" i="8"/>
  <c r="K55" i="8"/>
  <c r="P55" i="8"/>
  <c r="L55" i="8"/>
  <c r="O18" i="9"/>
  <c r="O20" i="9"/>
  <c r="J19" i="9"/>
  <c r="N19" i="9"/>
  <c r="K25" i="8"/>
  <c r="P25" i="8"/>
  <c r="S25" i="8"/>
  <c r="W25" i="8"/>
  <c r="O25" i="8"/>
  <c r="Q25" i="8"/>
  <c r="Q48" i="8"/>
  <c r="L25" i="8"/>
  <c r="P36" i="8"/>
  <c r="L36" i="8"/>
  <c r="O36" i="8"/>
  <c r="S36" i="8"/>
  <c r="W36" i="8"/>
  <c r="K36" i="8"/>
  <c r="Q36" i="8"/>
  <c r="P92" i="9"/>
  <c r="P93" i="9"/>
  <c r="K92" i="9"/>
  <c r="K93" i="9"/>
  <c r="L92" i="9"/>
  <c r="L93" i="9"/>
  <c r="O92" i="9"/>
  <c r="O93" i="9"/>
  <c r="N92" i="9"/>
  <c r="P119" i="8"/>
  <c r="Q119" i="8"/>
  <c r="L119" i="8"/>
  <c r="O119" i="8"/>
  <c r="P120" i="8"/>
  <c r="K120" i="8"/>
  <c r="S120" i="8"/>
  <c r="W120" i="8"/>
  <c r="O120" i="8"/>
  <c r="J69" i="9"/>
  <c r="Q120" i="8"/>
  <c r="L120" i="8"/>
  <c r="S39" i="8"/>
  <c r="W39" i="8"/>
  <c r="O39" i="8"/>
  <c r="L39" i="8"/>
  <c r="K39" i="8"/>
  <c r="P39" i="8"/>
  <c r="Q39" i="8"/>
  <c r="K53" i="9"/>
  <c r="O77" i="8"/>
  <c r="L34" i="8"/>
  <c r="J132" i="8"/>
  <c r="J26" i="9"/>
  <c r="S34" i="8"/>
  <c r="W34" i="8"/>
  <c r="P20" i="8"/>
  <c r="K20" i="8"/>
  <c r="K26" i="8"/>
  <c r="S83" i="8"/>
  <c r="W83" i="8"/>
  <c r="W153" i="8"/>
  <c r="J122" i="8"/>
  <c r="K72" i="8"/>
  <c r="O53" i="9"/>
  <c r="J133" i="8"/>
  <c r="O133" i="8"/>
  <c r="J102" i="8"/>
  <c r="J82" i="8"/>
  <c r="AB77" i="8"/>
  <c r="S77" i="8"/>
  <c r="W77" i="8"/>
  <c r="Q153" i="8"/>
  <c r="S19" i="8"/>
  <c r="X19" i="8"/>
  <c r="J128" i="8"/>
  <c r="Q66" i="8"/>
  <c r="X153" i="8"/>
  <c r="E20" i="11"/>
  <c r="O126" i="8"/>
  <c r="O72" i="9"/>
  <c r="N72" i="9"/>
  <c r="P126" i="8"/>
  <c r="L47" i="8"/>
  <c r="K80" i="8"/>
  <c r="P144" i="8"/>
  <c r="P146" i="8"/>
  <c r="Q125" i="8"/>
  <c r="P82" i="8"/>
  <c r="Q40" i="8"/>
  <c r="K72" i="9"/>
  <c r="S126" i="8"/>
  <c r="W126" i="8"/>
  <c r="O19" i="9"/>
  <c r="N18" i="9"/>
  <c r="O80" i="8"/>
  <c r="L40" i="8"/>
  <c r="P18" i="9"/>
  <c r="P20" i="9"/>
  <c r="L80" i="8"/>
  <c r="L72" i="9"/>
  <c r="P47" i="8"/>
  <c r="P80" i="8"/>
  <c r="P85" i="8"/>
  <c r="J73" i="9"/>
  <c r="J75" i="9"/>
  <c r="L18" i="9"/>
  <c r="Q47" i="8"/>
  <c r="S40" i="8"/>
  <c r="W40" i="8"/>
  <c r="L126" i="8"/>
  <c r="K126" i="8"/>
  <c r="S152" i="8"/>
  <c r="X152" i="8"/>
  <c r="S119" i="8"/>
  <c r="X119" i="8"/>
  <c r="K18" i="9"/>
  <c r="K40" i="8"/>
  <c r="S47" i="8"/>
  <c r="X47" i="8"/>
  <c r="J130" i="9"/>
  <c r="K153" i="8"/>
  <c r="O56" i="9"/>
  <c r="N56" i="9"/>
  <c r="W73" i="8"/>
  <c r="W86" i="8"/>
  <c r="L56" i="9"/>
  <c r="L14" i="9"/>
  <c r="L16" i="9"/>
  <c r="P14" i="9"/>
  <c r="O14" i="9"/>
  <c r="J15" i="9"/>
  <c r="K14" i="9"/>
  <c r="N14" i="9"/>
  <c r="K56" i="9"/>
  <c r="P56" i="9"/>
  <c r="L22" i="9"/>
  <c r="K79" i="9"/>
  <c r="N79" i="9"/>
  <c r="P79" i="9"/>
  <c r="O79" i="9"/>
  <c r="L79" i="9"/>
  <c r="J80" i="9"/>
  <c r="P73" i="8"/>
  <c r="J23" i="9"/>
  <c r="P23" i="9"/>
  <c r="R132" i="6"/>
  <c r="W132" i="6"/>
  <c r="W133" i="6"/>
  <c r="O132" i="6"/>
  <c r="O133" i="6"/>
  <c r="AB132" i="6"/>
  <c r="N132" i="6"/>
  <c r="J73" i="7"/>
  <c r="K132" i="6"/>
  <c r="K133" i="6"/>
  <c r="L132" i="6"/>
  <c r="M132" i="6"/>
  <c r="P132" i="6"/>
  <c r="P133" i="6"/>
  <c r="L64" i="6"/>
  <c r="M64" i="6" s="1"/>
  <c r="K48" i="8"/>
  <c r="K73" i="8"/>
  <c r="L19" i="9"/>
  <c r="L20" i="9"/>
  <c r="P22" i="9"/>
  <c r="O22" i="9"/>
  <c r="K33" i="9"/>
  <c r="O33" i="9"/>
  <c r="N33" i="9"/>
  <c r="P33" i="9"/>
  <c r="L33" i="9"/>
  <c r="Q132" i="8"/>
  <c r="K132" i="8"/>
  <c r="P132" i="8"/>
  <c r="J82" i="9"/>
  <c r="L132" i="8"/>
  <c r="O132" i="8"/>
  <c r="S132" i="8"/>
  <c r="W132" i="8"/>
  <c r="K122" i="8"/>
  <c r="L122" i="8"/>
  <c r="O122" i="8"/>
  <c r="S122" i="8"/>
  <c r="X122" i="8"/>
  <c r="Q122" i="8"/>
  <c r="P122" i="8"/>
  <c r="K69" i="9"/>
  <c r="L69" i="9"/>
  <c r="O69" i="9"/>
  <c r="N69" i="9"/>
  <c r="J70" i="9"/>
  <c r="P69" i="9"/>
  <c r="N196" i="4"/>
  <c r="P128" i="8"/>
  <c r="L128" i="8"/>
  <c r="Q128" i="8"/>
  <c r="S128" i="8"/>
  <c r="X128" i="8"/>
  <c r="O128" i="8"/>
  <c r="K128" i="8"/>
  <c r="AB82" i="8"/>
  <c r="L82" i="8"/>
  <c r="O82" i="8"/>
  <c r="K82" i="8"/>
  <c r="S82" i="8"/>
  <c r="W82" i="8"/>
  <c r="J31" i="9"/>
  <c r="Q82" i="8"/>
  <c r="Q85" i="8"/>
  <c r="P145" i="8"/>
  <c r="S145" i="8"/>
  <c r="W145" i="8"/>
  <c r="W146" i="8"/>
  <c r="L145" i="8"/>
  <c r="K145" i="8"/>
  <c r="K146" i="8"/>
  <c r="AB145" i="8"/>
  <c r="J95" i="9"/>
  <c r="O145" i="8"/>
  <c r="Q145" i="8"/>
  <c r="Q146" i="8"/>
  <c r="S102" i="8"/>
  <c r="X102" i="8"/>
  <c r="X104" i="8"/>
  <c r="K102" i="8"/>
  <c r="K104" i="8"/>
  <c r="L102" i="8"/>
  <c r="Q102" i="8"/>
  <c r="Q104" i="8"/>
  <c r="O102" i="8"/>
  <c r="P102" i="8"/>
  <c r="P104" i="8"/>
  <c r="Q133" i="8"/>
  <c r="K133" i="8"/>
  <c r="AB133" i="8"/>
  <c r="L133" i="8"/>
  <c r="P133" i="8"/>
  <c r="J83" i="9"/>
  <c r="S133" i="8"/>
  <c r="W133" i="8"/>
  <c r="K85" i="8"/>
  <c r="N26" i="9"/>
  <c r="K26" i="9"/>
  <c r="J27" i="9"/>
  <c r="L26" i="9"/>
  <c r="O26" i="9"/>
  <c r="O28" i="9"/>
  <c r="P26" i="9"/>
  <c r="K19" i="9"/>
  <c r="K20" i="9"/>
  <c r="P19" i="9"/>
  <c r="J131" i="9"/>
  <c r="P130" i="9"/>
  <c r="P132" i="9"/>
  <c r="L130" i="9"/>
  <c r="N130" i="9"/>
  <c r="K130" i="9"/>
  <c r="O130" i="9"/>
  <c r="K75" i="9"/>
  <c r="O75" i="9"/>
  <c r="J76" i="9"/>
  <c r="N75" i="9"/>
  <c r="P75" i="9"/>
  <c r="L75" i="9"/>
  <c r="N73" i="9"/>
  <c r="O73" i="9"/>
  <c r="K73" i="9"/>
  <c r="P73" i="9"/>
  <c r="L73" i="9"/>
  <c r="O23" i="9"/>
  <c r="O24" i="9"/>
  <c r="K86" i="8"/>
  <c r="AB202" i="8"/>
  <c r="AC202" i="8"/>
  <c r="P24" i="9"/>
  <c r="O15" i="9"/>
  <c r="O16" i="9"/>
  <c r="P15" i="9"/>
  <c r="P16" i="9"/>
  <c r="K15" i="9"/>
  <c r="K16" i="9"/>
  <c r="L15" i="9"/>
  <c r="N15" i="9"/>
  <c r="K23" i="9"/>
  <c r="K24" i="9"/>
  <c r="P73" i="7"/>
  <c r="N73" i="7"/>
  <c r="N75" i="7"/>
  <c r="J74" i="7"/>
  <c r="L73" i="7"/>
  <c r="K73" i="7"/>
  <c r="O73" i="7"/>
  <c r="P80" i="9"/>
  <c r="N80" i="9"/>
  <c r="L80" i="9"/>
  <c r="O80" i="9"/>
  <c r="K80" i="9"/>
  <c r="J61" i="9"/>
  <c r="Q111" i="8"/>
  <c r="S111" i="8"/>
  <c r="W111" i="8"/>
  <c r="J60" i="9"/>
  <c r="J112" i="8"/>
  <c r="K111" i="8"/>
  <c r="P111" i="8"/>
  <c r="P113" i="8"/>
  <c r="J59" i="9"/>
  <c r="L111" i="8"/>
  <c r="O111" i="8"/>
  <c r="O95" i="9"/>
  <c r="O96" i="9"/>
  <c r="K95" i="9"/>
  <c r="K96" i="9"/>
  <c r="N95" i="9"/>
  <c r="N96" i="9"/>
  <c r="P95" i="9"/>
  <c r="P96" i="9"/>
  <c r="L95" i="9"/>
  <c r="L96" i="9"/>
  <c r="K27" i="9"/>
  <c r="K28" i="9"/>
  <c r="N27" i="9"/>
  <c r="P27" i="9"/>
  <c r="P28" i="9"/>
  <c r="O27" i="9"/>
  <c r="L27" i="9"/>
  <c r="K83" i="9"/>
  <c r="P83" i="9"/>
  <c r="O83" i="9"/>
  <c r="O31" i="9"/>
  <c r="N31" i="9"/>
  <c r="P31" i="9"/>
  <c r="P35" i="9"/>
  <c r="K31" i="9"/>
  <c r="L31" i="9"/>
  <c r="J34" i="9"/>
  <c r="J84" i="9"/>
  <c r="P82" i="9"/>
  <c r="L82" i="9"/>
  <c r="N82" i="9"/>
  <c r="K82" i="9"/>
  <c r="O82" i="9"/>
  <c r="P70" i="9"/>
  <c r="O70" i="9"/>
  <c r="K70" i="9"/>
  <c r="P76" i="9"/>
  <c r="N76" i="9"/>
  <c r="K76" i="9"/>
  <c r="L76" i="9"/>
  <c r="O76" i="9"/>
  <c r="P131" i="9"/>
  <c r="K131" i="9"/>
  <c r="K132" i="9"/>
  <c r="K133" i="9"/>
  <c r="O131" i="9"/>
  <c r="O132" i="9"/>
  <c r="L131" i="9"/>
  <c r="N131" i="9"/>
  <c r="N132" i="9"/>
  <c r="E18" i="11"/>
  <c r="K74" i="7"/>
  <c r="K75" i="7"/>
  <c r="O74" i="7"/>
  <c r="O75" i="7"/>
  <c r="P74" i="7"/>
  <c r="P75" i="7"/>
  <c r="N74" i="7"/>
  <c r="L74" i="7"/>
  <c r="L60" i="9"/>
  <c r="O60" i="9"/>
  <c r="P60" i="9"/>
  <c r="N60" i="9"/>
  <c r="K60" i="9"/>
  <c r="P61" i="9"/>
  <c r="O61" i="9"/>
  <c r="K61" i="9"/>
  <c r="K59" i="9"/>
  <c r="N59" i="9"/>
  <c r="L59" i="9"/>
  <c r="P59" i="9"/>
  <c r="O59" i="9"/>
  <c r="J62" i="9"/>
  <c r="K84" i="9"/>
  <c r="L84" i="9"/>
  <c r="O84" i="9"/>
  <c r="N84" i="9"/>
  <c r="P84" i="9"/>
  <c r="O34" i="9"/>
  <c r="O35" i="9"/>
  <c r="P34" i="9"/>
  <c r="L34" i="9"/>
  <c r="N34" i="9"/>
  <c r="K34" i="9"/>
  <c r="K35" i="9"/>
  <c r="K36" i="9"/>
  <c r="O112" i="8"/>
  <c r="L112" i="8"/>
  <c r="Q112" i="8"/>
  <c r="Q113" i="8"/>
  <c r="K112" i="8"/>
  <c r="K113" i="8"/>
  <c r="P112" i="8"/>
  <c r="S112" i="8"/>
  <c r="W112" i="8"/>
  <c r="E49" i="11"/>
  <c r="N62" i="9"/>
  <c r="P62" i="9"/>
  <c r="P63" i="9"/>
  <c r="K62" i="9"/>
  <c r="K63" i="9"/>
  <c r="L62" i="9"/>
  <c r="O62" i="9"/>
  <c r="O63" i="9"/>
  <c r="E47" i="11"/>
  <c r="O36" i="9"/>
  <c r="P86" i="8"/>
  <c r="Q86" i="8"/>
  <c r="D18" i="11"/>
  <c r="S136" i="4"/>
  <c r="C11" i="11"/>
  <c r="O133" i="9"/>
  <c r="P133" i="9"/>
  <c r="T136" i="4"/>
  <c r="D11" i="11"/>
  <c r="P36" i="9"/>
  <c r="P201" i="8"/>
  <c r="S306" i="4"/>
  <c r="C13" i="11" s="1"/>
  <c r="P58" i="6"/>
  <c r="P138" i="8"/>
  <c r="S280" i="4"/>
  <c r="S305" i="4"/>
  <c r="L81" i="6"/>
  <c r="M81" i="6" s="1"/>
  <c r="L78" i="6"/>
  <c r="M78" i="6" s="1"/>
  <c r="S156" i="4"/>
  <c r="S159" i="4"/>
  <c r="S178" i="4"/>
  <c r="C12" i="11"/>
  <c r="L89" i="9"/>
  <c r="N16" i="9"/>
  <c r="L63" i="9"/>
  <c r="L32" i="7"/>
  <c r="N53" i="9"/>
  <c r="N24" i="9"/>
  <c r="L66" i="7"/>
  <c r="N28" i="9"/>
  <c r="B40" i="11"/>
  <c r="F40" i="11"/>
  <c r="N59" i="5"/>
  <c r="N35" i="9"/>
  <c r="L132" i="9"/>
  <c r="L17" i="5"/>
  <c r="B38" i="11"/>
  <c r="L58" i="5"/>
  <c r="L40" i="7"/>
  <c r="N61" i="9"/>
  <c r="N63" i="9"/>
  <c r="L70" i="9"/>
  <c r="N89" i="9"/>
  <c r="N32" i="5"/>
  <c r="N35" i="5"/>
  <c r="N83" i="9"/>
  <c r="L28" i="9"/>
  <c r="N37" i="7"/>
  <c r="L34" i="7"/>
  <c r="L44" i="7"/>
  <c r="N93" i="9"/>
  <c r="L23" i="9"/>
  <c r="L24" i="9"/>
  <c r="N20" i="9"/>
  <c r="L62" i="7"/>
  <c r="L128" i="9"/>
  <c r="N29" i="7"/>
  <c r="N34" i="7"/>
  <c r="L35" i="5"/>
  <c r="F41" i="11"/>
  <c r="N17" i="5"/>
  <c r="N128" i="9"/>
  <c r="N133" i="9"/>
  <c r="L49" i="5"/>
  <c r="L51" i="9"/>
  <c r="L53" i="9"/>
  <c r="L75" i="7"/>
  <c r="L68" i="7"/>
  <c r="L35" i="9"/>
  <c r="L54" i="7"/>
  <c r="F38" i="11"/>
  <c r="F39" i="11"/>
  <c r="B39" i="11"/>
  <c r="L20" i="5"/>
  <c r="N36" i="9"/>
  <c r="L133" i="9"/>
  <c r="B49" i="11"/>
  <c r="B41" i="11"/>
  <c r="L36" i="9"/>
  <c r="F49" i="11"/>
  <c r="L59" i="5"/>
  <c r="B47" i="11"/>
  <c r="F47" i="11"/>
  <c r="B43" i="11"/>
  <c r="F43" i="11"/>
  <c r="R86" i="4"/>
  <c r="R96" i="4"/>
  <c r="B10" i="11"/>
  <c r="L305" i="4"/>
  <c r="R130" i="4"/>
  <c r="F12" i="10"/>
  <c r="N12" i="10"/>
  <c r="N13" i="10"/>
  <c r="B22" i="11"/>
  <c r="L58" i="4"/>
  <c r="L138" i="8"/>
  <c r="O104" i="8"/>
  <c r="L197" i="4"/>
  <c r="L275" i="4"/>
  <c r="L172" i="4"/>
  <c r="L97" i="6"/>
  <c r="M97" i="6" s="1"/>
  <c r="R25" i="4"/>
  <c r="L133" i="6"/>
  <c r="L205" i="4"/>
  <c r="L26" i="8"/>
  <c r="L48" i="8"/>
  <c r="R167" i="4"/>
  <c r="O158" i="8"/>
  <c r="L20" i="8"/>
  <c r="O153" i="8"/>
  <c r="L167" i="4"/>
  <c r="O142" i="8"/>
  <c r="M158" i="6"/>
  <c r="L153" i="8"/>
  <c r="O85" i="8"/>
  <c r="R212" i="4"/>
  <c r="L32" i="4"/>
  <c r="N32" i="4"/>
  <c r="L193" i="8"/>
  <c r="L196" i="8"/>
  <c r="O20" i="8"/>
  <c r="R201" i="4"/>
  <c r="N295" i="4"/>
  <c r="L246" i="4"/>
  <c r="R220" i="4"/>
  <c r="L261" i="4"/>
  <c r="L12" i="10"/>
  <c r="L13" i="10"/>
  <c r="F22" i="11"/>
  <c r="R125" i="4"/>
  <c r="O200" i="8"/>
  <c r="R261" i="4"/>
  <c r="L200" i="8"/>
  <c r="L158" i="8"/>
  <c r="R275" i="4"/>
  <c r="R333" i="4"/>
  <c r="B14" i="11"/>
  <c r="R280" i="4"/>
  <c r="L146" i="8"/>
  <c r="R135" i="4"/>
  <c r="M158" i="8"/>
  <c r="M159" i="8"/>
  <c r="L284" i="4"/>
  <c r="R118" i="4"/>
  <c r="R255" i="4"/>
  <c r="N133" i="6"/>
  <c r="R159" i="4"/>
  <c r="L293" i="4"/>
  <c r="L220" i="4"/>
  <c r="L228" i="4"/>
  <c r="R172" i="4"/>
  <c r="O146" i="8"/>
  <c r="R293" i="4"/>
  <c r="R177" i="4"/>
  <c r="M146" i="6"/>
  <c r="R300" i="4"/>
  <c r="L113" i="8"/>
  <c r="L35" i="4"/>
  <c r="L85" i="8"/>
  <c r="L288" i="4"/>
  <c r="M85" i="8"/>
  <c r="M86" i="8"/>
  <c r="R305" i="4"/>
  <c r="R246" i="4"/>
  <c r="R236" i="4"/>
  <c r="O113" i="8"/>
  <c r="O78" i="8"/>
  <c r="R228" i="4"/>
  <c r="O196" i="8"/>
  <c r="L104" i="8"/>
  <c r="O73" i="8"/>
  <c r="L146" i="6"/>
  <c r="L125" i="4"/>
  <c r="N121" i="4"/>
  <c r="R35" i="4"/>
  <c r="Q29" i="4"/>
  <c r="L73" i="8"/>
  <c r="R63" i="4"/>
  <c r="Q60" i="4"/>
  <c r="Q45" i="4"/>
  <c r="L17" i="4"/>
  <c r="N15" i="4"/>
  <c r="N146" i="6"/>
  <c r="M42" i="6"/>
  <c r="R17" i="4"/>
  <c r="Q14" i="4"/>
  <c r="L267" i="4"/>
  <c r="N266" i="4"/>
  <c r="Q37" i="4"/>
  <c r="R43" i="4"/>
  <c r="N279" i="4"/>
  <c r="L280" i="4"/>
  <c r="L52" i="4"/>
  <c r="L64" i="4" s="1"/>
  <c r="F9" i="11" s="1"/>
  <c r="Q57" i="4"/>
  <c r="N325" i="4"/>
  <c r="L333" i="4"/>
  <c r="F14" i="11"/>
  <c r="O48" i="8"/>
  <c r="L130" i="4"/>
  <c r="L60" i="4"/>
  <c r="L113" i="4"/>
  <c r="R47" i="4"/>
  <c r="Q47" i="4" s="1"/>
  <c r="R21" i="4"/>
  <c r="L135" i="4"/>
  <c r="L20" i="4"/>
  <c r="L163" i="4"/>
  <c r="L90" i="4"/>
  <c r="N90" i="4"/>
  <c r="L37" i="4"/>
  <c r="L201" i="8"/>
  <c r="F20" i="11"/>
  <c r="O86" i="8"/>
  <c r="B18" i="11"/>
  <c r="M12" i="10"/>
  <c r="M13" i="10"/>
  <c r="L96" i="4"/>
  <c r="F10" i="11"/>
  <c r="L178" i="4"/>
  <c r="F12" i="11"/>
  <c r="O201" i="8"/>
  <c r="B20" i="11"/>
  <c r="R136" i="4"/>
  <c r="B11" i="11"/>
  <c r="L86" i="8"/>
  <c r="F18" i="11"/>
  <c r="R178" i="4"/>
  <c r="B12" i="11"/>
  <c r="N113" i="4"/>
  <c r="L118" i="4"/>
  <c r="L136" i="4"/>
  <c r="F11" i="11"/>
  <c r="N20" i="4"/>
  <c r="L21" i="4"/>
  <c r="N60" i="4"/>
  <c r="L63" i="4"/>
  <c r="L43" i="4"/>
  <c r="N37" i="4"/>
  <c r="L156" i="6" l="1"/>
  <c r="O156" i="6"/>
  <c r="R156" i="6"/>
  <c r="X156" i="6" s="1"/>
  <c r="K156" i="6"/>
  <c r="K158" i="6" s="1"/>
  <c r="P156" i="6"/>
  <c r="K137" i="6"/>
  <c r="O32" i="6"/>
  <c r="K134" i="8"/>
  <c r="K159" i="8" s="1"/>
  <c r="E19" i="11" s="1"/>
  <c r="M76" i="6"/>
  <c r="L129" i="6"/>
  <c r="B42" i="11"/>
  <c r="L60" i="5"/>
  <c r="F42" i="11"/>
  <c r="X251" i="4"/>
  <c r="X159" i="6"/>
  <c r="Q64" i="4"/>
  <c r="N156" i="6"/>
  <c r="L52" i="6"/>
  <c r="N52" i="6"/>
  <c r="N58" i="6" s="1"/>
  <c r="N32" i="6"/>
  <c r="N81" i="7"/>
  <c r="R150" i="6"/>
  <c r="W150" i="6" s="1"/>
  <c r="W158" i="6" s="1"/>
  <c r="W159" i="6" s="1"/>
  <c r="P76" i="6"/>
  <c r="K66" i="9"/>
  <c r="O87" i="6"/>
  <c r="R23" i="6"/>
  <c r="X23" i="6" s="1"/>
  <c r="P157" i="6"/>
  <c r="R154" i="6"/>
  <c r="W154" i="6" s="1"/>
  <c r="O38" i="5"/>
  <c r="O47" i="5" s="1"/>
  <c r="O60" i="5" s="1"/>
  <c r="N48" i="7"/>
  <c r="N157" i="6"/>
  <c r="L157" i="6"/>
  <c r="J45" i="7"/>
  <c r="J43" i="7"/>
  <c r="O92" i="6"/>
  <c r="K64" i="6"/>
  <c r="K154" i="6"/>
  <c r="N74" i="6"/>
  <c r="N129" i="6" s="1"/>
  <c r="L150" i="6"/>
  <c r="K40" i="7"/>
  <c r="K78" i="6"/>
  <c r="O64" i="6"/>
  <c r="O129" i="6" s="1"/>
  <c r="J67" i="9"/>
  <c r="R52" i="4"/>
  <c r="R64" i="4" s="1"/>
  <c r="B9" i="11" s="1"/>
  <c r="O50" i="7"/>
  <c r="R29" i="6"/>
  <c r="W29" i="6" s="1"/>
  <c r="P38" i="5"/>
  <c r="P47" i="5" s="1"/>
  <c r="P60" i="5" s="1"/>
  <c r="T248" i="4"/>
  <c r="T251" i="4" s="1"/>
  <c r="Q56" i="4"/>
  <c r="J77" i="7"/>
  <c r="K76" i="6"/>
  <c r="Q157" i="6"/>
  <c r="V157" i="6" s="1"/>
  <c r="V158" i="6" s="1"/>
  <c r="Q52" i="6"/>
  <c r="V52" i="6" s="1"/>
  <c r="V58" i="6" s="1"/>
  <c r="L50" i="7"/>
  <c r="K38" i="5"/>
  <c r="K47" i="5" s="1"/>
  <c r="P74" i="6"/>
  <c r="V248" i="4"/>
  <c r="Z248" i="4" s="1"/>
  <c r="Z251" i="4" s="1"/>
  <c r="K248" i="4"/>
  <c r="K251" i="4" s="1"/>
  <c r="AB74" i="6"/>
  <c r="AB160" i="6" s="1"/>
  <c r="AC160" i="6" s="1"/>
  <c r="L87" i="6"/>
  <c r="M87" i="6" s="1"/>
  <c r="L136" i="6"/>
  <c r="N50" i="7"/>
  <c r="L154" i="6"/>
  <c r="P29" i="6"/>
  <c r="P32" i="6" s="1"/>
  <c r="O150" i="6"/>
  <c r="P150" i="6"/>
  <c r="R92" i="6"/>
  <c r="W92" i="6" s="1"/>
  <c r="N150" i="6"/>
  <c r="N158" i="6" s="1"/>
  <c r="R76" i="6"/>
  <c r="X76" i="6" s="1"/>
  <c r="K50" i="7"/>
  <c r="Q117" i="8"/>
  <c r="Q134" i="8" s="1"/>
  <c r="Q159" i="8" s="1"/>
  <c r="D19" i="11" s="1"/>
  <c r="P154" i="6"/>
  <c r="N38" i="5"/>
  <c r="N47" i="5" s="1"/>
  <c r="N60" i="5" s="1"/>
  <c r="K150" i="6"/>
  <c r="O40" i="7"/>
  <c r="R64" i="6"/>
  <c r="X64" i="6" s="1"/>
  <c r="L66" i="9"/>
  <c r="R30" i="6"/>
  <c r="W30" i="6" s="1"/>
  <c r="AB154" i="6"/>
  <c r="N66" i="9"/>
  <c r="L81" i="7"/>
  <c r="L77" i="6"/>
  <c r="M77" i="6" s="1"/>
  <c r="P50" i="7"/>
  <c r="O136" i="6"/>
  <c r="O137" i="6" s="1"/>
  <c r="O81" i="7"/>
  <c r="J24" i="7"/>
  <c r="N154" i="6"/>
  <c r="P48" i="7"/>
  <c r="P44" i="7"/>
  <c r="N123" i="6"/>
  <c r="P64" i="6"/>
  <c r="P129" i="6" s="1"/>
  <c r="P81" i="7"/>
  <c r="O117" i="8"/>
  <c r="O134" i="8" s="1"/>
  <c r="O159" i="8" s="1"/>
  <c r="B19" i="11" s="1"/>
  <c r="R153" i="6"/>
  <c r="W153" i="6" s="1"/>
  <c r="K97" i="6"/>
  <c r="P117" i="8"/>
  <c r="P134" i="8" s="1"/>
  <c r="P159" i="8" s="1"/>
  <c r="R74" i="6"/>
  <c r="W74" i="6" s="1"/>
  <c r="AB136" i="6"/>
  <c r="J55" i="7"/>
  <c r="O44" i="7"/>
  <c r="J41" i="7"/>
  <c r="O76" i="6"/>
  <c r="N136" i="6"/>
  <c r="N137" i="6" s="1"/>
  <c r="N76" i="6"/>
  <c r="P66" i="9"/>
  <c r="J82" i="7"/>
  <c r="L117" i="8"/>
  <c r="L134" i="8" s="1"/>
  <c r="L159" i="8" s="1"/>
  <c r="F19" i="11" s="1"/>
  <c r="L30" i="6"/>
  <c r="M30" i="6" s="1"/>
  <c r="P136" i="6"/>
  <c r="P137" i="6" s="1"/>
  <c r="P92" i="6"/>
  <c r="N92" i="6"/>
  <c r="K74" i="6"/>
  <c r="K129" i="6" s="1"/>
  <c r="K159" i="6" s="1"/>
  <c r="E16" i="11" s="1"/>
  <c r="E23" i="11" s="1"/>
  <c r="E26" i="11" s="1"/>
  <c r="P159" i="6" l="1"/>
  <c r="D16" i="11" s="1"/>
  <c r="D23" i="11" s="1"/>
  <c r="P158" i="6"/>
  <c r="L158" i="6"/>
  <c r="K67" i="9"/>
  <c r="O67" i="9"/>
  <c r="O85" i="9" s="1"/>
  <c r="O97" i="9" s="1"/>
  <c r="P67" i="9"/>
  <c r="P85" i="9" s="1"/>
  <c r="P97" i="9" s="1"/>
  <c r="N67" i="9"/>
  <c r="N85" i="9" s="1"/>
  <c r="N97" i="9" s="1"/>
  <c r="L67" i="9"/>
  <c r="L85" i="9" s="1"/>
  <c r="L97" i="9" s="1"/>
  <c r="V159" i="6"/>
  <c r="O158" i="6"/>
  <c r="O159" i="6" s="1"/>
  <c r="C16" i="11" s="1"/>
  <c r="C23" i="11" s="1"/>
  <c r="K85" i="9"/>
  <c r="K97" i="9" s="1"/>
  <c r="E48" i="11" s="1"/>
  <c r="O55" i="7"/>
  <c r="P55" i="7"/>
  <c r="K55" i="7"/>
  <c r="N55" i="7"/>
  <c r="L55" i="7"/>
  <c r="L83" i="7"/>
  <c r="P83" i="7"/>
  <c r="K77" i="7"/>
  <c r="N77" i="7"/>
  <c r="L77" i="7"/>
  <c r="O77" i="7"/>
  <c r="P77" i="7"/>
  <c r="J78" i="7"/>
  <c r="K82" i="7"/>
  <c r="K83" i="7" s="1"/>
  <c r="N82" i="7"/>
  <c r="L82" i="7"/>
  <c r="P82" i="7"/>
  <c r="O82" i="7"/>
  <c r="O83" i="7" s="1"/>
  <c r="N83" i="7"/>
  <c r="E42" i="11"/>
  <c r="K60" i="5"/>
  <c r="L137" i="6"/>
  <c r="M136" i="6"/>
  <c r="N159" i="6"/>
  <c r="B16" i="11" s="1"/>
  <c r="B23" i="11" s="1"/>
  <c r="J57" i="7"/>
  <c r="N41" i="7"/>
  <c r="O41" i="7"/>
  <c r="K41" i="7"/>
  <c r="P41" i="7"/>
  <c r="J46" i="7"/>
  <c r="L41" i="7"/>
  <c r="L58" i="6"/>
  <c r="M52" i="6"/>
  <c r="M58" i="6" s="1"/>
  <c r="L43" i="7"/>
  <c r="P43" i="7"/>
  <c r="O43" i="7"/>
  <c r="K43" i="7"/>
  <c r="N43" i="7"/>
  <c r="K45" i="7"/>
  <c r="O45" i="7"/>
  <c r="P45" i="7"/>
  <c r="N45" i="7"/>
  <c r="L45" i="7"/>
  <c r="N24" i="7"/>
  <c r="L24" i="7"/>
  <c r="J25" i="7"/>
  <c r="K24" i="7"/>
  <c r="P24" i="7"/>
  <c r="O24" i="7"/>
  <c r="L32" i="6"/>
  <c r="B48" i="11" l="1"/>
  <c r="F48" i="11"/>
  <c r="O26" i="7"/>
  <c r="L26" i="7"/>
  <c r="N26" i="7"/>
  <c r="L71" i="7"/>
  <c r="O25" i="7"/>
  <c r="N25" i="7"/>
  <c r="K25" i="7"/>
  <c r="K26" i="7" s="1"/>
  <c r="P25" i="7"/>
  <c r="L25" i="7"/>
  <c r="L46" i="7"/>
  <c r="K46" i="7"/>
  <c r="K71" i="7" s="1"/>
  <c r="N46" i="7"/>
  <c r="P46" i="7"/>
  <c r="O46" i="7"/>
  <c r="O71" i="7" s="1"/>
  <c r="P71" i="7"/>
  <c r="N71" i="7"/>
  <c r="P26" i="7"/>
  <c r="O57" i="7"/>
  <c r="N57" i="7"/>
  <c r="L57" i="7"/>
  <c r="K57" i="7"/>
  <c r="P57" i="7"/>
  <c r="L159" i="6"/>
  <c r="F16" i="11" s="1"/>
  <c r="F23" i="11" s="1"/>
  <c r="F26" i="11" s="1"/>
  <c r="L78" i="7"/>
  <c r="L79" i="7" s="1"/>
  <c r="N78" i="7"/>
  <c r="N79" i="7" s="1"/>
  <c r="O78" i="7"/>
  <c r="O79" i="7" s="1"/>
  <c r="P78" i="7"/>
  <c r="P79" i="7" s="1"/>
  <c r="K78" i="7"/>
  <c r="K79" i="7" s="1"/>
  <c r="K84" i="7" l="1"/>
  <c r="E45" i="11" s="1"/>
  <c r="E50" i="11" s="1"/>
  <c r="E53" i="11" s="1"/>
  <c r="L84" i="7"/>
  <c r="O84" i="7"/>
  <c r="P84" i="7"/>
  <c r="N84" i="7"/>
  <c r="F45" i="11" l="1"/>
  <c r="F50" i="11" s="1"/>
  <c r="F53" i="11" s="1"/>
  <c r="B45" i="11"/>
  <c r="B5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Hartley</author>
  </authors>
  <commentList>
    <comment ref="A73" authorId="0" shapeId="0" xr:uid="{CCB27913-380F-4555-94D9-B868E222D5DF}">
      <text>
        <r>
          <rPr>
            <b/>
            <sz val="8"/>
            <color indexed="81"/>
            <rFont val="Tahoma"/>
            <family val="2"/>
          </rPr>
          <t>MH: BLS employer cost index for total compensation not seasonally adjusted</t>
        </r>
        <r>
          <rPr>
            <sz val="8"/>
            <color indexed="81"/>
            <rFont val="Tahoma"/>
            <family val="2"/>
          </rPr>
          <t xml:space="preserve">
(first quarter)</t>
        </r>
      </text>
    </comment>
  </commentList>
</comments>
</file>

<file path=xl/sharedStrings.xml><?xml version="1.0" encoding="utf-8"?>
<sst xmlns="http://schemas.openxmlformats.org/spreadsheetml/2006/main" count="2828" uniqueCount="709">
  <si>
    <t>Inspection Schedule</t>
  </si>
  <si>
    <t>Review of records during inspections</t>
  </si>
  <si>
    <t>On-site review of the operating record</t>
  </si>
  <si>
    <t>Contingency Plan</t>
  </si>
  <si>
    <t>On-site review of the contingency plan</t>
  </si>
  <si>
    <t>Emergency Reporting Requirements</t>
  </si>
  <si>
    <t>Review owner/operator's emergency report</t>
  </si>
  <si>
    <t>Review closure plans</t>
  </si>
  <si>
    <t>Review closure plan amendment notifications</t>
  </si>
  <si>
    <t>Review closure certifications</t>
  </si>
  <si>
    <t>Review new estimates and instruments</t>
  </si>
  <si>
    <t>Review liability claim notifications</t>
  </si>
  <si>
    <t>Review and approve or deny petition for variance</t>
  </si>
  <si>
    <t>Review revisions due to plan changes</t>
  </si>
  <si>
    <t>Review bankruptcy notifications</t>
  </si>
  <si>
    <t>Review corrective action financial assurance</t>
  </si>
  <si>
    <t>Review submitted information</t>
  </si>
  <si>
    <t>Review notice of planned changes or activities</t>
  </si>
  <si>
    <t>Review letter certifying compliance</t>
  </si>
  <si>
    <t>Review monitoring reports</t>
  </si>
  <si>
    <t>Review reports of compliance or noncompliance</t>
  </si>
  <si>
    <t>Review notices and reports of noncompliance</t>
  </si>
  <si>
    <t>Review reports of other noncompliance</t>
  </si>
  <si>
    <t>Review corrected information</t>
  </si>
  <si>
    <t xml:space="preserve">Record the responses of the CEMS (Appendix IX,  sections 2.1.6.3.1.2 and 2.2.6.3.1.2) </t>
  </si>
  <si>
    <t>Submit demonstration of the adequacy of an alternative native calibration procedure (Appendix IX, sections 2.1.10.1 and 2.2.9.1)</t>
  </si>
  <si>
    <t>Determine metals emissions with the alternate approach (Appendix IX., section 3.1)</t>
  </si>
  <si>
    <t>Record data for the metals sampling train (Appendix IX, section 3.1.5.1.5)</t>
  </si>
  <si>
    <t>Conduct monitoring and inspections of hazardous waste, other fuels and feedstock, and stack gas emissions (266.103(j)(1)), inspect the BIF and associated equipment at least daily (266.103(j)(2)), and record monitoring and inspection data (266.103(j)(4))</t>
  </si>
  <si>
    <t>Inspect the hazardous waste feed cutoff system and associated alarms at least weekly (266.103(j)(3))</t>
  </si>
  <si>
    <t>Demonstrate that weekly inspections of the hazardous waste feed cutoff system will unduly restrict or upset operations (266.103(j)(3))</t>
  </si>
  <si>
    <t>If demonstration is approved, inspect the hazardous waste feed cutoff system and associated alarms every 30 days (266.103(j)(3))</t>
  </si>
  <si>
    <t>Maintain all information and data until closure of the facility (266.103(k))</t>
  </si>
  <si>
    <t>Prepare and submit demonstration for an alternate POHC designation (266.104(a)(2))</t>
  </si>
  <si>
    <t>Collect data in support of a certification that the installation meets NFPA codes (266.111(d)(2))</t>
  </si>
  <si>
    <t>Obtain and keep on file a written certification that the installation meets subject NFPA codes (266.111(d)(2))</t>
  </si>
  <si>
    <t>Collect data in support of an assessment that attests to the equipment's integrity (266.111(e)(2))</t>
  </si>
  <si>
    <t>Obtain and keep on file a written assessment that attests to the equipment's integrity (266.111(e)(2))</t>
  </si>
  <si>
    <t>`</t>
  </si>
  <si>
    <t>Conduct inspections of equipment and data gathered (266.111(e)(3)(i)-(ii))</t>
  </si>
  <si>
    <t>Demonstrate that the hazardous waste does not significantly affect the residue (266.112(b))</t>
  </si>
  <si>
    <t>For an alternate statistical approach, prepare and maintain supporting rationale that demonstrates sound statistical practice (Appendix IX, section 7.3)</t>
  </si>
  <si>
    <t>Prepare and submit a supporting rationale for an approach for handling nondetect data points (Appendix IX, section 7.4)</t>
  </si>
  <si>
    <t>Review the completed permit application</t>
  </si>
  <si>
    <t>Prepare and submit the demonstration</t>
  </si>
  <si>
    <t>Total O&amp;M Cost</t>
  </si>
  <si>
    <t>RESPONDENTS</t>
  </si>
  <si>
    <t>Managerial</t>
  </si>
  <si>
    <t>Consultant</t>
  </si>
  <si>
    <t>AGENCY</t>
  </si>
  <si>
    <t>O &amp; M Costs</t>
  </si>
  <si>
    <t>mailing</t>
  </si>
  <si>
    <t>photocopying &amp; storage (per page)</t>
  </si>
  <si>
    <t>lab analysis</t>
  </si>
  <si>
    <t>waste analysis</t>
  </si>
  <si>
    <t>document maintenance</t>
  </si>
  <si>
    <t>inspection by registered engineer</t>
  </si>
  <si>
    <t>submit notice to local newspaper</t>
  </si>
  <si>
    <t>develop sampling &amp; analysis plan</t>
  </si>
  <si>
    <t>document sampling &amp; analysis for exclusions</t>
  </si>
  <si>
    <t>analyze F039 waste</t>
  </si>
  <si>
    <t>monitoring &amp; inspection</t>
  </si>
  <si>
    <t>certification of compliance</t>
  </si>
  <si>
    <t>written descr of facility</t>
  </si>
  <si>
    <t>collect analytical information</t>
  </si>
  <si>
    <t>collect data required by waste analysis plan</t>
  </si>
  <si>
    <t>write waste analysis plan</t>
  </si>
  <si>
    <t>collect data for contingency plan</t>
  </si>
  <si>
    <t>write contingency plan</t>
  </si>
  <si>
    <t>describe procedures</t>
  </si>
  <si>
    <t>describe precautions</t>
  </si>
  <si>
    <t>engineering analysis</t>
  </si>
  <si>
    <t>outline personnel training programs</t>
  </si>
  <si>
    <t>describe closure activities</t>
  </si>
  <si>
    <t>estimate final closure</t>
  </si>
  <si>
    <t>submit map</t>
  </si>
  <si>
    <t>submit trial burn plan</t>
  </si>
  <si>
    <t>conduct trial burn</t>
  </si>
  <si>
    <t>info to support alternative HC limit</t>
  </si>
  <si>
    <t>info to support alternative implementation approach</t>
  </si>
  <si>
    <t>Enter information into a database</t>
  </si>
  <si>
    <t>Exemptions for a lead recovery furnace (266.100(h))</t>
  </si>
  <si>
    <t>Review the one-time notice</t>
  </si>
  <si>
    <t>prepare permit modification</t>
  </si>
  <si>
    <t>FOR TABLE</t>
  </si>
  <si>
    <t>File Cabinet</t>
  </si>
  <si>
    <t>Annualized cost of file cabinet</t>
  </si>
  <si>
    <t>test monitoring systems</t>
  </si>
  <si>
    <t>certification of precompliance</t>
  </si>
  <si>
    <t>revised certification of precompliance</t>
  </si>
  <si>
    <t>compliance testing</t>
  </si>
  <si>
    <t>revised certification of compliance</t>
  </si>
  <si>
    <t>periodic recertification</t>
  </si>
  <si>
    <t>File a copy of the demonstration at the facility</t>
  </si>
  <si>
    <t>Prepare a written description of the facility</t>
  </si>
  <si>
    <t>Collect the data required in the waste analysis plan</t>
  </si>
  <si>
    <t>Collect the data required in the contingency plan</t>
  </si>
  <si>
    <t>Write the contingency plan</t>
  </si>
  <si>
    <t>Write descriptions for the necessary closure activities</t>
  </si>
  <si>
    <t>Estimate final closure</t>
  </si>
  <si>
    <t>Submit the general facility standards information</t>
  </si>
  <si>
    <t>Prepare and submit the written cost estimates</t>
  </si>
  <si>
    <t>Prepare and submit request for variance</t>
  </si>
  <si>
    <t>Submit additional information requested by EPA</t>
  </si>
  <si>
    <t>Collect the necessary information</t>
  </si>
  <si>
    <t>Develop and submit the map</t>
  </si>
  <si>
    <t>Read the Regulations</t>
  </si>
  <si>
    <t>Develop and submit a schedule of compliance</t>
  </si>
  <si>
    <t>Prepare and submit the written agreement</t>
  </si>
  <si>
    <t>Prepare and submit proof of public notice</t>
  </si>
  <si>
    <t>File a record of the modification request</t>
  </si>
  <si>
    <t>Prepare and submit the notification under 270.42(a)(i)</t>
  </si>
  <si>
    <t>Prepare and submit the Class 2 or 3 modification</t>
  </si>
  <si>
    <t>Provide for newspaper publication of the notice</t>
  </si>
  <si>
    <t>File a record of the Class 1-3 modification requests</t>
  </si>
  <si>
    <t>Prepare and submit temporary authorization request</t>
  </si>
  <si>
    <t>Prepare and distribute notification of request</t>
  </si>
  <si>
    <t>Complete and submit the Part B renewal application</t>
  </si>
  <si>
    <t>Collect the analytical information required under 270.14(b)(2) and prepare a written report of the analyses conducted</t>
  </si>
  <si>
    <t>Prepare a description of security procedures and equipment requirements</t>
  </si>
  <si>
    <t xml:space="preserve">Monitor </t>
  </si>
  <si>
    <t>Sampling system</t>
  </si>
  <si>
    <t>Test materials</t>
  </si>
  <si>
    <t>contractors (hourly rate)</t>
  </si>
  <si>
    <t>Prepare demonstration for exemption from special equipment requirements</t>
  </si>
  <si>
    <t>Prepare demonstration for exemption from aisle space requirements</t>
  </si>
  <si>
    <t>Prepare the description of procedures, structures, or equipment</t>
  </si>
  <si>
    <t>Prepare a description of precautions to prevent accidental ignition or reaction of ignitable, reactive, or incompatible wastes</t>
  </si>
  <si>
    <t>Prepare description of traffic patterns, volume, and control</t>
  </si>
  <si>
    <t>Compile and document the facility location information</t>
  </si>
  <si>
    <t>For facilities located in a Part 264, Appendix VI area, prepare demonstration of compliance with the seismic standard</t>
  </si>
  <si>
    <t>For facilities located in a 100-year floodplain, prepare demonstration for exemption from design and operating standards under 264.18(b)</t>
  </si>
  <si>
    <t>For facilities located in a 100-year floodplain, prepare engineering analysis and studies</t>
  </si>
  <si>
    <t>Prepare compliance plan and schedule of compliance</t>
  </si>
  <si>
    <t xml:space="preserve">Prepare outline of personnel training programs and description of training design </t>
  </si>
  <si>
    <t>File copies of all required documentation at the facility</t>
  </si>
  <si>
    <t>Obtain and submit documentation of financial assurance</t>
  </si>
  <si>
    <t>Coverage for Sudden or Nonsudden Accidental Occurences (264.147(a) and (b))</t>
  </si>
  <si>
    <t>Obtain and submit documentation of liability coverage</t>
  </si>
  <si>
    <t>Prepare and submit to EPA any requested information</t>
  </si>
  <si>
    <t>analyze waste</t>
  </si>
  <si>
    <t>Exhibit 4</t>
  </si>
  <si>
    <t>Operating and Maintenance Costs for Maintaining All Records</t>
  </si>
  <si>
    <t>Submit written evidence of establishment of State-required financial assurance mechanism or letter from the State describing assumption of responsibility</t>
  </si>
  <si>
    <t>Develop and submit alternative schedule of compliance</t>
  </si>
  <si>
    <t>Develop and submit application for two compliance schedules</t>
  </si>
  <si>
    <t>Document and submit evidence of firm public commitment to cease conducting regulated activities</t>
  </si>
  <si>
    <t>Requirements Relating to the Pre-Trial Burn, Trial Burn, and Post-Trial Burn Periods (270.66, 270.22, 266.102, and 266.104-.107)</t>
  </si>
  <si>
    <t>Prepare and submit a request for an extension of the 720-hour operational period (270.66(b)(1))</t>
  </si>
  <si>
    <t>Prepare and submit a statement suggesting the conditions necessary to operate in compliance with 266.104 through 266.107 during the pre-trial burn period (270.66(b)(1)(i))</t>
  </si>
  <si>
    <t>Prepare and submit a statement suggesting the conditions necessary to operate in compliance with 266.104 through 266.107 during the post-trial burn period (270.66(b)(3)(ii))</t>
  </si>
  <si>
    <t>Prepare and submit a trial burn plan (270.66(c) and 270.22(a))</t>
  </si>
  <si>
    <t>Conduct the trial burn (270.66(d)(1), 270.22(a), and 266.104-.107)), prepare and submit a certification (270.66(d)(3)), submit data collected, including analysis and preparation of a trial burn report (270.66(d)(4)), certify all submissions (270.66(d)(5)), and make determinations based on the trial burn (including conducting risk assessments) and prepare report (270.66(f) and 266.104-107)</t>
  </si>
  <si>
    <t>If completion of the trial burn conflicts with the date set for submission of the Part B application, contact the Director to establish a later date for submission of the Part B application or trial burn results (270.66(g))</t>
  </si>
  <si>
    <t>Prepare and submit documentation that the boiler operates under the special operating requirements provided by 266.110 (270.22(a)(2)(i))</t>
  </si>
  <si>
    <t>Prepare and submit information in support of a waiver of the DRE trial burn (266.109(a)(2) and 270.22(a)(2)(ii))</t>
  </si>
  <si>
    <t>Prepare and submit the information in support of a waiver of the trial burn for particulate matter (270.22(a)(4))</t>
  </si>
  <si>
    <t>Prepare and submit information in support of a waiver of the trial burn for HCl and Cl (270.22(a)(5))</t>
  </si>
  <si>
    <t>Provide information in support of using compliance test data from one unit in lieu of testing a similar on-site unit (270.22(a)(6), 270.66, and 266.103(c)(3))</t>
  </si>
  <si>
    <t>Submit data from a similar unit operating under similar conditions (270.22(a)(6))</t>
  </si>
  <si>
    <t>Prepare and submit information in support of an alternative implementation approach, as provided by  270.22(c) and 266.106(f)</t>
  </si>
  <si>
    <t>Prepare and submit information describing the automatic waste feed cutoff system (270.22(d))</t>
  </si>
  <si>
    <t>Prepare and maintain supporting rationale for an approach for handling nondetect data points (Appendix IX, section 7.4)</t>
  </si>
  <si>
    <t>Prepare and submit the Class 2 or 3 permit modification request</t>
  </si>
  <si>
    <t>Read the regulations for Class 1, 2, or 3 permit modifications (270.42(a))</t>
  </si>
  <si>
    <t>Prepare and submit information required under  270.13 through 270.21, 270.62 and 270.63 for Class 1 modifications</t>
  </si>
  <si>
    <t>Prepare and submit written notification to the public and appropriate governments</t>
  </si>
  <si>
    <t>Prepare and distribute written notification of the  Class 2 or 3 modification request</t>
  </si>
  <si>
    <t>Prepare and submit information in support of a request for a classification of a permit modification (270.42(d))</t>
  </si>
  <si>
    <t>Review partial or final closure notifications and closure plans (interim status facilities)</t>
  </si>
  <si>
    <t>Review demonstration for extension for treatment, storage, or removal of hazardous waste</t>
  </si>
  <si>
    <t>Review demonstration for extension of closure period</t>
  </si>
  <si>
    <t>Review demonstration for receiving non-hazardous waste</t>
  </si>
  <si>
    <t>Review increases in sum amounts, if cost estimate modified, and additional reports of financial conditions</t>
  </si>
  <si>
    <t>Review annual closure cost updates to reflect inflation</t>
  </si>
  <si>
    <t>Review updated financial test and corporate guarantee information</t>
  </si>
  <si>
    <t>Review State assumptions of responsibility/required mechanism documentation</t>
  </si>
  <si>
    <t>Review notice of planned physical alterations or additions</t>
  </si>
  <si>
    <t>Review information concerning a release, fire, or explosion</t>
  </si>
  <si>
    <t>Review the one-time notice (266.100(c)(1)(i))</t>
  </si>
  <si>
    <t>Enter information into a data base</t>
  </si>
  <si>
    <t>Review the one-time notice (266.100(f)(1))</t>
  </si>
  <si>
    <t>Prepare and submit a one-time notice for a lead or nickel-chromium recovery furnace, or a metal recovery furnace that burns baghouse bags used to capture metallic dusts emitted by steel manufacturing (266.100(c)(3))</t>
  </si>
  <si>
    <t>Maintain records to document compliance (three times annually) (266.100(c)(1)(iii))</t>
  </si>
  <si>
    <t>Sample and analyze the hazardous waste to document that the waste is burned for recovery of economically significant amounts of precious metals (three times annually) (266.100(f)(2))</t>
  </si>
  <si>
    <t>Maintain records and documentation  (three times annually) (266.100(f)(3))</t>
  </si>
  <si>
    <t>Gather and analyze data to determine whether the BIF qualifies for a small quantity burner exemption (three times annually) (266.108(a)-(c))</t>
  </si>
  <si>
    <t>Prepare and submit one-time notification of  qualification for exemption (266.108(d))</t>
  </si>
  <si>
    <t>Maintain records documenting hazardous waste quantity, firing rate, and heating value limits (three times annually) (266.108(e))</t>
  </si>
  <si>
    <t>Test the calibration drift, response time, calibration error test procedure, and relative accuracy test procedure; record data; and maintain monitors (Appendix IX, section 2)</t>
  </si>
  <si>
    <t>Record the onset and duration of the downtime (Appendix IX, sections 2.1.5.2 and 2.2.5.2)</t>
  </si>
  <si>
    <t>Record the continuous emissions monitoring system response (Appendix IX, sections 2.1.6.1.1 and 2.2.6.1.1)</t>
  </si>
  <si>
    <t>Record the time required to reach 95 percent of the final stable value (Appendix IX, sections 2.1.6.2.1, and 2.2.6.2.1)</t>
  </si>
  <si>
    <t>Record the responses of the CEMS (Appendix IX, sections 2.1.6.3.1.2 and 2.2.6.3.1.2)</t>
  </si>
  <si>
    <t>Summarize results on a data sheet (Appendix IX, sections 2.1.6.1.2, 2.1.6.3.2, 2.1.6.4.5, 2.2.6.1.2, and 2.2.6.3.2)</t>
  </si>
  <si>
    <t>Report all data from performance test methods (Appendix IX, section 2.1.6.4.3)</t>
  </si>
  <si>
    <t>Report the results of the compliance drift, relative accuracy, response time, and calibration error tests (Appendix IX, sections 2.1.8 and 2.2.8)</t>
  </si>
  <si>
    <t>Submit request for approval of an alternative relative accuracy procedure (Appendix IX, section 2.1.9.2)</t>
  </si>
  <si>
    <t>Develop a quality assurance program to evaluate and monitor CEMS performance (Appendix IX, sections 2.1.10 and 2.2.9)</t>
  </si>
  <si>
    <t>Conduct a quarterly CE test (Appendix IX, sections 2.1.10.3 and 2.2.9.3)</t>
  </si>
  <si>
    <t>Conduct an annual performance specification test (Appendix IX, sections 2.1.10.4 and 2.2.9.4)</t>
  </si>
  <si>
    <t>Determine emissions of metals (Appendix IX,  section 3.1)</t>
  </si>
  <si>
    <t>Record data for the metals sampling train (Appendix IX, sections 3.1.5.1.5)</t>
  </si>
  <si>
    <t>Maintain a laboratory log of all calibrations for metals monitors (Appendix IX, section 3.1.6)</t>
  </si>
  <si>
    <t>Conduct monitoring and inspections of hazardous waste, other fuels and feedstock, and stack gas emissions (266.102(e)(8)(i)), inspect the BIF and associated equipment at least daily (266.102(e)(8)(iii)),and record monitoring and inspection data (266.102(e)(8)(v))</t>
  </si>
  <si>
    <t>Inspect the hazardous waste feed cutoff system and associated alarms at least weekly (266.102(e)(8)(iv))</t>
  </si>
  <si>
    <t>Demonstrate that weekly inspections of the hazardous waste feed cutoff system will unduly restrict or upset operations (266.102(e)(8)(iv))</t>
  </si>
  <si>
    <t>If a demonstration is approved, inspect the hazardous waste feed cutoff system and associated alarms every 30 days (266.102(e)(8)(iv))</t>
  </si>
  <si>
    <t>Maintain all information and data until closure of the facility (266.102(e)(10))</t>
  </si>
  <si>
    <t>Determine that adequate oxygen is present in the combustion gases and retain documentation (266.103(a)(5)(i)(B)) Non-commercial facilities (12 times annually)</t>
  </si>
  <si>
    <t>Maintain records that impermissible dilution has not occurred (266.103(a)(5)(ii)(A))</t>
  </si>
  <si>
    <t>Analyze waste to determine heating value (in Btu/lb) of waste (266.103(a)(5)(ii)(A))</t>
  </si>
  <si>
    <t>Maintain records that impermissible blending has not occurred (266.103(a)(5)(ii)(B) and 266.103(a)(6))</t>
  </si>
  <si>
    <t>Prepare and submit documentation to support an allowance for burning hazardous waste that has a heating value of less than 5,000 Btu/lb (266.103(a)(6)(iii))</t>
  </si>
  <si>
    <t>Prepare and maintain documentation to support an allowance for burning such waste in a halogen acid furnace (266.103(a)(6)(iv))</t>
  </si>
  <si>
    <t>Develop and maintain a record of all assumptions and calculations necessary to justify the air pollution control system removal efficiency used (Appendix IX, section 9.4)</t>
  </si>
  <si>
    <t>Provide this record, upon request (Appendix IX, section 9.4)</t>
  </si>
  <si>
    <t>Prepare and submit the information required in the certification of precompliance (266.103)(b)(1)-(2))</t>
  </si>
  <si>
    <t>Establish limits on operating conditions and certify that the facility will operate within the limits (266.103(b)(3))</t>
  </si>
  <si>
    <t>Measure and record feed rates and production rates (266.103(b)(5))</t>
  </si>
  <si>
    <t>Maintain a BIF correspondence file (266.103(b)(6)(viii)(B))</t>
  </si>
  <si>
    <t>Monitor other operating parameters and maintain records (266.103(b)(7))</t>
  </si>
  <si>
    <t>Prepare and submit revised certification of  precompliance (266.103(b)(8))</t>
  </si>
  <si>
    <t>Submit certification of precompliance statement (266.103(b)(9))</t>
  </si>
  <si>
    <t>Prepare and submit the information required in the certification of compliance (266.103(c)(4))</t>
  </si>
  <si>
    <t>Prepare and submit a demonstration that the owner or operator made a good faith effort to operate a heated monitoring system (266.103(c)(5))</t>
  </si>
  <si>
    <t>Prepare and submit a notification that the facility is operating under restricted interim status (266.103(c)(7)(i)(B))</t>
  </si>
  <si>
    <t>Prepare and submit a request for a case-by-case extension (266.103(c)(7)(ii))</t>
  </si>
  <si>
    <t>Prepare and submit a notification if operating limits exceed those established under a current certification of compliance (266.103(c)(8)(ii))</t>
  </si>
  <si>
    <t>OPERATING AND MAINTENANCE COSTS FOR MAINTAINING ALL RECORDS</t>
  </si>
  <si>
    <t>ANNUAL ESTIMATED AGENCY BURDEN AND COST</t>
  </si>
  <si>
    <t>Prepare and submit information in support of a waiver of the trial burn for metals (270.22(a)(3))</t>
  </si>
  <si>
    <t>Prepare and submit a revised certification of compliance (266.103(c)(8)(iv))</t>
  </si>
  <si>
    <t>Conduct compliance testing and prepare and submit periodic recertification (266.103(d))</t>
  </si>
  <si>
    <t>PI</t>
  </si>
  <si>
    <t>IS</t>
  </si>
  <si>
    <t>Number of Responses</t>
  </si>
  <si>
    <t>Maintain records supporting a demonstration for an  alternate means of fugitive emissions control (266.103(h)(3))</t>
  </si>
  <si>
    <t>Cement kilns</t>
  </si>
  <si>
    <t>SPECIFIC UNIT REQUIREMENTS FOR BIFs</t>
  </si>
  <si>
    <t xml:space="preserve"> </t>
  </si>
  <si>
    <t>Existing</t>
  </si>
  <si>
    <t>Type of</t>
  </si>
  <si>
    <t>Burden</t>
  </si>
  <si>
    <t>Capital</t>
  </si>
  <si>
    <t>O&amp;M</t>
  </si>
  <si>
    <t>hours</t>
  </si>
  <si>
    <t>1) Reporting</t>
  </si>
  <si>
    <t>Costs</t>
  </si>
  <si>
    <t>2) Recordkeeping</t>
  </si>
  <si>
    <t>Exemptions from the BIF Regulations (266.100 and 266.108)</t>
  </si>
  <si>
    <t>Exemptions for metal recovery furnaces (266.100(c))</t>
  </si>
  <si>
    <t>Exemptions for smelting, melting, and refining furnaces (266.100(f))</t>
  </si>
  <si>
    <t>Small Quantity On-Site Burner Exemption (266.108)</t>
  </si>
  <si>
    <t>Permit Standards (266.102 and Appendix IX, sections 2 and 3)</t>
  </si>
  <si>
    <t>Monitoring and Inspections (266.102(e)(8) and Appendix IX, sections 2 and 3)</t>
  </si>
  <si>
    <t>Recordkeeping (266.102(e)(10))</t>
  </si>
  <si>
    <t>Purpose, Scope, and Applicability (266.103(a))</t>
  </si>
  <si>
    <t>Certification of Precompliance (266.103(b) and Appendix IX, section 9.4)</t>
  </si>
  <si>
    <t>Certification of Compliance (266.103(c))</t>
  </si>
  <si>
    <t>Periodic Recertifications (266.103(d))</t>
  </si>
  <si>
    <t>Automatic Hazardous Waste Feed Cutoff System (266.103(g))</t>
  </si>
  <si>
    <t>Fugitive Emissions (266.103(h))</t>
  </si>
  <si>
    <t>Monitoring and Inspections (266.103(j) and Appendix IX, sections 2 and 3)</t>
  </si>
  <si>
    <t>Recordkeeping Requirements (266.103(k))</t>
  </si>
  <si>
    <t>Standards to Control Metal Emissions (266.106(f))</t>
  </si>
  <si>
    <t>Direct Transfer (266.111)</t>
  </si>
  <si>
    <t>Regulation of Residues (266.112)</t>
  </si>
  <si>
    <t>Small Quantity</t>
  </si>
  <si>
    <t>On-Site Burners</t>
  </si>
  <si>
    <t>EXHIBIT 6</t>
  </si>
  <si>
    <t>Total Cost</t>
  </si>
  <si>
    <t>per Year</t>
  </si>
  <si>
    <t>Submittals from I-S facilities</t>
  </si>
  <si>
    <t>Submittals from new facilities</t>
  </si>
  <si>
    <t>Costs/</t>
  </si>
  <si>
    <t>activity</t>
  </si>
  <si>
    <t>Exemptions for a smelting, melting, and refining furnace (266.100(f))</t>
  </si>
  <si>
    <t>Interim Status Standards (266.103 and Appendix IX, sections 2, 3, and 9)</t>
  </si>
  <si>
    <t>Foreign Shipment Import Report (264.12(a) and 265.12(a))</t>
  </si>
  <si>
    <t>Capital Cost</t>
  </si>
  <si>
    <t>Total Labor cost</t>
  </si>
  <si>
    <t>Total Capital Costs</t>
  </si>
  <si>
    <t>Total Labor Costs</t>
  </si>
  <si>
    <t>Prepare, keep records of, and submit notice (55 annually)</t>
  </si>
  <si>
    <t>Meet with state and local authorities to discuss emergency arrangements</t>
  </si>
  <si>
    <t>Document refusal of State or local authorities to enter into arrangements</t>
  </si>
  <si>
    <t>Determine Quantity of Waste (264.73 and 265.73(b)(1) &amp; (b)(2))</t>
  </si>
  <si>
    <t>Maintain updated information in operating record</t>
  </si>
  <si>
    <t>Records and Results of Waste Analysis (264.73 and 265.73(b)(3))</t>
  </si>
  <si>
    <t>Notices to Generators (264.73 and 265.73(b)(7))</t>
  </si>
  <si>
    <t>Closure Cost Estimates (264.73 and 265.73(b)(8))</t>
  </si>
  <si>
    <t>Emergency Coordinator Reports (264.56(a)(2), (d)(1), and (d)(2)), and 265.56(a)(2), (d)(1), and (d)(2))</t>
  </si>
  <si>
    <t>Notify State and local authorities of an imminent or actual emergency situation</t>
  </si>
  <si>
    <t>Notify local authorities of the need to evacuate local areas</t>
  </si>
  <si>
    <t>Notify Regional Administrator that facility is in compliance with 264.56(h) or 265.56(h) before resuming operations in the affected area (264.56(i) and 265.56(i))</t>
  </si>
  <si>
    <t>Compile information that demonstrates that all affected areas are in compliance with 264.56(h) or 265.56(h)</t>
  </si>
  <si>
    <t>Collect information required in the emergency report</t>
  </si>
  <si>
    <t>Notification and Amendment of the Closure Plan (265.112(c))</t>
  </si>
  <si>
    <t>Partial Closure and Final Closure Notification (264.112(d) and 265.112(d))</t>
  </si>
  <si>
    <t>Extension and Allowances During the Closure Period (264.113(a), 265.113(a), 264.113(b), 265.113(b), 264.113(d), and 265.113(d))</t>
  </si>
  <si>
    <t>Closure Certification (264.115 and 265.115)</t>
  </si>
  <si>
    <t>Collect documentation to support certification</t>
  </si>
  <si>
    <t>Financial Responsibility for Corrective Action (264.101)</t>
  </si>
  <si>
    <t>Prepare and submit documented assurances of financial responsibility for corrective action</t>
  </si>
  <si>
    <t>Demonstrate, if applicable, that permission denied to implement correction action beyond facility boundary</t>
  </si>
  <si>
    <t>Amend cost estimate due to closure plan changes</t>
  </si>
  <si>
    <t>Gather and submit relevant information to issuing institution</t>
  </si>
  <si>
    <t>Submit orginally signed duplicate of trust agreement</t>
  </si>
  <si>
    <t>Submit receipt for first payment under trust agreement (new facilities)</t>
  </si>
  <si>
    <t>Amend trust fund due to changes in closure plan</t>
  </si>
  <si>
    <t>Surety bond guaranteeing payment into a closure trust fund (264.143(b) and 265.143(b)) or guaranteeing performance of closure care (264.143(c))</t>
  </si>
  <si>
    <t>Submit orginally signed duplicates of bond/trust agreement</t>
  </si>
  <si>
    <t>Submit evidence of alternate financial mechanisms, if bond cancelled</t>
  </si>
  <si>
    <t>Increase penal sum amount, if cost estimate modified</t>
  </si>
  <si>
    <t>Obtain and submit letter of credit from issuing institution</t>
  </si>
  <si>
    <t>Write and submit letter to accompany letter of credit</t>
  </si>
  <si>
    <t>Submit originally signed duplicate of the trust agreement</t>
  </si>
  <si>
    <t>Increase credit amount, if cost estimate modified</t>
  </si>
  <si>
    <t>Submit letter from insurer (for some interim status facilities only)</t>
  </si>
  <si>
    <t>Increase insured amount, if cost estimate modified</t>
  </si>
  <si>
    <t>Write and submit letter signed by chief financial officer</t>
  </si>
  <si>
    <t>Prepare special report from an independent accountant</t>
  </si>
  <si>
    <t>Submit copy of public accountant's report and special report</t>
  </si>
  <si>
    <t>Write and submit letter for an extension for submission of documents</t>
  </si>
  <si>
    <t>Write and submit notice of intent to establish other financial assurance, if applicable</t>
  </si>
  <si>
    <t>Write and submit any additional reports of financial condition</t>
  </si>
  <si>
    <t>Submit corporate guarantee from parent corporation</t>
  </si>
  <si>
    <t>Prepare, write, and submit a claim notification, if applicable</t>
  </si>
  <si>
    <t>Prepare, write, and submit notification of reduction of liability coverage amount, if applicable</t>
  </si>
  <si>
    <t>Prepare, write, and submit letter signed by chief financial officer</t>
  </si>
  <si>
    <t>Submit evidence of insurance obtained for entire liability coverage, if applicable</t>
  </si>
  <si>
    <t>Use of a Financial Mechanism for Multiple Facilities (264.143(h) and 265.143(g))</t>
  </si>
  <si>
    <t>Submit ID, address, and amount of funds assured by the mechanism</t>
  </si>
  <si>
    <t>If facilities are in more than one Region, submit evidence to all Regions</t>
  </si>
  <si>
    <t>Submit a signed duplicate original of the endorsement or certificate of insurance</t>
  </si>
  <si>
    <t>If requested, submit a  signed duplicate original of the insurance policy</t>
  </si>
  <si>
    <t>Adjustments by the Regional Administrator (264.147(d) and 265.147(d))</t>
  </si>
  <si>
    <t>Submit requested information</t>
  </si>
  <si>
    <t>Demonstrate that an alternate means of control provides fugitive emissions control equivalent to maintenance of combustion zone pressure lower than atmospheric pressure</t>
  </si>
  <si>
    <t>Obtain and submit written guarantee from parent corporation</t>
  </si>
  <si>
    <t>Submit letter from guarantor's chief financial officer</t>
  </si>
  <si>
    <t>Letter of Credit for Liability Coverage (264.147(h) and 265.147(h))</t>
  </si>
  <si>
    <t>Liability Insurance (264.147(a) and (b), and 265.147(a) and (b))</t>
  </si>
  <si>
    <t>Obtain and submit insurance policy documentation</t>
  </si>
  <si>
    <t>Surety Bond for Liability Coverage (264.147(i) and 265.147(i))</t>
  </si>
  <si>
    <t>Trust Fund for Liability Coverage (264.147(j) and 265.147(j))</t>
  </si>
  <si>
    <t>Submit originally signed duplicate of trust agreement to EPA</t>
  </si>
  <si>
    <t>Incapacity of Owners or Operators, Guarantors, or Financial Institutions (264.148 and 265.148)</t>
  </si>
  <si>
    <t>Submit notice indicating commencement of bankruptcy proceedings</t>
  </si>
  <si>
    <t>Use of State-Required Mechanisms (264.149) and 265.149)</t>
  </si>
  <si>
    <t>State Assumption of Responsibility (264.150 and 265.150)</t>
  </si>
  <si>
    <t>Submit written evidence of establishment of State-required financial assurance mechanism</t>
  </si>
  <si>
    <t>Prepare and submit letter from owner or operator</t>
  </si>
  <si>
    <t>Obtain and submit letter from State describing assumption of responsiblity</t>
  </si>
  <si>
    <t>Prepare and submit any additional information requested by EPA</t>
  </si>
  <si>
    <t>Prepare and submit information requested by EPA</t>
  </si>
  <si>
    <t>Prepare and submit notice of planned physical alterations or additions</t>
  </si>
  <si>
    <t>Prepare and submit notice of planned changes or activities which may result in noncompliance</t>
  </si>
  <si>
    <t>Prepare and submit reports of compliance or noncompliance with compliance schedule</t>
  </si>
  <si>
    <t>Compile and submit information of a release of hazardous waste, a fire, or an explosion within 24 hours</t>
  </si>
  <si>
    <t>Prepare and submit notice of noncompliance due to a release, fire, or explosion</t>
  </si>
  <si>
    <t>Prepare and submit a report of other noncompliance</t>
  </si>
  <si>
    <t>Prepare and submit omitted or corrected information</t>
  </si>
  <si>
    <t>Prepare and submit demonstration for extension for treatment, storage, or removal of hazardous waste (264/265.113(a))</t>
  </si>
  <si>
    <t>Prepare and submit demonstration for extension of the closure period (264/265.113(b))</t>
  </si>
  <si>
    <t>Prepare and submit demonstration for receiving non-hazardous waste (264/265.113(d))</t>
  </si>
  <si>
    <t>Prepare and submit a one-time notice identifying each waste burned, specifying that the receiving lead recovery furnace claims the exemption and demonstrate that the waste complies with 40 CFR Part 266 requirements</t>
  </si>
  <si>
    <t>Sample and analyze the hazardous waste and other feedstocks (three times annually) (266.100(c)(1)(ii))</t>
  </si>
  <si>
    <t>Prepare and submit a one-time notice (266.100(c)(1)(i))</t>
  </si>
  <si>
    <t>Prepare and submit a one-time notice (266.100(f)(1))</t>
  </si>
  <si>
    <t>Commercial facilities (52 times annually)</t>
  </si>
  <si>
    <t>Prepare and submit a public notice (266.103(b)(6))</t>
  </si>
  <si>
    <t>Establish limits on operating conditions (266.103(c)(1))</t>
  </si>
  <si>
    <t>Provide notice of compliance testing (266.103(c)(2))</t>
  </si>
  <si>
    <t>Perform compliance testing (266.103(c)(8)(iii))</t>
  </si>
  <si>
    <t>Standards to Control Organic Emissions(266.104)</t>
  </si>
  <si>
    <t>Record and maintain inspection data (266.111(e)(3)(iii))</t>
  </si>
  <si>
    <t>Cement kilns (52 times annually)</t>
  </si>
  <si>
    <t>Other facilities (12 times annually)</t>
  </si>
  <si>
    <t>Other facilities</t>
  </si>
  <si>
    <t>Interim Status Standards (266.103) (Cont'd)</t>
  </si>
  <si>
    <t>PART B PERMIT APPLICATION AND PERMIT MODIFICATION REQUIREMENTS FOR BIFs</t>
  </si>
  <si>
    <t>GENERAL PART B INFORMATION REQUIREMENTS</t>
  </si>
  <si>
    <t>Legal Review</t>
  </si>
  <si>
    <t>avg. new-p</t>
  </si>
  <si>
    <t>General Requirements (270.14(a))</t>
  </si>
  <si>
    <t>Financial Assurance (270.14(b) (15)-(16))</t>
  </si>
  <si>
    <t xml:space="preserve">Cost Estimates for Closure (264.142) </t>
  </si>
  <si>
    <t>Financial Assurance for Closure Care (264.143)</t>
  </si>
  <si>
    <t>Request for Variance (264.147(c))</t>
  </si>
  <si>
    <t>Adjustments by the Regional Administrator (264.147(d)</t>
  </si>
  <si>
    <t>Coverage by a State Financial Mechanism (264.147(b)(18)</t>
  </si>
  <si>
    <t>Topographical Map (270.14(b)(19))</t>
  </si>
  <si>
    <t>Schedules of Compliance (270.33)</t>
  </si>
  <si>
    <t>SPECIFIC PART B INFORMATION REQUIREMENTS FOR BIFs</t>
  </si>
  <si>
    <t xml:space="preserve">Cost </t>
  </si>
  <si>
    <t>burden</t>
  </si>
  <si>
    <t>Fugitive Emissions (266.102(e)(7))</t>
  </si>
  <si>
    <t>avg.-p</t>
  </si>
  <si>
    <t>Waivers of the Trial Burn (270.22(a), 266.106, 266.107, 266.109, and 266.110)</t>
  </si>
  <si>
    <t>Waiver of the Trial Burn for Boilers Operating Under Special Operating Requirements (270.22(a)(2)(i) and 266.110)</t>
  </si>
  <si>
    <t>Waiver of the Trial Burn for BIFs Burning Low Risk Waste (270.22(a)(2)(ii) and 266.109)</t>
  </si>
  <si>
    <t>Waiver of Trial Burn for Metals (270.22(a)(3) and 266.106)</t>
  </si>
  <si>
    <t>Waiver of the Trial Burn for Particulate Matter</t>
  </si>
  <si>
    <t>Waiver of the Trial Burn for HCl and Cl2 Emissions (270.22(a)(5) and 266.107)</t>
  </si>
  <si>
    <t>Data in Lieu of a Trial Burn (270.22(a)(6), 270.66, and 266.103(c)(3))</t>
  </si>
  <si>
    <t>Alternative HC Limit for Industrial Furnaces with Organic Matter in Raw Materials (270.22(b) and 266.104(f))</t>
  </si>
  <si>
    <t>Alternative Metals Implementation Approach (270.22(c) and 266.106(f))</t>
  </si>
  <si>
    <t>Automatic Hazardous Waste Feed Cutoff System (270.22(d))</t>
  </si>
  <si>
    <t>Direct Transfer Requirements (270.22(e) and 266.111)</t>
  </si>
  <si>
    <t>Regulation of Residues (266.112 and 270.22(f))</t>
  </si>
  <si>
    <t>Review information in support of an alternative implementation approach, as provided by 266.106(f)</t>
  </si>
  <si>
    <t>Review demonstration that the hazardous waste does not significantly affect the residue (266.112(b))</t>
  </si>
  <si>
    <t>Review and approve demonstrations</t>
  </si>
  <si>
    <t>Review required information</t>
  </si>
  <si>
    <t>Review financial estimates and instruments</t>
  </si>
  <si>
    <t>Review topographical map</t>
  </si>
  <si>
    <t>Review schedule of compliance</t>
  </si>
  <si>
    <t>Review alternative schedule of compliance</t>
  </si>
  <si>
    <t>Review application for two compliance schedules</t>
  </si>
  <si>
    <t>Review evidence of firm public commitment to cease conducting regulated activities</t>
  </si>
  <si>
    <t>Review written agreements</t>
  </si>
  <si>
    <t>Review the modification</t>
  </si>
  <si>
    <t>Review the proof of public notice</t>
  </si>
  <si>
    <t>Review the Class 1 modification</t>
  </si>
  <si>
    <t>Review the Class 2 or Class 3 modification</t>
  </si>
  <si>
    <t>Review temporary authorization requests</t>
  </si>
  <si>
    <t>Review the permit application</t>
  </si>
  <si>
    <t>Review certification of submissions (270.66(d)(5))</t>
  </si>
  <si>
    <t>Review information supporting a demonstration for an alternate means of fugitive emissions control (266.102(e)(7)(i)(C))</t>
  </si>
  <si>
    <t>Part B Information Requirements for the Pre-Trial Burn, Trial Burn, and Post-Trial Burn Periods (270.66, 270.22, 266.102, and 266.104-.107)</t>
  </si>
  <si>
    <t>Review request for an extension of the 720-hour operational period (270.66(b)(1))</t>
  </si>
  <si>
    <t>Review statement suggesting the conditions necessary to operate in compliance with 266.104 through 266.107 during the pre-trial burn period (270.66(b)(1)(i))</t>
  </si>
  <si>
    <t>Review statement suggesting the conditions necessary to operate in compliance with 266.104 through 266.107 during the post-trial burn period (270.66(b)(3)(ii))</t>
  </si>
  <si>
    <t>Review the trial burn plan (270.66(c) and 270.22(a))</t>
  </si>
  <si>
    <t>Review certification that the trial burn has been carried out in accordance with the approved plan, and review results of all determinations (270.66(d)(3))</t>
  </si>
  <si>
    <t>Review data collected during any trial burn (270.66(d)(4))</t>
  </si>
  <si>
    <t>Review documentation that the boiler operates under the special operating requirements provided by 266.110 (270.22(a)(2)(i))</t>
  </si>
  <si>
    <t>Review information in support of a waiver of the DRE trial burn (266.109(a)(2) and 270.22(a)(2)(ii))</t>
  </si>
  <si>
    <t>Review information in support of a waiver of the trial burn for metals (270.22(a)(3))</t>
  </si>
  <si>
    <t>Review information in support of a waiver of the trial burn for particulate matter (270.22(a)(3))</t>
  </si>
  <si>
    <t>Review information in support of a waiver of the trial burn for HCl and Cl (270.22(a)(5))</t>
  </si>
  <si>
    <t>Review information in support of using compliance test data in lieu of conducting a trial burn, or of using compliance test or trial burn data for a similar unit in lieu of conducting a trial burn (270.22(a)(6) and 270.66)</t>
  </si>
  <si>
    <t>Review data submitted in lieu of a trial burn (270.22(a)(6))</t>
  </si>
  <si>
    <t>Review information in support of an alternative HC limit, as provided in 266.104(f) and 270.22(b)</t>
  </si>
  <si>
    <t>Review information in support of an alternative implementation approach, as provided by  270.22(c) and 266.106(f)</t>
  </si>
  <si>
    <t>Review information describing the automatic waste feed cutoff system (270.22(d))</t>
  </si>
  <si>
    <t>Permit Modifications at the Request of the Permittee  (270.42(a)-(d))</t>
  </si>
  <si>
    <t>Review information submitted in support of a request for a modification classification, and make a determination (270.42(d))</t>
  </si>
  <si>
    <t>Specific Unit Requirements for BIFs</t>
  </si>
  <si>
    <t>CHECK TOTAL COST</t>
  </si>
  <si>
    <t>Prepare and submit information in support of an alternative HC limit, as provided in 266.104(f) and 270.22(b)</t>
  </si>
  <si>
    <t>Review limits on operating conditions (266.103(c)(1))</t>
  </si>
  <si>
    <t>Review notice of compliance testing (266.103(c)(2))</t>
  </si>
  <si>
    <t>Review the periodic recertification (266.103(d))</t>
  </si>
  <si>
    <t>Review the one-time notice for a lead or nickel-chromium recovery furnace, or a metal recovery furnace that burns baghouse bags used to capture metallic dusts emitted by steel manufacturing (266.100(c)(3))</t>
  </si>
  <si>
    <t>Review the notification of qualification for an exemption (266.108(d))</t>
  </si>
  <si>
    <t>Review data from performance test methods (Appendix IX, section 2.1.6.4.3)</t>
  </si>
  <si>
    <t>Review results of the compliance drift, relative accuracy, response time, and calibration error tests (Appendix IX, sections 2.1.8 and 2.2.8)</t>
  </si>
  <si>
    <t>Review request for an alternative relative accuracy procedure (Appendix IX, section 2.1.9.2)</t>
  </si>
  <si>
    <t>Review demonstration that weekly inspections of the hazardous waste feed cutoff system will unduly restrict or upset operations (266.102(e)(8)(iv))</t>
  </si>
  <si>
    <t>Review documentation to support an allowance for burning hazardous waste that has a heating value of less than 5,000 Btu/lb (266.103(a)(6)(iii))</t>
  </si>
  <si>
    <t>Review record of all assumptions and calcuations necessary to justify the air pollution control system removal efficiency used (Appendix IX, section 9.4)</t>
  </si>
  <si>
    <t>Review the information required in the certification of precompliance (266.103)(b)(1)-(2))</t>
  </si>
  <si>
    <t>Review limits on operating conditions and certification (266.103(b)(3))</t>
  </si>
  <si>
    <t>Review evidence of submittal of the public notice (266.103(b)(6))</t>
  </si>
  <si>
    <t>Review revised certification of precompliance (266.103(b)(8))</t>
  </si>
  <si>
    <t>Review certification of precompliance statement (266.103(b)(9))</t>
  </si>
  <si>
    <t>Review information in support of using compliance test data from one unit in lieu of testing a similar on-site unit (266.103(c)(3)(i))</t>
  </si>
  <si>
    <t>Review the certification of compliance or data from a  similar unit submitted in lieu of compliance test data (266.103(c)(4))</t>
  </si>
  <si>
    <t>Review the demonstration that the owner or operator made a good faith effort to operate a heated monitoring system (266.103(c)(5))</t>
  </si>
  <si>
    <t>Review the notification that the facility is operating under restricted interim status (266.103(c)(7)(i)(B))</t>
  </si>
  <si>
    <t>Review the request for a case-by-case extension (266.103(c)(7)(ii))</t>
  </si>
  <si>
    <t>Review the notification that operating limits exceed those established (266.103(c)(8)(ii))</t>
  </si>
  <si>
    <t>Review the revised certification of compliance (266.103(c)(8))</t>
  </si>
  <si>
    <t>Review demonstration for an alternate means of fugitive emissions control (266.102(h)(3))</t>
  </si>
  <si>
    <t>Review demonstration that weekly inspections of the hazardous waste feed cutoff system will unduly restrict or upset operations (266.103(j)(3))</t>
  </si>
  <si>
    <t>Review the demonstration for an alternate POHC designation (266.104(a)(2))</t>
  </si>
  <si>
    <t>PART B MODIFICATION REQUIREMENTS</t>
  </si>
  <si>
    <t>Permit Modifications for BIFs (270.40 - .42)</t>
  </si>
  <si>
    <t>Transfer of Permits (270.40(b))</t>
  </si>
  <si>
    <t>Permit Modifications at the Request of the Agency (270.41)</t>
  </si>
  <si>
    <t>Permit Modifications at the Request of the Permittee (270.42(a)-(d))</t>
  </si>
  <si>
    <t>Temporary authorizations (270.42(e))</t>
  </si>
  <si>
    <t>Expiration and Continuation of Permits (270.50 - .51)</t>
  </si>
  <si>
    <t>PART B PERMIT APPLICATIONS AND PERMIT MODIFICATION REQUIREMENTS FOR BIFs</t>
  </si>
  <si>
    <t>General Facility Standards (270.14(b) (1)-(14))</t>
  </si>
  <si>
    <t>Schedule of Compliance (270.33)</t>
  </si>
  <si>
    <t>Waiver of the Trial Burn for Particulate Matter (270.22(a)(4) and 266.105)</t>
  </si>
  <si>
    <t>Waivers of the Trial Burn (270.22(a), 266.106, 266.107, 266.109, and 266.110) (Cont'd)</t>
  </si>
  <si>
    <t>Waiver of the Trial Burn for HCl and Cl Emissions (270.22(a)(5) and 266.107)</t>
  </si>
  <si>
    <t>Automatic Waste Feed Cutoff System (270.22(d))</t>
  </si>
  <si>
    <t>Permit Modifications (270.40 - .42)</t>
  </si>
  <si>
    <t>Temporary Authorizations (270.42(e))</t>
  </si>
  <si>
    <t>Expiration and Continuation of Permits (270.50 - 270.51)</t>
  </si>
  <si>
    <t>Maintaining All Records</t>
  </si>
  <si>
    <t>BIF ICR</t>
  </si>
  <si>
    <t>TOTAL RESPONDENT BURDEN AND COST</t>
  </si>
  <si>
    <t>Total Hours</t>
  </si>
  <si>
    <t>Per Year</t>
  </si>
  <si>
    <t>(A)  General Facility Operating Requirements</t>
  </si>
  <si>
    <t>(B)  Recordkeeping Requirements</t>
  </si>
  <si>
    <t>(C)  Contingency Plan and Emergency Procedures</t>
  </si>
  <si>
    <t>(D)  Closure Requirements</t>
  </si>
  <si>
    <t>(E)  Financial Requirements</t>
  </si>
  <si>
    <t>(F)  Conditions Applicable to All Permits</t>
  </si>
  <si>
    <t>Exhibit 2</t>
  </si>
  <si>
    <t>Exhibit 3</t>
  </si>
  <si>
    <t>(A)  General Part B Information Requirements</t>
  </si>
  <si>
    <t>(B)  Specific Part B Information Requirements</t>
  </si>
  <si>
    <t>(C)  Part B Modification Requirements</t>
  </si>
  <si>
    <t>TOTAL AGENCY BURDEN AND COST</t>
  </si>
  <si>
    <t>Exhibit 5</t>
  </si>
  <si>
    <t>Closing</t>
  </si>
  <si>
    <t>Total submittals</t>
  </si>
  <si>
    <t>Total number of facilities</t>
  </si>
  <si>
    <t>Reporting hours</t>
  </si>
  <si>
    <t>Recordkeeping hours</t>
  </si>
  <si>
    <t>Reporting</t>
  </si>
  <si>
    <t>New MREs</t>
  </si>
  <si>
    <t>Existing MREs</t>
  </si>
  <si>
    <t>New SMRs</t>
  </si>
  <si>
    <t>Existing SMRs</t>
  </si>
  <si>
    <t>New SQBEs</t>
  </si>
  <si>
    <t>Existing SQBEs</t>
  </si>
  <si>
    <t>Average Burden for</t>
  </si>
  <si>
    <t>Perform waste analysis (50 times annually)</t>
  </si>
  <si>
    <t>Collect data (50 times annually)</t>
  </si>
  <si>
    <t>Perform waste analysis (four times annually)</t>
  </si>
  <si>
    <t>Collect data (four times annually)</t>
  </si>
  <si>
    <t>Prepare and submit notification</t>
  </si>
  <si>
    <t>Maintain the modified waste analysis plan</t>
  </si>
  <si>
    <t>Maintain the modified inspection schedule</t>
  </si>
  <si>
    <t>Maintain training records (new)</t>
  </si>
  <si>
    <t>Maintain training records (existing)</t>
  </si>
  <si>
    <t>Documentation of Compliance for Ignitable, Reactive, or Incompatible Wastes (264.17(c))</t>
  </si>
  <si>
    <t>Contingency Plan Requirements(265.50 - .54)</t>
  </si>
  <si>
    <t>Collect the data required in the contingency plan (264.52)</t>
  </si>
  <si>
    <t>Amend the contingency plan</t>
  </si>
  <si>
    <t>Collect information required for an emergency report and write report</t>
  </si>
  <si>
    <t>Notify the on-scene coordinator or the National Response Center of a release</t>
  </si>
  <si>
    <t>Prepare and submit the emergency report</t>
  </si>
  <si>
    <t>Read the regulations covering financial responsibility requirements (existing)</t>
  </si>
  <si>
    <t>Read the regulations covering financial responsibility requirements (new)</t>
  </si>
  <si>
    <t>Adjust estimate to reflect inflation</t>
  </si>
  <si>
    <t>Establish closure insurance policy</t>
  </si>
  <si>
    <t>EXEMPTIONS FROM THE BIF REGULATIONS (266.100 and 266.108)</t>
  </si>
  <si>
    <t>Submit demonstration of the adequacy of an alternative calibration procedure (Appendix IX, sections 2.1.10.1 and 2.2.9.1)</t>
  </si>
  <si>
    <t>Analyze waste to determine concentration (in ppm) of part 261, appendix VIII non-metal  compounds (266.103(a)(5)(ii)(A))</t>
  </si>
  <si>
    <t>INTERIM STATUS STANDARDS (266.103 and Appendix IX, sections 2 and 3)</t>
  </si>
  <si>
    <t>Perform compliance testing (266.103(c)(3))</t>
  </si>
  <si>
    <t>Provide and submit information in support of using  compliance test data from one unit in lieu of testing a similar on-site unit (266.103(c)(3))</t>
  </si>
  <si>
    <t>Monitor and record operating parameters (266.103(g)(2)) (12 times annually)</t>
  </si>
  <si>
    <t>Prepare and submit information in support of an alternative implementation approach, as provided by 266.106(f)</t>
  </si>
  <si>
    <t>Analyze F039 nonwastewater for total hexa-, penta-, and tetra p-dioxins and hexa-, penta-, and tetra-chlorodibenzofurans (266.112(b)(2)(1))</t>
  </si>
  <si>
    <t>Record and maintain information documenting compliance (266.112(c))</t>
  </si>
  <si>
    <t>General Facility Standards (270.14(b)(1)-(14))</t>
  </si>
  <si>
    <t>Prepare a demonstration for an exemption from the security procedures and equipment requirements</t>
  </si>
  <si>
    <t>FINANCIAL ASSURANCE (270.14(b) (15)-(16))</t>
  </si>
  <si>
    <t>Prepare and submit information supporting a demonstration for an alternate means of fugitive emissions control</t>
  </si>
  <si>
    <t>WAIVERS FROM THE TRIAL BURN (270.22(a), 266.106, 266.107, 266.109, and 266.110)</t>
  </si>
  <si>
    <t>PERMIT STANDARDS (266.102 and Appendix IX, sections 2 and 3)</t>
  </si>
  <si>
    <t>Maintain all records</t>
  </si>
  <si>
    <t>(Hours per Year)</t>
  </si>
  <si>
    <t>Record-</t>
  </si>
  <si>
    <t>keeping</t>
  </si>
  <si>
    <t>TOTAL</t>
  </si>
  <si>
    <t>Respondents</t>
  </si>
  <si>
    <t>Legal</t>
  </si>
  <si>
    <t>Manager</t>
  </si>
  <si>
    <t>Technical</t>
  </si>
  <si>
    <t>Clerical</t>
  </si>
  <si>
    <t>TYPE</t>
  </si>
  <si>
    <t>Permitted</t>
  </si>
  <si>
    <t>O&amp;M Cost of Photocopying</t>
  </si>
  <si>
    <t>Hours and Costs Per Respondent or Activity</t>
  </si>
  <si>
    <t>Total Hours and Costs</t>
  </si>
  <si>
    <t>Labor</t>
  </si>
  <si>
    <t>Capital/</t>
  </si>
  <si>
    <t>Total</t>
  </si>
  <si>
    <t>Average</t>
  </si>
  <si>
    <t>Hours per</t>
  </si>
  <si>
    <t>Cost per</t>
  </si>
  <si>
    <t>Startup</t>
  </si>
  <si>
    <t>O &amp; M</t>
  </si>
  <si>
    <t xml:space="preserve">O&amp;M </t>
  </si>
  <si>
    <t>hours per</t>
  </si>
  <si>
    <t>INFORMATION COLLECTION ACTIVITY</t>
  </si>
  <si>
    <t>Permitted %</t>
  </si>
  <si>
    <t>per hour</t>
  </si>
  <si>
    <t>Year</t>
  </si>
  <si>
    <t>Cost</t>
  </si>
  <si>
    <t>or Activities</t>
  </si>
  <si>
    <t>Int. Status %</t>
  </si>
  <si>
    <t>respondent</t>
  </si>
  <si>
    <t>Subtotal</t>
  </si>
  <si>
    <t>varies</t>
  </si>
  <si>
    <t>Lead Recovery Furnace Exemptions (266.100(h))</t>
  </si>
  <si>
    <t>GENERAL FACILITY STANDARDS APPLICABLE TO BIFs</t>
  </si>
  <si>
    <t>GENERAL FACILITY OPERATING REQUIREMENTS</t>
  </si>
  <si>
    <t>ANNUAL ESTIMATED RESPONDENT BURDEN AND COST</t>
  </si>
  <si>
    <t>Number of Respond.</t>
  </si>
  <si>
    <t>per Res-</t>
  </si>
  <si>
    <t>Interim</t>
  </si>
  <si>
    <t>pondent/</t>
  </si>
  <si>
    <t>Status</t>
  </si>
  <si>
    <t>Activity</t>
  </si>
  <si>
    <t>avg-p</t>
  </si>
  <si>
    <t>avg-is</t>
  </si>
  <si>
    <t>Read the regulations</t>
  </si>
  <si>
    <t>Collect Data</t>
  </si>
  <si>
    <t>Notice of appropriate permit(s) (264.12(b)</t>
  </si>
  <si>
    <t>Notice of Part 264 or 265 and Part 270 requirements (264.12(c) and 265.12(b))</t>
  </si>
  <si>
    <t>Prepare and submit notice</t>
  </si>
  <si>
    <t>Waste Analysis (264.13(a)(1) and 265.13(a)(1))</t>
  </si>
  <si>
    <t>Non-commercial facilities</t>
  </si>
  <si>
    <t>Commercial facilities</t>
  </si>
  <si>
    <t>Waste Analysis Plan (264.13(b) and 265.13(b))</t>
  </si>
  <si>
    <t>Collect data</t>
  </si>
  <si>
    <t>Write the waste analysis plan</t>
  </si>
  <si>
    <t>Maintain the waste analysis plan</t>
  </si>
  <si>
    <t>Modify the waste analysis plan</t>
  </si>
  <si>
    <t>Inspection Schedule (264.15(b)(1) and (d) and 265.15(b)(1) and (d))</t>
  </si>
  <si>
    <t>Develop an inspection schedule</t>
  </si>
  <si>
    <t>Conduct daily inspections</t>
  </si>
  <si>
    <t>Maintain the inspection schedule</t>
  </si>
  <si>
    <t>Modify the inspection schedule</t>
  </si>
  <si>
    <t>Record problems in the inspection log</t>
  </si>
  <si>
    <t>Personnel Training (264.16(d) and 265.16(d))</t>
  </si>
  <si>
    <t>Collect and document data</t>
  </si>
  <si>
    <t>Maintain documentation at the facility</t>
  </si>
  <si>
    <t>RECORDKEEPING REQUIREMENTS</t>
  </si>
  <si>
    <t>Arrangements with Local Authorities (264.37(b))</t>
  </si>
  <si>
    <t>Emergency Reports (264.73 and 265.73(b)(4))</t>
  </si>
  <si>
    <t>Inspections (264.73 and 265.73(b)(5))</t>
  </si>
  <si>
    <t>Certification (264.73(b)(9))</t>
  </si>
  <si>
    <t>CONTINGENCY PLAN AND EMERGENCY PROCEDURES</t>
  </si>
  <si>
    <t>Submit contingency plan to local authorities</t>
  </si>
  <si>
    <t>Maintain the contingency plan</t>
  </si>
  <si>
    <t>Prepare and submit notification letter</t>
  </si>
  <si>
    <t>Prepare an Owner/Operator's Emergency Report (264.56(j) and 265.56(j))</t>
  </si>
  <si>
    <t>CLOSURE REQUIREMENTS</t>
  </si>
  <si>
    <t>Closure Plan (264.112(a) and 265.112(a))</t>
  </si>
  <si>
    <t>Conduct an inventory of hazardous waste</t>
  </si>
  <si>
    <t>Record results of inventory</t>
  </si>
  <si>
    <t>Write descriptions for closure activities</t>
  </si>
  <si>
    <t>Write the closure schedule</t>
  </si>
  <si>
    <t>Prepare and submit notification of amendment</t>
  </si>
  <si>
    <t>Amend and submit closure plan</t>
  </si>
  <si>
    <t>Prepare and submit notification of closure</t>
  </si>
  <si>
    <t>Submit closure plan</t>
  </si>
  <si>
    <t>Have registered engineer inspect the facility</t>
  </si>
  <si>
    <t>Write and submit closure certification</t>
  </si>
  <si>
    <t>FINANCIAL REQUIREMENTS</t>
  </si>
  <si>
    <t>Reading the Regulations</t>
  </si>
  <si>
    <t>Cost Estimates for Closure Care (264.142 and 265.142)</t>
  </si>
  <si>
    <t>Closure Trust Fund (264.143 and 265.143)</t>
  </si>
  <si>
    <t>Establish a closure trust fund</t>
  </si>
  <si>
    <t>Establish surety bond and trust agreement</t>
  </si>
  <si>
    <t>Submit evidence of increase in cost estimate</t>
  </si>
  <si>
    <t>Closure Letter of Credit (264.143(d) and 265.143(c))</t>
  </si>
  <si>
    <t>Closure Insurance (264.143(e) and 265.143(d))</t>
  </si>
  <si>
    <t>Submit insurance policy certificate to EPA</t>
  </si>
  <si>
    <t>Financial Test and Corporate Guarantee for Closure Care (264.143(f) and 265.143(e))</t>
  </si>
  <si>
    <t>Submit updated information annually</t>
  </si>
  <si>
    <t>Coverage for Sudden or Nonsudden Accidental Occurrences (264.147(a) and 265.147(a))</t>
  </si>
  <si>
    <t>Variance of financial responsibility regulations (265.147(c))</t>
  </si>
  <si>
    <t>Prepare and submit petition for variance</t>
  </si>
  <si>
    <t>Financial Test for Liability Coverage (264.147(f) and 265.147(f))</t>
  </si>
  <si>
    <t>Guarantee for Liability Coverage (264.147(g) and 265.147(g))</t>
  </si>
  <si>
    <t>Obtain and submit stand-by letter of credit</t>
  </si>
  <si>
    <t>Obtain surety bond and submit copy to EPA</t>
  </si>
  <si>
    <t>Establish trust fund</t>
  </si>
  <si>
    <t>Submit letter from owner or operator</t>
  </si>
  <si>
    <t>CONDITIONS APPLICABLE TO ALL PERMITS</t>
  </si>
  <si>
    <t>Conditions applicable to all permits (270.30(h) and (l))</t>
  </si>
  <si>
    <t>N/A</t>
  </si>
  <si>
    <t>Prepare and submit letter certifying compliance</t>
  </si>
  <si>
    <t>Prepare and submit monitoring reports</t>
  </si>
  <si>
    <t>Interim Status</t>
  </si>
  <si>
    <t>Number of Agency</t>
  </si>
  <si>
    <t>Hours and Costs Per Agency Activity</t>
  </si>
  <si>
    <t xml:space="preserve">            Activities</t>
  </si>
  <si>
    <t xml:space="preserve">      Total Hours and Costs</t>
  </si>
  <si>
    <t>Foreign Shipment Import Report</t>
  </si>
  <si>
    <t>Review foreign shipment import report</t>
  </si>
  <si>
    <t>EXHIBIT 5</t>
  </si>
  <si>
    <t>Table 2</t>
  </si>
  <si>
    <t>Table 3</t>
  </si>
  <si>
    <t xml:space="preserve">EXHIBIT 1A </t>
  </si>
  <si>
    <t>EXHIBIT 1B</t>
  </si>
  <si>
    <t>EXHIBIT 1C</t>
  </si>
  <si>
    <t>EXHIBIT 1D</t>
  </si>
  <si>
    <t>EXHIBIT 1E</t>
  </si>
  <si>
    <t>EXHIBIT 1F</t>
  </si>
  <si>
    <t>EXHIBIT 2</t>
  </si>
  <si>
    <t xml:space="preserve">EXHIBIT 3B </t>
  </si>
  <si>
    <t>EXHIBIT 3A</t>
  </si>
  <si>
    <t xml:space="preserve">EXHIBIT 3C </t>
  </si>
  <si>
    <t>EXHIBIT 4</t>
  </si>
  <si>
    <t>EXHIBIT 7A</t>
  </si>
  <si>
    <t xml:space="preserve">EXHIBIT 7B </t>
  </si>
  <si>
    <t>EXHIBIT 7C</t>
  </si>
  <si>
    <t>Exhibit 1</t>
  </si>
  <si>
    <t>Exhibit 6</t>
  </si>
  <si>
    <t>Exhibit 7</t>
  </si>
  <si>
    <t>Total annualized over 9 years at a 7% rate</t>
  </si>
  <si>
    <t>Capital/Start Up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</si>
</sst>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164" formatCode="General_)"/>
    <numFmt numFmtId="165" formatCode="0.00_)"/>
    <numFmt numFmtId="168" formatCode="0_)"/>
    <numFmt numFmtId="172" formatCode="0.00000"/>
    <numFmt numFmtId="174" formatCode="0.0"/>
    <numFmt numFmtId="175" formatCode="&quot;$&quot;#,##0.00"/>
  </numFmts>
  <fonts count="18" x14ac:knownFonts="1">
    <font>
      <sz val="8"/>
      <name val="Helv"/>
    </font>
    <font>
      <sz val="10"/>
      <name val="Arial"/>
      <family val="2"/>
    </font>
    <font>
      <sz val="8"/>
      <color indexed="10"/>
      <name val="Helv"/>
    </font>
    <font>
      <b/>
      <sz val="8"/>
      <name val="Helv"/>
    </font>
    <font>
      <sz val="8"/>
      <color indexed="8"/>
      <name val="Helv"/>
    </font>
    <font>
      <sz val="20"/>
      <name val="Helv"/>
    </font>
    <font>
      <sz val="8"/>
      <color indexed="16"/>
      <name val="Helv"/>
    </font>
    <font>
      <sz val="8"/>
      <color indexed="12"/>
      <name val="Helv"/>
    </font>
    <font>
      <sz val="8"/>
      <name val="Helv"/>
    </font>
    <font>
      <b/>
      <sz val="10"/>
      <name val="Arial"/>
      <family val="2"/>
    </font>
    <font>
      <sz val="10"/>
      <name val="Arial"/>
      <family val="2"/>
    </font>
    <font>
      <b/>
      <sz val="8"/>
      <color indexed="81"/>
      <name val="Tahoma"/>
      <family val="2"/>
    </font>
    <font>
      <sz val="8"/>
      <color indexed="81"/>
      <name val="Tahoma"/>
      <family val="2"/>
    </font>
    <font>
      <sz val="8"/>
      <name val="Arial"/>
      <family val="2"/>
    </font>
    <font>
      <sz val="14"/>
      <color indexed="8"/>
      <name val="Helv"/>
    </font>
    <font>
      <sz val="14"/>
      <name val="Helv"/>
    </font>
    <font>
      <b/>
      <sz val="14"/>
      <name val="Helv"/>
    </font>
    <font>
      <b/>
      <sz val="14"/>
      <color indexed="8"/>
      <name val="Helv"/>
    </font>
  </fonts>
  <fills count="4">
    <fill>
      <patternFill patternType="none"/>
    </fill>
    <fill>
      <patternFill patternType="gray125"/>
    </fill>
    <fill>
      <patternFill patternType="solid">
        <fgColor indexed="47"/>
        <bgColor indexed="8"/>
      </patternFill>
    </fill>
    <fill>
      <patternFill patternType="solid">
        <fgColor indexed="4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s>
  <cellStyleXfs count="2">
    <xf numFmtId="164" fontId="0" fillId="0" borderId="0"/>
    <xf numFmtId="44" fontId="1" fillId="0" borderId="0" applyFont="0" applyFill="0" applyBorder="0" applyAlignment="0" applyProtection="0"/>
  </cellStyleXfs>
  <cellXfs count="574">
    <xf numFmtId="164" fontId="0" fillId="0" borderId="0" xfId="0"/>
    <xf numFmtId="164" fontId="0" fillId="0" borderId="0" xfId="0" applyNumberFormat="1" applyAlignment="1" applyProtection="1">
      <alignment horizontal="center"/>
    </xf>
    <xf numFmtId="39" fontId="0" fillId="0" borderId="0" xfId="0" applyNumberFormat="1" applyProtection="1"/>
    <xf numFmtId="164" fontId="0" fillId="0" borderId="0" xfId="0" applyNumberFormat="1" applyAlignment="1" applyProtection="1">
      <alignment horizontal="left"/>
    </xf>
    <xf numFmtId="7" fontId="0" fillId="0" borderId="0" xfId="0" applyNumberFormat="1" applyProtection="1"/>
    <xf numFmtId="164" fontId="0" fillId="0" borderId="0" xfId="0" applyNumberFormat="1" applyProtection="1"/>
    <xf numFmtId="165" fontId="0" fillId="0" borderId="0" xfId="0" applyNumberFormat="1" applyProtection="1"/>
    <xf numFmtId="37" fontId="0" fillId="0" borderId="0" xfId="0" applyNumberFormat="1" applyProtection="1"/>
    <xf numFmtId="37" fontId="0" fillId="0" borderId="0" xfId="0" applyNumberFormat="1" applyAlignment="1" applyProtection="1">
      <alignment horizontal="center"/>
    </xf>
    <xf numFmtId="165" fontId="0" fillId="0" borderId="0" xfId="0" applyNumberFormat="1" applyAlignment="1" applyProtection="1">
      <alignment horizontal="center"/>
    </xf>
    <xf numFmtId="7" fontId="0" fillId="0" borderId="0" xfId="0" applyNumberFormat="1" applyAlignment="1" applyProtection="1">
      <alignment horizontal="center"/>
    </xf>
    <xf numFmtId="164" fontId="0" fillId="0" borderId="0" xfId="0" applyAlignment="1" applyProtection="1">
      <alignment horizontal="left"/>
    </xf>
    <xf numFmtId="164" fontId="0" fillId="0" borderId="0" xfId="0" applyProtection="1"/>
    <xf numFmtId="164" fontId="0" fillId="0" borderId="0" xfId="0" applyAlignment="1" applyProtection="1">
      <alignment horizontal="center"/>
    </xf>
    <xf numFmtId="164" fontId="4" fillId="0" borderId="0" xfId="0" applyFont="1"/>
    <xf numFmtId="39" fontId="4" fillId="0" borderId="0" xfId="0" applyNumberFormat="1" applyFont="1" applyProtection="1"/>
    <xf numFmtId="164" fontId="0" fillId="0" borderId="0" xfId="0" applyAlignment="1">
      <alignment horizontal="right"/>
    </xf>
    <xf numFmtId="37" fontId="4" fillId="0" borderId="0" xfId="0" applyNumberFormat="1" applyFont="1" applyProtection="1"/>
    <xf numFmtId="165" fontId="4" fillId="0" borderId="0" xfId="0" applyNumberFormat="1" applyFont="1" applyProtection="1"/>
    <xf numFmtId="164" fontId="4" fillId="0" borderId="0" xfId="0" applyNumberFormat="1" applyFont="1" applyAlignment="1" applyProtection="1">
      <alignment horizontal="center"/>
    </xf>
    <xf numFmtId="164" fontId="4" fillId="0" borderId="0" xfId="0" applyNumberFormat="1" applyFont="1" applyAlignment="1" applyProtection="1">
      <alignment horizontal="left"/>
    </xf>
    <xf numFmtId="7" fontId="4" fillId="0" borderId="0" xfId="0" applyNumberFormat="1" applyFont="1" applyProtection="1"/>
    <xf numFmtId="168" fontId="4" fillId="0" borderId="0" xfId="0" applyNumberFormat="1" applyFont="1" applyProtection="1"/>
    <xf numFmtId="5" fontId="4" fillId="0" borderId="0" xfId="0" applyNumberFormat="1" applyFont="1" applyProtection="1"/>
    <xf numFmtId="164" fontId="7" fillId="0" borderId="0" xfId="0" applyFont="1"/>
    <xf numFmtId="164" fontId="7" fillId="0" borderId="0" xfId="0" applyNumberFormat="1" applyFont="1" applyProtection="1"/>
    <xf numFmtId="165" fontId="7" fillId="0" borderId="0" xfId="0" applyNumberFormat="1" applyFont="1" applyProtection="1"/>
    <xf numFmtId="5" fontId="4" fillId="0" borderId="0" xfId="0" applyNumberFormat="1" applyFont="1"/>
    <xf numFmtId="5" fontId="4" fillId="0" borderId="0" xfId="0" applyNumberFormat="1" applyFont="1" applyAlignment="1" applyProtection="1">
      <alignment horizontal="center"/>
    </xf>
    <xf numFmtId="5" fontId="0" fillId="0" borderId="0" xfId="0" applyNumberFormat="1"/>
    <xf numFmtId="5" fontId="0" fillId="0" borderId="0" xfId="0" applyNumberFormat="1" applyAlignment="1" applyProtection="1">
      <alignment horizontal="center"/>
    </xf>
    <xf numFmtId="7" fontId="0" fillId="0" borderId="0" xfId="0" applyNumberFormat="1"/>
    <xf numFmtId="7" fontId="4" fillId="0" borderId="1" xfId="0" applyNumberFormat="1" applyFont="1" applyBorder="1" applyProtection="1"/>
    <xf numFmtId="164" fontId="0" fillId="0" borderId="0" xfId="0" applyBorder="1"/>
    <xf numFmtId="7" fontId="4" fillId="0" borderId="0" xfId="0" applyNumberFormat="1" applyFont="1"/>
    <xf numFmtId="7" fontId="4" fillId="0" borderId="0" xfId="0" applyNumberFormat="1" applyFont="1" applyAlignment="1" applyProtection="1">
      <alignment horizontal="center"/>
    </xf>
    <xf numFmtId="7" fontId="4" fillId="0" borderId="0" xfId="0" applyNumberFormat="1" applyFont="1" applyBorder="1"/>
    <xf numFmtId="2" fontId="4" fillId="0" borderId="0" xfId="0" applyNumberFormat="1" applyFont="1" applyProtection="1"/>
    <xf numFmtId="2" fontId="0" fillId="0" borderId="0" xfId="0" applyNumberFormat="1" applyProtection="1"/>
    <xf numFmtId="2" fontId="0" fillId="0" borderId="0" xfId="0" applyNumberFormat="1"/>
    <xf numFmtId="2" fontId="0" fillId="0" borderId="0" xfId="0" applyNumberFormat="1" applyAlignment="1" applyProtection="1">
      <alignment horizontal="center"/>
    </xf>
    <xf numFmtId="4" fontId="0" fillId="0" borderId="0" xfId="0" applyNumberFormat="1" applyProtection="1"/>
    <xf numFmtId="4" fontId="0" fillId="0" borderId="0" xfId="0" applyNumberFormat="1"/>
    <xf numFmtId="4" fontId="0" fillId="0" borderId="0" xfId="0" applyNumberFormat="1" applyAlignment="1" applyProtection="1">
      <alignment horizontal="center"/>
    </xf>
    <xf numFmtId="164" fontId="0" fillId="0" borderId="0" xfId="0" applyNumberFormat="1" applyBorder="1" applyProtection="1"/>
    <xf numFmtId="3" fontId="0" fillId="0" borderId="0" xfId="0" applyNumberFormat="1"/>
    <xf numFmtId="3" fontId="0" fillId="0" borderId="0" xfId="0" applyNumberFormat="1" applyAlignment="1" applyProtection="1">
      <alignment horizontal="center"/>
    </xf>
    <xf numFmtId="3" fontId="0" fillId="0" borderId="0" xfId="0" applyNumberFormat="1" applyProtection="1"/>
    <xf numFmtId="7" fontId="0" fillId="0" borderId="0" xfId="0" applyNumberFormat="1" applyBorder="1" applyProtection="1"/>
    <xf numFmtId="7" fontId="0" fillId="0" borderId="0" xfId="0" applyNumberFormat="1" applyAlignment="1">
      <alignment horizontal="right"/>
    </xf>
    <xf numFmtId="7" fontId="0" fillId="0" borderId="0" xfId="0" applyNumberFormat="1" applyAlignment="1" applyProtection="1">
      <alignment horizontal="right"/>
    </xf>
    <xf numFmtId="164" fontId="4" fillId="0" borderId="2" xfId="0" applyFont="1" applyBorder="1"/>
    <xf numFmtId="5" fontId="4" fillId="0" borderId="2" xfId="0" applyNumberFormat="1" applyFont="1" applyBorder="1"/>
    <xf numFmtId="7" fontId="4" fillId="0" borderId="3" xfId="0" applyNumberFormat="1" applyFont="1" applyBorder="1"/>
    <xf numFmtId="164" fontId="4" fillId="0" borderId="4" xfId="0" applyNumberFormat="1" applyFont="1" applyBorder="1" applyAlignment="1" applyProtection="1">
      <alignment horizontal="left"/>
    </xf>
    <xf numFmtId="164" fontId="0" fillId="0" borderId="2" xfId="0" applyBorder="1"/>
    <xf numFmtId="164" fontId="0" fillId="0" borderId="3" xfId="0" applyBorder="1"/>
    <xf numFmtId="164" fontId="4" fillId="0" borderId="0" xfId="0" applyNumberFormat="1" applyFont="1" applyAlignment="1" applyProtection="1">
      <alignment horizontal="centerContinuous"/>
    </xf>
    <xf numFmtId="164" fontId="4" fillId="0" borderId="0" xfId="0" applyFont="1" applyAlignment="1">
      <alignment horizontal="centerContinuous"/>
    </xf>
    <xf numFmtId="2" fontId="4" fillId="0" borderId="0" xfId="0" applyNumberFormat="1" applyFont="1" applyAlignment="1" applyProtection="1">
      <alignment horizontal="centerContinuous"/>
    </xf>
    <xf numFmtId="7" fontId="4" fillId="0" borderId="0" xfId="0" applyNumberFormat="1" applyFont="1" applyAlignment="1">
      <alignment horizontal="centerContinuous"/>
    </xf>
    <xf numFmtId="5" fontId="4" fillId="0" borderId="0" xfId="0" applyNumberFormat="1" applyFont="1" applyAlignment="1">
      <alignment horizontal="centerContinuous"/>
    </xf>
    <xf numFmtId="164" fontId="4" fillId="0" borderId="0" xfId="0" applyFont="1" applyAlignment="1"/>
    <xf numFmtId="7" fontId="4" fillId="0" borderId="0" xfId="0" applyNumberFormat="1" applyFont="1" applyAlignment="1"/>
    <xf numFmtId="4" fontId="4" fillId="0" borderId="0" xfId="0" applyNumberFormat="1" applyFont="1" applyProtection="1"/>
    <xf numFmtId="4" fontId="4" fillId="0" borderId="0" xfId="0" applyNumberFormat="1" applyFont="1"/>
    <xf numFmtId="4" fontId="4" fillId="0" borderId="0" xfId="0" applyNumberFormat="1" applyFont="1" applyAlignment="1" applyProtection="1">
      <alignment horizontal="centerContinuous"/>
    </xf>
    <xf numFmtId="4" fontId="0" fillId="0" borderId="2" xfId="0" applyNumberFormat="1" applyBorder="1"/>
    <xf numFmtId="4" fontId="4" fillId="0" borderId="0" xfId="0" applyNumberFormat="1" applyFont="1" applyAlignment="1" applyProtection="1">
      <alignment horizontal="center"/>
    </xf>
    <xf numFmtId="164" fontId="4" fillId="0" borderId="0" xfId="0" applyNumberFormat="1" applyFont="1" applyAlignment="1" applyProtection="1"/>
    <xf numFmtId="164" fontId="0" fillId="0" borderId="0" xfId="0" applyAlignment="1"/>
    <xf numFmtId="7" fontId="4" fillId="0" borderId="0" xfId="0" applyNumberFormat="1" applyFont="1" applyAlignment="1">
      <alignment horizontal="center"/>
    </xf>
    <xf numFmtId="7" fontId="4" fillId="0" borderId="4" xfId="0" applyNumberFormat="1" applyFont="1" applyBorder="1"/>
    <xf numFmtId="4" fontId="4" fillId="0" borderId="0" xfId="0" applyNumberFormat="1" applyFont="1" applyAlignment="1"/>
    <xf numFmtId="4" fontId="0" fillId="0" borderId="4" xfId="0" applyNumberFormat="1" applyBorder="1"/>
    <xf numFmtId="7" fontId="0" fillId="0" borderId="0" xfId="0" applyNumberFormat="1" applyAlignment="1">
      <alignment horizontal="center"/>
    </xf>
    <xf numFmtId="3" fontId="0" fillId="0" borderId="0" xfId="0" applyNumberFormat="1" applyAlignment="1">
      <alignment horizontal="center"/>
    </xf>
    <xf numFmtId="4" fontId="4" fillId="0" borderId="0" xfId="0" applyNumberFormat="1" applyFont="1" applyAlignment="1">
      <alignment horizontal="centerContinuous"/>
    </xf>
    <xf numFmtId="4" fontId="4" fillId="0" borderId="0" xfId="0" applyNumberFormat="1" applyFont="1" applyAlignment="1" applyProtection="1"/>
    <xf numFmtId="4" fontId="0" fillId="0" borderId="0" xfId="0" applyNumberFormat="1" applyAlignment="1"/>
    <xf numFmtId="4" fontId="0" fillId="0" borderId="0" xfId="0" applyNumberFormat="1" applyAlignment="1">
      <alignment horizontal="centerContinuous"/>
    </xf>
    <xf numFmtId="164" fontId="0" fillId="0" borderId="0" xfId="0" applyAlignment="1">
      <alignment horizontal="center"/>
    </xf>
    <xf numFmtId="7" fontId="3" fillId="0" borderId="0" xfId="0" applyNumberFormat="1" applyFont="1" applyBorder="1"/>
    <xf numFmtId="164" fontId="0" fillId="0" borderId="0" xfId="0" applyFill="1"/>
    <xf numFmtId="164" fontId="4" fillId="0" borderId="1" xfId="0" applyNumberFormat="1" applyFont="1" applyBorder="1" applyAlignment="1" applyProtection="1">
      <alignment horizontal="left"/>
    </xf>
    <xf numFmtId="165" fontId="4" fillId="0" borderId="1" xfId="0" applyNumberFormat="1" applyFont="1" applyBorder="1" applyProtection="1"/>
    <xf numFmtId="37" fontId="4" fillId="0" borderId="1" xfId="0" applyNumberFormat="1" applyFont="1" applyBorder="1" applyProtection="1"/>
    <xf numFmtId="4" fontId="4" fillId="0" borderId="1" xfId="0" applyNumberFormat="1" applyFont="1" applyBorder="1" applyProtection="1"/>
    <xf numFmtId="37" fontId="4" fillId="0" borderId="1" xfId="0" applyNumberFormat="1" applyFont="1" applyBorder="1" applyAlignment="1" applyProtection="1">
      <alignment horizontal="right"/>
    </xf>
    <xf numFmtId="39" fontId="4" fillId="0" borderId="1" xfId="0" applyNumberFormat="1" applyFont="1" applyBorder="1" applyProtection="1"/>
    <xf numFmtId="164" fontId="0" fillId="0" borderId="1" xfId="0" applyNumberFormat="1" applyBorder="1" applyAlignment="1" applyProtection="1">
      <alignment horizontal="left"/>
    </xf>
    <xf numFmtId="164" fontId="0" fillId="0" borderId="1" xfId="0" applyBorder="1"/>
    <xf numFmtId="2" fontId="0" fillId="0" borderId="1" xfId="0" applyNumberFormat="1" applyBorder="1" applyProtection="1"/>
    <xf numFmtId="7" fontId="0" fillId="0" borderId="1" xfId="0" applyNumberFormat="1" applyBorder="1" applyProtection="1"/>
    <xf numFmtId="4" fontId="0" fillId="0" borderId="1" xfId="0" applyNumberFormat="1" applyBorder="1" applyProtection="1"/>
    <xf numFmtId="37" fontId="0" fillId="0" borderId="1" xfId="0" applyNumberFormat="1" applyBorder="1" applyAlignment="1" applyProtection="1">
      <alignment horizontal="right"/>
    </xf>
    <xf numFmtId="37" fontId="0" fillId="0" borderId="1" xfId="0" applyNumberFormat="1" applyBorder="1" applyProtection="1"/>
    <xf numFmtId="2" fontId="0" fillId="0" borderId="1" xfId="0" applyNumberFormat="1" applyBorder="1"/>
    <xf numFmtId="7" fontId="0" fillId="0" borderId="1" xfId="0" applyNumberFormat="1" applyBorder="1"/>
    <xf numFmtId="4" fontId="0" fillId="0" borderId="1" xfId="0" applyNumberFormat="1" applyBorder="1"/>
    <xf numFmtId="168" fontId="0" fillId="0" borderId="1" xfId="0" applyNumberFormat="1" applyBorder="1" applyProtection="1"/>
    <xf numFmtId="2" fontId="4" fillId="0" borderId="1" xfId="0" applyNumberFormat="1" applyFont="1" applyBorder="1" applyProtection="1"/>
    <xf numFmtId="164" fontId="0" fillId="2" borderId="1" xfId="0" applyFill="1" applyBorder="1"/>
    <xf numFmtId="7" fontId="0" fillId="2" borderId="1" xfId="0" applyNumberFormat="1" applyFill="1" applyBorder="1" applyProtection="1"/>
    <xf numFmtId="7" fontId="0" fillId="2" borderId="1" xfId="0" applyNumberFormat="1" applyFill="1" applyBorder="1"/>
    <xf numFmtId="3" fontId="0" fillId="2" borderId="1" xfId="0" applyNumberFormat="1" applyFill="1" applyBorder="1"/>
    <xf numFmtId="3" fontId="0" fillId="0" borderId="1" xfId="0" applyNumberFormat="1" applyBorder="1" applyProtection="1"/>
    <xf numFmtId="3" fontId="0" fillId="2" borderId="1" xfId="0" applyNumberFormat="1" applyFill="1" applyBorder="1" applyProtection="1"/>
    <xf numFmtId="44" fontId="0" fillId="0" borderId="1" xfId="0" applyNumberFormat="1" applyBorder="1" applyProtection="1"/>
    <xf numFmtId="2" fontId="0" fillId="0" borderId="1" xfId="0" applyNumberFormat="1" applyBorder="1" applyAlignment="1" applyProtection="1">
      <alignment horizontal="center"/>
    </xf>
    <xf numFmtId="164" fontId="0" fillId="0" borderId="1" xfId="0" applyBorder="1" applyAlignment="1" applyProtection="1">
      <alignment horizontal="left"/>
    </xf>
    <xf numFmtId="164" fontId="0" fillId="0" borderId="1" xfId="0" applyBorder="1" applyProtection="1"/>
    <xf numFmtId="164" fontId="0" fillId="0" borderId="1" xfId="0" applyBorder="1" applyAlignment="1" applyProtection="1">
      <alignment horizontal="right"/>
    </xf>
    <xf numFmtId="164" fontId="0" fillId="0" borderId="1" xfId="0" applyBorder="1" applyAlignment="1">
      <alignment horizontal="right"/>
    </xf>
    <xf numFmtId="164" fontId="3" fillId="0" borderId="1" xfId="0" applyFont="1" applyBorder="1" applyAlignment="1" applyProtection="1">
      <alignment horizontal="left"/>
    </xf>
    <xf numFmtId="164" fontId="4" fillId="0" borderId="1" xfId="0" applyFont="1" applyBorder="1" applyAlignment="1" applyProtection="1">
      <alignment horizontal="right"/>
    </xf>
    <xf numFmtId="164" fontId="4" fillId="0" borderId="1" xfId="0" applyFont="1" applyBorder="1" applyProtection="1"/>
    <xf numFmtId="175" fontId="4" fillId="0" borderId="0" xfId="0" applyNumberFormat="1" applyFont="1" applyFill="1" applyBorder="1" applyAlignment="1" applyProtection="1">
      <alignment horizontal="right"/>
    </xf>
    <xf numFmtId="164" fontId="4" fillId="0" borderId="0" xfId="0" applyFont="1" applyFill="1" applyBorder="1" applyAlignment="1">
      <alignment horizontal="right"/>
    </xf>
    <xf numFmtId="7" fontId="0" fillId="0" borderId="5" xfId="0" applyNumberFormat="1" applyBorder="1" applyProtection="1"/>
    <xf numFmtId="164" fontId="0" fillId="0" borderId="0" xfId="0" applyNumberFormat="1" applyBorder="1" applyAlignment="1" applyProtection="1">
      <alignment horizontal="center"/>
    </xf>
    <xf numFmtId="7" fontId="0" fillId="2" borderId="1" xfId="0" applyNumberFormat="1" applyFill="1" applyBorder="1" applyAlignment="1">
      <alignment horizontal="right"/>
    </xf>
    <xf numFmtId="7" fontId="0" fillId="0" borderId="1" xfId="0" applyNumberFormat="1" applyBorder="1" applyAlignment="1">
      <alignment horizontal="right"/>
    </xf>
    <xf numFmtId="7" fontId="0" fillId="0" borderId="1" xfId="0" applyNumberFormat="1" applyFill="1" applyBorder="1" applyProtection="1"/>
    <xf numFmtId="7" fontId="3" fillId="0" borderId="1" xfId="0" applyNumberFormat="1" applyFont="1" applyBorder="1" applyProtection="1"/>
    <xf numFmtId="164" fontId="3" fillId="2" borderId="1" xfId="0" applyFont="1" applyFill="1" applyBorder="1" applyAlignment="1" applyProtection="1">
      <alignment horizontal="left"/>
    </xf>
    <xf numFmtId="164" fontId="3" fillId="0" borderId="0" xfId="0" applyFont="1" applyBorder="1" applyAlignment="1" applyProtection="1">
      <alignment horizontal="left"/>
    </xf>
    <xf numFmtId="7" fontId="3" fillId="0" borderId="0" xfId="0" applyNumberFormat="1" applyFont="1" applyBorder="1" applyAlignment="1">
      <alignment horizontal="right"/>
    </xf>
    <xf numFmtId="3" fontId="3" fillId="0" borderId="0" xfId="0" applyNumberFormat="1" applyFont="1" applyBorder="1" applyProtection="1"/>
    <xf numFmtId="7" fontId="3" fillId="0" borderId="0" xfId="0" applyNumberFormat="1" applyFont="1" applyBorder="1" applyProtection="1"/>
    <xf numFmtId="7" fontId="0" fillId="0" borderId="0" xfId="0" applyNumberFormat="1" applyFill="1" applyBorder="1" applyProtection="1"/>
    <xf numFmtId="2" fontId="0" fillId="0" borderId="1" xfId="0" applyNumberFormat="1" applyBorder="1" applyAlignment="1" applyProtection="1">
      <alignment horizontal="right"/>
    </xf>
    <xf numFmtId="4" fontId="0" fillId="0" borderId="1" xfId="0" applyNumberFormat="1" applyBorder="1" applyAlignment="1" applyProtection="1">
      <alignment horizontal="right"/>
    </xf>
    <xf numFmtId="7" fontId="0" fillId="0" borderId="0" xfId="0" applyNumberFormat="1" applyBorder="1" applyAlignment="1" applyProtection="1">
      <alignment horizontal="right"/>
    </xf>
    <xf numFmtId="7" fontId="0" fillId="0" borderId="5" xfId="0" applyNumberFormat="1" applyBorder="1" applyAlignment="1" applyProtection="1">
      <alignment horizontal="right"/>
    </xf>
    <xf numFmtId="175" fontId="0" fillId="0" borderId="1" xfId="0" applyNumberFormat="1" applyBorder="1" applyAlignment="1" applyProtection="1">
      <alignment horizontal="right"/>
    </xf>
    <xf numFmtId="175" fontId="0" fillId="0" borderId="1" xfId="0" applyNumberFormat="1" applyBorder="1" applyProtection="1"/>
    <xf numFmtId="175" fontId="0" fillId="0" borderId="0" xfId="0" applyNumberFormat="1"/>
    <xf numFmtId="164" fontId="9" fillId="0" borderId="1" xfId="0" applyFont="1" applyBorder="1"/>
    <xf numFmtId="175" fontId="0" fillId="0" borderId="1" xfId="0" applyNumberFormat="1" applyBorder="1"/>
    <xf numFmtId="175" fontId="4" fillId="0" borderId="1" xfId="1" applyNumberFormat="1" applyFont="1" applyBorder="1" applyProtection="1"/>
    <xf numFmtId="164" fontId="10" fillId="0" borderId="1" xfId="0" applyFont="1" applyBorder="1"/>
    <xf numFmtId="164" fontId="13" fillId="0" borderId="1" xfId="0" applyFont="1" applyBorder="1"/>
    <xf numFmtId="164" fontId="6" fillId="0" borderId="1" xfId="0" applyFont="1" applyBorder="1"/>
    <xf numFmtId="164" fontId="4" fillId="0" borderId="1" xfId="0" applyFont="1" applyBorder="1" applyAlignment="1">
      <alignment horizontal="left"/>
    </xf>
    <xf numFmtId="164" fontId="0" fillId="0" borderId="0" xfId="0" applyAlignment="1">
      <alignment wrapText="1"/>
    </xf>
    <xf numFmtId="164" fontId="4" fillId="0" borderId="1" xfId="0" applyNumberFormat="1" applyFont="1" applyBorder="1" applyAlignment="1" applyProtection="1">
      <alignment horizontal="left" wrapText="1"/>
    </xf>
    <xf numFmtId="164" fontId="4" fillId="0" borderId="0" xfId="0" applyFont="1" applyAlignment="1">
      <alignment horizontal="left" wrapText="1"/>
    </xf>
    <xf numFmtId="164" fontId="4" fillId="2" borderId="6" xfId="0" applyNumberFormat="1" applyFont="1" applyFill="1" applyBorder="1" applyAlignment="1" applyProtection="1">
      <alignment horizontal="left"/>
    </xf>
    <xf numFmtId="165" fontId="4" fillId="2" borderId="7" xfId="0" applyNumberFormat="1" applyFont="1" applyFill="1" applyBorder="1" applyProtection="1"/>
    <xf numFmtId="164" fontId="4" fillId="2" borderId="7" xfId="0" applyFont="1" applyFill="1" applyBorder="1"/>
    <xf numFmtId="5" fontId="4" fillId="2" borderId="7" xfId="0" applyNumberFormat="1" applyFont="1" applyFill="1" applyBorder="1" applyProtection="1"/>
    <xf numFmtId="5" fontId="4" fillId="2" borderId="7" xfId="0" applyNumberFormat="1" applyFont="1" applyFill="1" applyBorder="1"/>
    <xf numFmtId="7" fontId="4" fillId="2" borderId="7" xfId="0" applyNumberFormat="1" applyFont="1" applyFill="1" applyBorder="1"/>
    <xf numFmtId="37" fontId="4" fillId="2" borderId="7" xfId="0" applyNumberFormat="1" applyFont="1" applyFill="1" applyBorder="1" applyProtection="1"/>
    <xf numFmtId="4" fontId="4" fillId="2" borderId="7" xfId="0" applyNumberFormat="1" applyFont="1" applyFill="1" applyBorder="1" applyProtection="1"/>
    <xf numFmtId="7" fontId="4" fillId="2" borderId="8" xfId="0" applyNumberFormat="1" applyFont="1" applyFill="1" applyBorder="1" applyProtection="1"/>
    <xf numFmtId="4" fontId="4" fillId="2" borderId="7" xfId="0" applyNumberFormat="1" applyFont="1" applyFill="1" applyBorder="1"/>
    <xf numFmtId="7" fontId="4" fillId="2" borderId="8" xfId="0" applyNumberFormat="1" applyFont="1" applyFill="1" applyBorder="1"/>
    <xf numFmtId="7" fontId="4" fillId="0" borderId="0" xfId="0" applyNumberFormat="1" applyFont="1" applyFill="1" applyBorder="1"/>
    <xf numFmtId="164" fontId="4" fillId="0" borderId="0" xfId="0" applyFont="1" applyFill="1" applyBorder="1"/>
    <xf numFmtId="164" fontId="4" fillId="0" borderId="0" xfId="0" applyFont="1" applyFill="1" applyBorder="1" applyAlignment="1">
      <alignment horizontal="centerContinuous"/>
    </xf>
    <xf numFmtId="164" fontId="0" fillId="0" borderId="0" xfId="0" applyFill="1" applyBorder="1"/>
    <xf numFmtId="7" fontId="0" fillId="0" borderId="0" xfId="0" applyNumberFormat="1" applyFill="1" applyBorder="1" applyAlignment="1" applyProtection="1">
      <alignment horizontal="center"/>
    </xf>
    <xf numFmtId="164" fontId="4" fillId="0" borderId="0" xfId="0" applyNumberFormat="1" applyFont="1" applyFill="1" applyBorder="1" applyAlignment="1" applyProtection="1">
      <alignment horizontal="left"/>
    </xf>
    <xf numFmtId="7" fontId="4" fillId="0" borderId="5" xfId="0" applyNumberFormat="1" applyFont="1" applyFill="1" applyBorder="1" applyProtection="1"/>
    <xf numFmtId="7" fontId="4" fillId="0" borderId="0" xfId="0" applyNumberFormat="1" applyFont="1" applyFill="1" applyBorder="1" applyProtection="1"/>
    <xf numFmtId="164" fontId="4" fillId="0" borderId="0" xfId="0" applyNumberFormat="1" applyFont="1" applyFill="1" applyBorder="1" applyProtection="1"/>
    <xf numFmtId="175" fontId="4" fillId="0" borderId="0" xfId="0" applyNumberFormat="1" applyFont="1" applyFill="1" applyBorder="1" applyProtection="1"/>
    <xf numFmtId="7" fontId="4" fillId="0" borderId="5" xfId="0" applyNumberFormat="1" applyFont="1" applyFill="1" applyBorder="1" applyAlignment="1" applyProtection="1">
      <alignment horizontal="center"/>
    </xf>
    <xf numFmtId="37" fontId="4" fillId="0" borderId="0" xfId="0" applyNumberFormat="1" applyFont="1" applyFill="1" applyBorder="1" applyProtection="1"/>
    <xf numFmtId="164" fontId="4" fillId="0" borderId="0" xfId="0" applyFont="1" applyFill="1" applyBorder="1" applyAlignment="1">
      <alignment horizontal="center"/>
    </xf>
    <xf numFmtId="7" fontId="4" fillId="0" borderId="5" xfId="0" applyNumberFormat="1" applyFont="1" applyFill="1" applyBorder="1"/>
    <xf numFmtId="7" fontId="4" fillId="0" borderId="0" xfId="0" applyNumberFormat="1" applyFont="1" applyFill="1" applyBorder="1" applyAlignment="1" applyProtection="1">
      <alignment horizontal="center"/>
    </xf>
    <xf numFmtId="39" fontId="4" fillId="0" borderId="0" xfId="0" applyNumberFormat="1" applyFont="1" applyFill="1" applyBorder="1" applyProtection="1"/>
    <xf numFmtId="164" fontId="4" fillId="0" borderId="6" xfId="0" applyNumberFormat="1" applyFont="1" applyBorder="1" applyAlignment="1" applyProtection="1">
      <alignment horizontal="left" wrapText="1"/>
    </xf>
    <xf numFmtId="165" fontId="4" fillId="0" borderId="7" xfId="0" applyNumberFormat="1" applyFont="1" applyBorder="1" applyProtection="1"/>
    <xf numFmtId="39" fontId="4" fillId="0" borderId="7" xfId="0" applyNumberFormat="1" applyFont="1" applyBorder="1" applyProtection="1"/>
    <xf numFmtId="7" fontId="4" fillId="0" borderId="7" xfId="0" applyNumberFormat="1" applyFont="1" applyBorder="1" applyProtection="1"/>
    <xf numFmtId="37" fontId="4" fillId="0" borderId="7" xfId="0" applyNumberFormat="1" applyFont="1" applyBorder="1" applyProtection="1"/>
    <xf numFmtId="4" fontId="4" fillId="0" borderId="7" xfId="0" applyNumberFormat="1" applyFont="1" applyBorder="1" applyProtection="1"/>
    <xf numFmtId="7" fontId="4" fillId="0" borderId="8" xfId="0" applyNumberFormat="1" applyFont="1" applyBorder="1" applyProtection="1"/>
    <xf numFmtId="164" fontId="4" fillId="0" borderId="1" xfId="0" applyNumberFormat="1" applyFont="1" applyBorder="1" applyAlignment="1" applyProtection="1">
      <alignment horizontal="left" wrapText="1" indent="1"/>
    </xf>
    <xf numFmtId="165" fontId="4" fillId="2" borderId="7" xfId="0" applyNumberFormat="1" applyFont="1" applyFill="1" applyBorder="1" applyAlignment="1" applyProtection="1">
      <alignment horizontal="right"/>
    </xf>
    <xf numFmtId="7" fontId="4" fillId="2" borderId="7" xfId="0" applyNumberFormat="1" applyFont="1" applyFill="1" applyBorder="1" applyAlignment="1" applyProtection="1">
      <alignment horizontal="right"/>
    </xf>
    <xf numFmtId="175" fontId="4" fillId="2" borderId="7" xfId="0" applyNumberFormat="1" applyFont="1" applyFill="1" applyBorder="1" applyAlignment="1" applyProtection="1">
      <alignment horizontal="right"/>
    </xf>
    <xf numFmtId="174" fontId="4" fillId="2" borderId="7" xfId="0" applyNumberFormat="1" applyFont="1" applyFill="1" applyBorder="1" applyAlignment="1" applyProtection="1">
      <alignment horizontal="right"/>
    </xf>
    <xf numFmtId="39" fontId="4" fillId="2" borderId="7" xfId="0" applyNumberFormat="1" applyFont="1" applyFill="1" applyBorder="1" applyAlignment="1" applyProtection="1">
      <alignment horizontal="right"/>
    </xf>
    <xf numFmtId="165" fontId="4" fillId="0" borderId="0" xfId="0" applyNumberFormat="1" applyFont="1" applyFill="1" applyBorder="1" applyProtection="1"/>
    <xf numFmtId="164" fontId="4" fillId="0" borderId="9" xfId="0" applyNumberFormat="1" applyFont="1" applyBorder="1" applyAlignment="1" applyProtection="1">
      <alignment horizontal="left" wrapText="1"/>
    </xf>
    <xf numFmtId="165" fontId="4" fillId="0" borderId="9" xfId="0" applyNumberFormat="1" applyFont="1" applyBorder="1" applyProtection="1"/>
    <xf numFmtId="7" fontId="4" fillId="0" borderId="9" xfId="0" applyNumberFormat="1" applyFont="1" applyBorder="1" applyProtection="1"/>
    <xf numFmtId="37" fontId="4" fillId="0" borderId="9" xfId="0" applyNumberFormat="1" applyFont="1" applyBorder="1" applyProtection="1"/>
    <xf numFmtId="4" fontId="4" fillId="0" borderId="9" xfId="0" applyNumberFormat="1" applyFont="1" applyBorder="1" applyProtection="1"/>
    <xf numFmtId="164" fontId="4" fillId="2" borderId="10" xfId="0" applyNumberFormat="1" applyFont="1" applyFill="1" applyBorder="1" applyAlignment="1" applyProtection="1">
      <alignment horizontal="left"/>
    </xf>
    <xf numFmtId="165" fontId="4" fillId="2" borderId="11" xfId="0" applyNumberFormat="1" applyFont="1" applyFill="1" applyBorder="1" applyProtection="1"/>
    <xf numFmtId="7" fontId="4" fillId="2" borderId="11" xfId="0" applyNumberFormat="1" applyFont="1" applyFill="1" applyBorder="1" applyProtection="1"/>
    <xf numFmtId="164" fontId="4" fillId="2" borderId="11" xfId="0" applyFont="1" applyFill="1" applyBorder="1"/>
    <xf numFmtId="4" fontId="4" fillId="2" borderId="11" xfId="0" applyNumberFormat="1" applyFont="1" applyFill="1" applyBorder="1" applyProtection="1"/>
    <xf numFmtId="7" fontId="4" fillId="2" borderId="12" xfId="0" applyNumberFormat="1" applyFont="1" applyFill="1" applyBorder="1" applyProtection="1"/>
    <xf numFmtId="164" fontId="4" fillId="0" borderId="13" xfId="0" applyNumberFormat="1" applyFont="1" applyBorder="1" applyAlignment="1" applyProtection="1">
      <alignment horizontal="left" wrapText="1"/>
    </xf>
    <xf numFmtId="165" fontId="4" fillId="0" borderId="13" xfId="0" applyNumberFormat="1" applyFont="1" applyBorder="1" applyAlignment="1" applyProtection="1">
      <alignment horizontal="center"/>
    </xf>
    <xf numFmtId="37" fontId="4" fillId="0" borderId="13" xfId="0" applyNumberFormat="1" applyFont="1" applyBorder="1" applyAlignment="1" applyProtection="1">
      <alignment horizontal="center"/>
    </xf>
    <xf numFmtId="4" fontId="4" fillId="0" borderId="13" xfId="0" applyNumberFormat="1" applyFont="1" applyBorder="1" applyProtection="1"/>
    <xf numFmtId="7" fontId="4" fillId="0" borderId="13" xfId="0" applyNumberFormat="1" applyFont="1" applyBorder="1" applyProtection="1"/>
    <xf numFmtId="37" fontId="4" fillId="2" borderId="11" xfId="0" applyNumberFormat="1" applyFont="1" applyFill="1" applyBorder="1" applyProtection="1"/>
    <xf numFmtId="164" fontId="4" fillId="0" borderId="9" xfId="0" applyNumberFormat="1" applyFont="1" applyBorder="1" applyAlignment="1" applyProtection="1">
      <alignment horizontal="left" wrapText="1" indent="1"/>
    </xf>
    <xf numFmtId="39" fontId="4" fillId="0" borderId="9" xfId="0" applyNumberFormat="1" applyFont="1" applyBorder="1" applyProtection="1"/>
    <xf numFmtId="39" fontId="4" fillId="2" borderId="11" xfId="0" applyNumberFormat="1" applyFont="1" applyFill="1" applyBorder="1" applyProtection="1"/>
    <xf numFmtId="5" fontId="4" fillId="2" borderId="11" xfId="0" applyNumberFormat="1" applyFont="1" applyFill="1" applyBorder="1" applyProtection="1"/>
    <xf numFmtId="164" fontId="4" fillId="0" borderId="9" xfId="0" applyNumberFormat="1" applyFont="1" applyBorder="1" applyAlignment="1" applyProtection="1">
      <alignment horizontal="left"/>
    </xf>
    <xf numFmtId="164" fontId="4" fillId="0" borderId="13" xfId="0" applyNumberFormat="1" applyFont="1" applyBorder="1" applyAlignment="1" applyProtection="1">
      <alignment horizontal="left"/>
    </xf>
    <xf numFmtId="5" fontId="4" fillId="2" borderId="11" xfId="0" applyNumberFormat="1" applyFont="1" applyFill="1" applyBorder="1"/>
    <xf numFmtId="7" fontId="4" fillId="2" borderId="11" xfId="0" applyNumberFormat="1" applyFont="1" applyFill="1" applyBorder="1"/>
    <xf numFmtId="4" fontId="4" fillId="2" borderId="11" xfId="0" applyNumberFormat="1" applyFont="1" applyFill="1" applyBorder="1"/>
    <xf numFmtId="7" fontId="4" fillId="2" borderId="12" xfId="0" applyNumberFormat="1" applyFont="1" applyFill="1" applyBorder="1"/>
    <xf numFmtId="164" fontId="4" fillId="0" borderId="13" xfId="0" applyNumberFormat="1" applyFont="1" applyBorder="1" applyAlignment="1" applyProtection="1">
      <alignment horizontal="center"/>
    </xf>
    <xf numFmtId="7" fontId="4" fillId="0" borderId="13" xfId="0" applyNumberFormat="1" applyFont="1" applyBorder="1" applyAlignment="1" applyProtection="1">
      <alignment horizontal="center"/>
    </xf>
    <xf numFmtId="164" fontId="4" fillId="0" borderId="14" xfId="0" applyNumberFormat="1" applyFont="1" applyBorder="1" applyAlignment="1" applyProtection="1">
      <alignment horizontal="left" wrapText="1"/>
    </xf>
    <xf numFmtId="165" fontId="4" fillId="0" borderId="14" xfId="0" applyNumberFormat="1" applyFont="1" applyBorder="1" applyAlignment="1" applyProtection="1">
      <alignment horizontal="center"/>
    </xf>
    <xf numFmtId="37" fontId="4" fillId="0" borderId="14" xfId="0" applyNumberFormat="1" applyFont="1" applyBorder="1" applyAlignment="1" applyProtection="1">
      <alignment horizontal="center"/>
    </xf>
    <xf numFmtId="4" fontId="4" fillId="0" borderId="14" xfId="0" applyNumberFormat="1" applyFont="1" applyBorder="1" applyProtection="1"/>
    <xf numFmtId="7" fontId="4" fillId="0" borderId="14" xfId="0" applyNumberFormat="1" applyFont="1" applyBorder="1" applyProtection="1"/>
    <xf numFmtId="37" fontId="4" fillId="0" borderId="9" xfId="0" applyNumberFormat="1" applyFont="1" applyBorder="1" applyAlignment="1" applyProtection="1">
      <alignment horizontal="right"/>
    </xf>
    <xf numFmtId="164" fontId="4" fillId="0" borderId="9" xfId="0" applyNumberFormat="1" applyFont="1" applyFill="1" applyBorder="1" applyAlignment="1" applyProtection="1">
      <alignment horizontal="left" wrapText="1"/>
    </xf>
    <xf numFmtId="165" fontId="4" fillId="0" borderId="9" xfId="0" applyNumberFormat="1" applyFont="1" applyFill="1" applyBorder="1" applyProtection="1"/>
    <xf numFmtId="7" fontId="4" fillId="0" borderId="9" xfId="0" applyNumberFormat="1" applyFont="1" applyFill="1" applyBorder="1" applyProtection="1"/>
    <xf numFmtId="4" fontId="4" fillId="0" borderId="9" xfId="0" applyNumberFormat="1" applyFont="1" applyFill="1" applyBorder="1" applyProtection="1"/>
    <xf numFmtId="2" fontId="0" fillId="0" borderId="1" xfId="0" applyNumberFormat="1" applyFill="1" applyBorder="1" applyProtection="1"/>
    <xf numFmtId="39" fontId="4" fillId="0" borderId="13" xfId="0" applyNumberFormat="1" applyFont="1" applyBorder="1" applyAlignment="1" applyProtection="1">
      <alignment horizontal="right"/>
    </xf>
    <xf numFmtId="165" fontId="4" fillId="0" borderId="0" xfId="0" applyNumberFormat="1" applyFont="1" applyFill="1" applyBorder="1" applyAlignment="1" applyProtection="1">
      <alignment horizontal="left"/>
    </xf>
    <xf numFmtId="7" fontId="4" fillId="0" borderId="0" xfId="0" applyNumberFormat="1" applyFont="1" applyFill="1" applyBorder="1" applyAlignment="1" applyProtection="1">
      <alignment horizontal="left"/>
    </xf>
    <xf numFmtId="7" fontId="0" fillId="0" borderId="0" xfId="0" applyNumberFormat="1" applyFill="1" applyBorder="1"/>
    <xf numFmtId="7" fontId="0" fillId="0" borderId="5" xfId="0" applyNumberFormat="1" applyFill="1" applyBorder="1" applyProtection="1"/>
    <xf numFmtId="7" fontId="0" fillId="0" borderId="5" xfId="0" applyNumberFormat="1" applyFill="1" applyBorder="1"/>
    <xf numFmtId="164" fontId="0" fillId="0" borderId="0" xfId="0" applyNumberFormat="1" applyFill="1" applyBorder="1" applyProtection="1"/>
    <xf numFmtId="7" fontId="0" fillId="0" borderId="5" xfId="0" applyNumberFormat="1" applyFill="1" applyBorder="1" applyAlignment="1" applyProtection="1">
      <alignment horizontal="center"/>
    </xf>
    <xf numFmtId="5" fontId="4" fillId="0" borderId="0" xfId="0" applyNumberFormat="1" applyFont="1" applyFill="1" applyBorder="1"/>
    <xf numFmtId="5" fontId="4" fillId="0" borderId="0" xfId="0" applyNumberFormat="1" applyFont="1" applyFill="1" applyBorder="1" applyAlignment="1">
      <alignment horizontal="centerContinuous"/>
    </xf>
    <xf numFmtId="164" fontId="0" fillId="0" borderId="0" xfId="0" applyNumberFormat="1" applyFill="1" applyBorder="1" applyAlignment="1" applyProtection="1">
      <alignment horizontal="center"/>
    </xf>
    <xf numFmtId="39" fontId="0" fillId="0" borderId="0" xfId="0" applyNumberFormat="1" applyFill="1" applyBorder="1" applyProtection="1"/>
    <xf numFmtId="39" fontId="0" fillId="0" borderId="0" xfId="0" applyNumberFormat="1" applyFill="1" applyBorder="1" applyAlignment="1" applyProtection="1">
      <alignment horizontal="left"/>
    </xf>
    <xf numFmtId="164" fontId="0" fillId="0" borderId="0" xfId="0" applyNumberFormat="1" applyFill="1" applyBorder="1" applyAlignment="1" applyProtection="1">
      <alignment horizontal="left"/>
    </xf>
    <xf numFmtId="37" fontId="0" fillId="0" borderId="0" xfId="0" applyNumberFormat="1" applyFill="1" applyBorder="1" applyProtection="1"/>
    <xf numFmtId="175" fontId="4" fillId="0" borderId="5" xfId="0" applyNumberFormat="1" applyFont="1" applyFill="1" applyBorder="1" applyAlignment="1" applyProtection="1">
      <alignment horizontal="right"/>
    </xf>
    <xf numFmtId="168" fontId="0" fillId="0" borderId="0" xfId="0" applyNumberFormat="1" applyFill="1" applyBorder="1" applyProtection="1"/>
    <xf numFmtId="168" fontId="0" fillId="0" borderId="0" xfId="0" applyNumberFormat="1" applyFill="1" applyBorder="1" applyAlignment="1" applyProtection="1">
      <alignment horizontal="center"/>
    </xf>
    <xf numFmtId="165" fontId="0" fillId="0" borderId="0" xfId="0" applyNumberFormat="1" applyFill="1" applyBorder="1" applyProtection="1"/>
    <xf numFmtId="4" fontId="4" fillId="2" borderId="8" xfId="0" applyNumberFormat="1" applyFont="1" applyFill="1" applyBorder="1" applyAlignment="1" applyProtection="1">
      <alignment horizontal="right"/>
    </xf>
    <xf numFmtId="164" fontId="0" fillId="0" borderId="6" xfId="0" applyNumberFormat="1" applyBorder="1" applyAlignment="1" applyProtection="1">
      <alignment horizontal="left"/>
    </xf>
    <xf numFmtId="2" fontId="0" fillId="0" borderId="7" xfId="0" applyNumberFormat="1" applyBorder="1" applyProtection="1"/>
    <xf numFmtId="7" fontId="0" fillId="0" borderId="7" xfId="0" applyNumberFormat="1" applyBorder="1" applyProtection="1"/>
    <xf numFmtId="164" fontId="0" fillId="0" borderId="7" xfId="0" applyBorder="1"/>
    <xf numFmtId="4" fontId="0" fillId="0" borderId="7" xfId="0" applyNumberFormat="1" applyBorder="1" applyProtection="1"/>
    <xf numFmtId="7" fontId="0" fillId="0" borderId="8" xfId="0" applyNumberFormat="1" applyBorder="1" applyProtection="1"/>
    <xf numFmtId="164" fontId="0" fillId="2" borderId="6" xfId="0" applyNumberFormat="1" applyFill="1" applyBorder="1" applyAlignment="1" applyProtection="1">
      <alignment horizontal="left"/>
    </xf>
    <xf numFmtId="2" fontId="0" fillId="2" borderId="7" xfId="0" applyNumberFormat="1" applyFill="1" applyBorder="1" applyProtection="1"/>
    <xf numFmtId="7" fontId="0" fillId="2" borderId="7" xfId="0" applyNumberFormat="1" applyFill="1" applyBorder="1" applyProtection="1"/>
    <xf numFmtId="39" fontId="0" fillId="2" borderId="7" xfId="0" applyNumberFormat="1" applyFill="1" applyBorder="1" applyProtection="1"/>
    <xf numFmtId="4" fontId="0" fillId="2" borderId="7" xfId="0" applyNumberFormat="1" applyFill="1" applyBorder="1" applyProtection="1"/>
    <xf numFmtId="7" fontId="0" fillId="2" borderId="8" xfId="0" applyNumberFormat="1" applyFill="1" applyBorder="1"/>
    <xf numFmtId="37" fontId="0" fillId="2" borderId="7" xfId="0" applyNumberFormat="1" applyFill="1" applyBorder="1" applyProtection="1"/>
    <xf numFmtId="7" fontId="0" fillId="2" borderId="8" xfId="0" applyNumberFormat="1" applyFill="1" applyBorder="1" applyProtection="1"/>
    <xf numFmtId="2" fontId="0" fillId="2" borderId="7" xfId="0" applyNumberFormat="1" applyFill="1" applyBorder="1"/>
    <xf numFmtId="7" fontId="0" fillId="2" borderId="7" xfId="0" applyNumberFormat="1" applyFill="1" applyBorder="1"/>
    <xf numFmtId="4" fontId="0" fillId="2" borderId="7" xfId="0" applyNumberFormat="1" applyFill="1" applyBorder="1"/>
    <xf numFmtId="164" fontId="0" fillId="3" borderId="6" xfId="0" applyNumberFormat="1" applyFill="1" applyBorder="1" applyAlignment="1" applyProtection="1">
      <alignment horizontal="left"/>
    </xf>
    <xf numFmtId="7" fontId="0" fillId="3" borderId="7" xfId="0" applyNumberFormat="1" applyFill="1" applyBorder="1" applyProtection="1"/>
    <xf numFmtId="7" fontId="0" fillId="3" borderId="8" xfId="0" applyNumberFormat="1" applyFill="1" applyBorder="1" applyProtection="1"/>
    <xf numFmtId="2" fontId="0" fillId="3" borderId="7" xfId="0" applyNumberFormat="1" applyFill="1" applyBorder="1"/>
    <xf numFmtId="7" fontId="0" fillId="3" borderId="7" xfId="0" applyNumberFormat="1" applyFill="1" applyBorder="1"/>
    <xf numFmtId="164" fontId="0" fillId="3" borderId="7" xfId="0" applyFill="1" applyBorder="1"/>
    <xf numFmtId="4" fontId="0" fillId="3" borderId="7" xfId="0" applyNumberFormat="1" applyFill="1" applyBorder="1"/>
    <xf numFmtId="7" fontId="0" fillId="3" borderId="8" xfId="0" applyNumberFormat="1" applyFill="1" applyBorder="1"/>
    <xf numFmtId="7" fontId="4" fillId="3" borderId="7" xfId="0" applyNumberFormat="1" applyFont="1" applyFill="1" applyBorder="1" applyProtection="1"/>
    <xf numFmtId="164" fontId="0" fillId="0" borderId="1" xfId="0" applyNumberFormat="1" applyBorder="1" applyAlignment="1" applyProtection="1">
      <alignment horizontal="left" wrapText="1"/>
    </xf>
    <xf numFmtId="164" fontId="0" fillId="2" borderId="10" xfId="0" applyNumberFormat="1" applyFill="1" applyBorder="1" applyAlignment="1" applyProtection="1">
      <alignment horizontal="left"/>
    </xf>
    <xf numFmtId="2" fontId="0" fillId="2" borderId="11" xfId="0" applyNumberFormat="1" applyFill="1" applyBorder="1" applyProtection="1"/>
    <xf numFmtId="7" fontId="0" fillId="2" borderId="11" xfId="0" applyNumberFormat="1" applyFill="1" applyBorder="1" applyProtection="1"/>
    <xf numFmtId="4" fontId="0" fillId="2" borderId="11" xfId="0" applyNumberFormat="1" applyFill="1" applyBorder="1" applyProtection="1"/>
    <xf numFmtId="7" fontId="0" fillId="2" borderId="12" xfId="0" applyNumberFormat="1" applyFill="1" applyBorder="1" applyProtection="1"/>
    <xf numFmtId="164" fontId="0" fillId="0" borderId="9" xfId="0" applyNumberFormat="1" applyBorder="1" applyAlignment="1" applyProtection="1">
      <alignment horizontal="left" wrapText="1"/>
    </xf>
    <xf numFmtId="2" fontId="0" fillId="0" borderId="9" xfId="0" applyNumberFormat="1" applyBorder="1" applyProtection="1"/>
    <xf numFmtId="37" fontId="0" fillId="0" borderId="9" xfId="0" applyNumberFormat="1" applyBorder="1" applyAlignment="1" applyProtection="1">
      <alignment horizontal="right"/>
    </xf>
    <xf numFmtId="37" fontId="0" fillId="0" borderId="9" xfId="0" applyNumberFormat="1" applyBorder="1" applyProtection="1"/>
    <xf numFmtId="4" fontId="0" fillId="0" borderId="9" xfId="0" applyNumberFormat="1" applyBorder="1" applyProtection="1"/>
    <xf numFmtId="7" fontId="0" fillId="0" borderId="9" xfId="0" applyNumberFormat="1" applyBorder="1" applyProtection="1"/>
    <xf numFmtId="164" fontId="0" fillId="0" borderId="10" xfId="0" applyNumberFormat="1" applyBorder="1" applyAlignment="1" applyProtection="1">
      <alignment horizontal="left"/>
    </xf>
    <xf numFmtId="2" fontId="0" fillId="0" borderId="11" xfId="0" applyNumberFormat="1" applyBorder="1" applyProtection="1"/>
    <xf numFmtId="7" fontId="0" fillId="0" borderId="11" xfId="0" applyNumberFormat="1" applyBorder="1" applyProtection="1"/>
    <xf numFmtId="37" fontId="0" fillId="0" borderId="11" xfId="0" applyNumberFormat="1" applyBorder="1" applyProtection="1"/>
    <xf numFmtId="4" fontId="0" fillId="0" borderId="11" xfId="0" applyNumberFormat="1" applyBorder="1" applyProtection="1"/>
    <xf numFmtId="7" fontId="0" fillId="0" borderId="12" xfId="0" applyNumberFormat="1" applyBorder="1" applyProtection="1"/>
    <xf numFmtId="164" fontId="0" fillId="0" borderId="13" xfId="0" applyNumberFormat="1" applyBorder="1" applyAlignment="1" applyProtection="1">
      <alignment horizontal="left" wrapText="1"/>
    </xf>
    <xf numFmtId="7" fontId="0" fillId="0" borderId="13" xfId="0" applyNumberFormat="1" applyBorder="1" applyProtection="1"/>
    <xf numFmtId="4" fontId="0" fillId="0" borderId="11" xfId="0" applyNumberFormat="1" applyBorder="1" applyAlignment="1" applyProtection="1">
      <alignment horizontal="left"/>
    </xf>
    <xf numFmtId="7" fontId="0" fillId="0" borderId="12" xfId="0" applyNumberFormat="1" applyBorder="1" applyAlignment="1" applyProtection="1">
      <alignment horizontal="left"/>
    </xf>
    <xf numFmtId="164" fontId="0" fillId="3" borderId="10" xfId="0" applyNumberFormat="1" applyFill="1" applyBorder="1" applyAlignment="1" applyProtection="1">
      <alignment horizontal="left"/>
    </xf>
    <xf numFmtId="2" fontId="0" fillId="3" borderId="11" xfId="0" applyNumberFormat="1" applyFill="1" applyBorder="1" applyProtection="1"/>
    <xf numFmtId="7" fontId="0" fillId="3" borderId="11" xfId="0" applyNumberFormat="1" applyFill="1" applyBorder="1" applyProtection="1"/>
    <xf numFmtId="37" fontId="0" fillId="3" borderId="11" xfId="0" applyNumberFormat="1" applyFill="1" applyBorder="1" applyProtection="1"/>
    <xf numFmtId="4" fontId="0" fillId="3" borderId="11" xfId="0" applyNumberFormat="1" applyFill="1" applyBorder="1" applyProtection="1"/>
    <xf numFmtId="7" fontId="0" fillId="3" borderId="12" xfId="0" applyNumberFormat="1" applyFill="1" applyBorder="1" applyProtection="1"/>
    <xf numFmtId="39" fontId="0" fillId="0" borderId="13" xfId="0" applyNumberFormat="1" applyBorder="1" applyProtection="1"/>
    <xf numFmtId="4" fontId="0" fillId="0" borderId="13" xfId="0" applyNumberFormat="1" applyBorder="1" applyProtection="1"/>
    <xf numFmtId="164" fontId="0" fillId="0" borderId="13" xfId="0" applyNumberFormat="1" applyBorder="1" applyAlignment="1" applyProtection="1">
      <alignment horizontal="left"/>
    </xf>
    <xf numFmtId="164" fontId="3" fillId="0" borderId="13" xfId="0" applyNumberFormat="1" applyFont="1" applyBorder="1" applyAlignment="1" applyProtection="1">
      <alignment horizontal="left"/>
    </xf>
    <xf numFmtId="164" fontId="7" fillId="0" borderId="0" xfId="0" applyFont="1" applyFill="1" applyBorder="1"/>
    <xf numFmtId="164" fontId="0" fillId="0" borderId="5" xfId="0" applyFill="1" applyBorder="1"/>
    <xf numFmtId="39" fontId="0" fillId="0" borderId="0" xfId="0" applyNumberFormat="1" applyFill="1" applyBorder="1" applyAlignment="1" applyProtection="1">
      <alignment horizontal="center"/>
    </xf>
    <xf numFmtId="164" fontId="0" fillId="2" borderId="7" xfId="0" applyFill="1" applyBorder="1"/>
    <xf numFmtId="5" fontId="0" fillId="2" borderId="7" xfId="0" applyNumberFormat="1" applyFill="1" applyBorder="1"/>
    <xf numFmtId="3" fontId="0" fillId="2" borderId="7" xfId="0" applyNumberFormat="1" applyFill="1" applyBorder="1"/>
    <xf numFmtId="164" fontId="0" fillId="2" borderId="8" xfId="0" applyFill="1" applyBorder="1"/>
    <xf numFmtId="164" fontId="0" fillId="2" borderId="7" xfId="0" applyFill="1" applyBorder="1" applyAlignment="1">
      <alignment horizontal="right"/>
    </xf>
    <xf numFmtId="3" fontId="0" fillId="2" borderId="7" xfId="0" applyNumberFormat="1" applyFill="1" applyBorder="1" applyProtection="1"/>
    <xf numFmtId="164" fontId="0" fillId="3" borderId="7" xfId="0" applyFill="1" applyBorder="1" applyAlignment="1">
      <alignment horizontal="right"/>
    </xf>
    <xf numFmtId="3" fontId="0" fillId="3" borderId="7" xfId="0" applyNumberFormat="1" applyFill="1" applyBorder="1"/>
    <xf numFmtId="7" fontId="0" fillId="2" borderId="8" xfId="0" applyNumberFormat="1" applyFill="1" applyBorder="1" applyAlignment="1" applyProtection="1">
      <alignment horizontal="left"/>
    </xf>
    <xf numFmtId="164" fontId="0" fillId="0" borderId="9" xfId="0" applyNumberFormat="1" applyBorder="1" applyAlignment="1" applyProtection="1">
      <alignment horizontal="left"/>
    </xf>
    <xf numFmtId="164" fontId="0" fillId="0" borderId="9" xfId="0" applyBorder="1" applyAlignment="1">
      <alignment horizontal="right"/>
    </xf>
    <xf numFmtId="3" fontId="0" fillId="0" borderId="9" xfId="0" applyNumberFormat="1" applyBorder="1" applyProtection="1"/>
    <xf numFmtId="164" fontId="0" fillId="2" borderId="11" xfId="0" applyFill="1" applyBorder="1" applyAlignment="1">
      <alignment horizontal="right"/>
    </xf>
    <xf numFmtId="3" fontId="0" fillId="2" borderId="11" xfId="0" applyNumberFormat="1" applyFill="1" applyBorder="1" applyProtection="1"/>
    <xf numFmtId="2" fontId="0" fillId="0" borderId="13" xfId="0" applyNumberFormat="1" applyBorder="1" applyAlignment="1" applyProtection="1">
      <alignment horizontal="center"/>
    </xf>
    <xf numFmtId="44" fontId="0" fillId="0" borderId="9" xfId="0" applyNumberFormat="1" applyBorder="1" applyProtection="1"/>
    <xf numFmtId="2" fontId="0" fillId="2" borderId="11" xfId="0" applyNumberFormat="1" applyFill="1" applyBorder="1"/>
    <xf numFmtId="7" fontId="0" fillId="2" borderId="11" xfId="0" applyNumberFormat="1" applyFill="1" applyBorder="1"/>
    <xf numFmtId="3" fontId="0" fillId="2" borderId="11" xfId="0" applyNumberFormat="1" applyFill="1" applyBorder="1"/>
    <xf numFmtId="4" fontId="0" fillId="2" borderId="11" xfId="0" applyNumberFormat="1" applyFill="1" applyBorder="1"/>
    <xf numFmtId="7" fontId="0" fillId="2" borderId="12" xfId="0" applyNumberFormat="1" applyFill="1" applyBorder="1"/>
    <xf numFmtId="164" fontId="0" fillId="0" borderId="11" xfId="0" applyBorder="1" applyAlignment="1">
      <alignment horizontal="right"/>
    </xf>
    <xf numFmtId="3" fontId="0" fillId="0" borderId="11" xfId="0" applyNumberFormat="1" applyBorder="1" applyProtection="1"/>
    <xf numFmtId="2" fontId="0" fillId="3" borderId="11" xfId="0" applyNumberFormat="1" applyFill="1" applyBorder="1"/>
    <xf numFmtId="7" fontId="0" fillId="3" borderId="11" xfId="0" applyNumberFormat="1" applyFill="1" applyBorder="1"/>
    <xf numFmtId="164" fontId="0" fillId="3" borderId="11" xfId="0" applyFill="1" applyBorder="1" applyAlignment="1">
      <alignment horizontal="right"/>
    </xf>
    <xf numFmtId="3" fontId="0" fillId="3" borderId="11" xfId="0" applyNumberFormat="1" applyFill="1" applyBorder="1" applyProtection="1"/>
    <xf numFmtId="4" fontId="0" fillId="3" borderId="11" xfId="0" applyNumberFormat="1" applyFill="1" applyBorder="1"/>
    <xf numFmtId="7" fontId="0" fillId="3" borderId="12" xfId="0" applyNumberFormat="1" applyFill="1" applyBorder="1"/>
    <xf numFmtId="3" fontId="0" fillId="3" borderId="11" xfId="0" applyNumberFormat="1" applyFill="1" applyBorder="1"/>
    <xf numFmtId="2" fontId="0" fillId="0" borderId="11" xfId="0" applyNumberFormat="1" applyBorder="1"/>
    <xf numFmtId="7" fontId="0" fillId="0" borderId="11" xfId="0" applyNumberFormat="1" applyBorder="1"/>
    <xf numFmtId="3" fontId="0" fillId="0" borderId="11" xfId="0" applyNumberFormat="1" applyBorder="1"/>
    <xf numFmtId="4" fontId="0" fillId="0" borderId="11" xfId="0" applyNumberFormat="1" applyBorder="1"/>
    <xf numFmtId="7" fontId="0" fillId="0" borderId="12" xfId="0" applyNumberFormat="1" applyBorder="1"/>
    <xf numFmtId="7" fontId="0" fillId="3" borderId="12" xfId="0" applyNumberFormat="1" applyFill="1" applyBorder="1" applyAlignment="1" applyProtection="1">
      <alignment horizontal="left"/>
    </xf>
    <xf numFmtId="164" fontId="0" fillId="3" borderId="11" xfId="0" applyFill="1" applyBorder="1"/>
    <xf numFmtId="39" fontId="0" fillId="0" borderId="9" xfId="0" applyNumberFormat="1" applyBorder="1" applyAlignment="1" applyProtection="1">
      <alignment horizontal="right"/>
    </xf>
    <xf numFmtId="7" fontId="0" fillId="0" borderId="9" xfId="0" applyNumberFormat="1" applyBorder="1" applyAlignment="1">
      <alignment horizontal="right"/>
    </xf>
    <xf numFmtId="175" fontId="0" fillId="0" borderId="9" xfId="0" applyNumberFormat="1" applyBorder="1" applyAlignment="1">
      <alignment horizontal="right"/>
    </xf>
    <xf numFmtId="7" fontId="0" fillId="0" borderId="9" xfId="0" applyNumberFormat="1" applyBorder="1" applyAlignment="1" applyProtection="1">
      <alignment horizontal="right"/>
    </xf>
    <xf numFmtId="39" fontId="0" fillId="0" borderId="13" xfId="0" applyNumberFormat="1" applyBorder="1" applyAlignment="1" applyProtection="1">
      <alignment horizontal="right"/>
    </xf>
    <xf numFmtId="7" fontId="0" fillId="0" borderId="13" xfId="0" applyNumberFormat="1" applyBorder="1" applyAlignment="1">
      <alignment horizontal="right"/>
    </xf>
    <xf numFmtId="175" fontId="0" fillId="0" borderId="13" xfId="0" applyNumberFormat="1" applyBorder="1" applyAlignment="1" applyProtection="1">
      <alignment horizontal="right"/>
    </xf>
    <xf numFmtId="37" fontId="0" fillId="0" borderId="13" xfId="0" applyNumberFormat="1" applyBorder="1" applyAlignment="1" applyProtection="1">
      <alignment horizontal="right"/>
    </xf>
    <xf numFmtId="7" fontId="0" fillId="0" borderId="13" xfId="0" applyNumberFormat="1" applyBorder="1" applyAlignment="1" applyProtection="1">
      <alignment horizontal="right"/>
    </xf>
    <xf numFmtId="39" fontId="0" fillId="3" borderId="7" xfId="0" applyNumberFormat="1" applyFill="1" applyBorder="1" applyProtection="1"/>
    <xf numFmtId="164" fontId="0" fillId="0" borderId="1" xfId="0" applyBorder="1" applyAlignment="1">
      <alignment wrapText="1"/>
    </xf>
    <xf numFmtId="164" fontId="4" fillId="0" borderId="1" xfId="0" applyFont="1" applyBorder="1"/>
    <xf numFmtId="164" fontId="2" fillId="0" borderId="1" xfId="0" applyFont="1" applyBorder="1"/>
    <xf numFmtId="1" fontId="4" fillId="0" borderId="1" xfId="0" applyNumberFormat="1" applyFont="1" applyBorder="1" applyProtection="1"/>
    <xf numFmtId="164" fontId="8" fillId="0" borderId="1" xfId="0" applyFont="1" applyBorder="1"/>
    <xf numFmtId="1" fontId="8" fillId="0" borderId="1" xfId="0" applyNumberFormat="1" applyFont="1" applyBorder="1" applyProtection="1"/>
    <xf numFmtId="4" fontId="8" fillId="0" borderId="1" xfId="0" applyNumberFormat="1" applyFont="1" applyBorder="1" applyProtection="1"/>
    <xf numFmtId="164" fontId="0" fillId="0" borderId="15" xfId="0" applyBorder="1"/>
    <xf numFmtId="164" fontId="4" fillId="0" borderId="1" xfId="0" applyFont="1" applyBorder="1" applyAlignment="1">
      <alignment wrapText="1"/>
    </xf>
    <xf numFmtId="7" fontId="4" fillId="0" borderId="1" xfId="0" applyNumberFormat="1" applyFont="1" applyBorder="1" applyAlignment="1">
      <alignment wrapText="1"/>
    </xf>
    <xf numFmtId="7" fontId="7" fillId="0" borderId="1" xfId="0" applyNumberFormat="1" applyFont="1" applyBorder="1" applyAlignment="1">
      <alignment wrapText="1"/>
    </xf>
    <xf numFmtId="7" fontId="8" fillId="0" borderId="1" xfId="0" applyNumberFormat="1" applyFont="1" applyBorder="1" applyAlignment="1">
      <alignment wrapText="1"/>
    </xf>
    <xf numFmtId="4" fontId="8" fillId="0" borderId="1" xfId="0" applyNumberFormat="1" applyFont="1" applyBorder="1" applyAlignment="1" applyProtection="1">
      <alignment horizontal="left" wrapText="1"/>
    </xf>
    <xf numFmtId="164" fontId="8" fillId="0" borderId="1" xfId="0" applyFont="1" applyBorder="1" applyAlignment="1">
      <alignment wrapText="1"/>
    </xf>
    <xf numFmtId="164" fontId="2" fillId="0" borderId="1" xfId="0" applyFont="1" applyBorder="1" applyAlignment="1">
      <alignment wrapText="1"/>
    </xf>
    <xf numFmtId="164" fontId="3" fillId="0" borderId="1" xfId="0" applyFont="1" applyBorder="1"/>
    <xf numFmtId="164" fontId="3" fillId="0" borderId="15" xfId="0" applyFont="1" applyBorder="1"/>
    <xf numFmtId="164" fontId="4" fillId="0" borderId="1" xfId="0" applyNumberFormat="1" applyFont="1" applyFill="1" applyBorder="1" applyAlignment="1" applyProtection="1">
      <alignment horizontal="left" wrapText="1"/>
    </xf>
    <xf numFmtId="165" fontId="4" fillId="0" borderId="1" xfId="0" applyNumberFormat="1" applyFont="1" applyFill="1" applyBorder="1" applyProtection="1"/>
    <xf numFmtId="39" fontId="4" fillId="0" borderId="1" xfId="0" applyNumberFormat="1" applyFont="1" applyFill="1" applyBorder="1" applyProtection="1"/>
    <xf numFmtId="7" fontId="4" fillId="0" borderId="1" xfId="0" applyNumberFormat="1" applyFont="1" applyFill="1" applyBorder="1" applyProtection="1"/>
    <xf numFmtId="37" fontId="4" fillId="0" borderId="1" xfId="0" applyNumberFormat="1" applyFont="1" applyFill="1" applyBorder="1" applyProtection="1"/>
    <xf numFmtId="174" fontId="4" fillId="0" borderId="9" xfId="0" applyNumberFormat="1" applyFont="1" applyFill="1" applyBorder="1" applyAlignment="1" applyProtection="1">
      <alignment horizontal="right"/>
    </xf>
    <xf numFmtId="39" fontId="4" fillId="0" borderId="9" xfId="0" applyNumberFormat="1" applyFont="1" applyFill="1" applyBorder="1" applyProtection="1"/>
    <xf numFmtId="37" fontId="4" fillId="0" borderId="9" xfId="0" applyNumberFormat="1" applyFont="1" applyFill="1" applyBorder="1" applyProtection="1"/>
    <xf numFmtId="4" fontId="4" fillId="0" borderId="1" xfId="0" applyNumberFormat="1" applyFont="1" applyFill="1" applyBorder="1" applyProtection="1"/>
    <xf numFmtId="2" fontId="4" fillId="0" borderId="1" xfId="0" applyNumberFormat="1" applyFont="1" applyFill="1" applyBorder="1" applyProtection="1"/>
    <xf numFmtId="164" fontId="0" fillId="0" borderId="1" xfId="0" applyFill="1" applyBorder="1" applyAlignment="1">
      <alignment horizontal="right"/>
    </xf>
    <xf numFmtId="3" fontId="4" fillId="0" borderId="1" xfId="0" applyNumberFormat="1" applyFont="1" applyFill="1" applyBorder="1" applyProtection="1"/>
    <xf numFmtId="164" fontId="0" fillId="0" borderId="1" xfId="0" applyNumberFormat="1" applyFill="1" applyBorder="1" applyAlignment="1" applyProtection="1">
      <alignment horizontal="left" wrapText="1"/>
    </xf>
    <xf numFmtId="3" fontId="0" fillId="0" borderId="1" xfId="0" applyNumberFormat="1" applyFill="1" applyBorder="1" applyProtection="1"/>
    <xf numFmtId="164" fontId="3" fillId="2" borderId="6" xfId="0" applyNumberFormat="1" applyFont="1" applyFill="1" applyBorder="1" applyAlignment="1" applyProtection="1">
      <alignment horizontal="left"/>
    </xf>
    <xf numFmtId="7" fontId="0" fillId="2" borderId="7" xfId="0" applyNumberFormat="1" applyFill="1" applyBorder="1" applyAlignment="1">
      <alignment horizontal="right"/>
    </xf>
    <xf numFmtId="164" fontId="0" fillId="0" borderId="9" xfId="0" applyFill="1" applyBorder="1" applyAlignment="1">
      <alignment wrapText="1"/>
    </xf>
    <xf numFmtId="175" fontId="0" fillId="0" borderId="9" xfId="0" applyNumberFormat="1" applyFill="1" applyBorder="1"/>
    <xf numFmtId="4" fontId="0" fillId="0" borderId="9" xfId="0" applyNumberFormat="1" applyFill="1" applyBorder="1" applyProtection="1"/>
    <xf numFmtId="7" fontId="0" fillId="0" borderId="9" xfId="0" applyNumberFormat="1" applyFill="1" applyBorder="1" applyProtection="1"/>
    <xf numFmtId="175" fontId="3" fillId="0" borderId="13" xfId="0" applyNumberFormat="1" applyFont="1" applyBorder="1" applyAlignment="1">
      <alignment horizontal="right"/>
    </xf>
    <xf numFmtId="7" fontId="3" fillId="0" borderId="13" xfId="0" applyNumberFormat="1" applyFont="1" applyBorder="1" applyAlignment="1">
      <alignment horizontal="right"/>
    </xf>
    <xf numFmtId="4" fontId="3" fillId="0" borderId="13" xfId="0" applyNumberFormat="1" applyFont="1" applyBorder="1" applyProtection="1"/>
    <xf numFmtId="7" fontId="3" fillId="0" borderId="13" xfId="0" applyNumberFormat="1" applyFont="1" applyBorder="1" applyProtection="1"/>
    <xf numFmtId="7" fontId="0" fillId="0" borderId="0" xfId="0" applyNumberFormat="1" applyFill="1"/>
    <xf numFmtId="7" fontId="0" fillId="0" borderId="0" xfId="0" applyNumberFormat="1" applyFill="1" applyAlignment="1">
      <alignment horizontal="center"/>
    </xf>
    <xf numFmtId="7" fontId="0" fillId="0" borderId="0" xfId="0" applyNumberFormat="1" applyFill="1" applyAlignment="1" applyProtection="1">
      <alignment horizontal="center"/>
    </xf>
    <xf numFmtId="7" fontId="3" fillId="0" borderId="0" xfId="0" applyNumberFormat="1" applyFont="1" applyFill="1" applyBorder="1" applyProtection="1"/>
    <xf numFmtId="3" fontId="0" fillId="0" borderId="0" xfId="0" applyNumberFormat="1" applyFill="1"/>
    <xf numFmtId="164" fontId="0" fillId="0" borderId="0" xfId="0" applyFill="1" applyAlignment="1" applyProtection="1">
      <alignment horizontal="center"/>
    </xf>
    <xf numFmtId="2" fontId="0" fillId="0" borderId="0" xfId="0" applyNumberFormat="1" applyFill="1"/>
    <xf numFmtId="164" fontId="0" fillId="0" borderId="1" xfId="0" applyBorder="1" applyAlignment="1">
      <alignment horizontal="left" indent="1"/>
    </xf>
    <xf numFmtId="4" fontId="4" fillId="0" borderId="0" xfId="0" applyNumberFormat="1" applyFont="1" applyFill="1" applyBorder="1" applyAlignment="1" applyProtection="1">
      <alignment horizontal="right"/>
    </xf>
    <xf numFmtId="164" fontId="4" fillId="0" borderId="0" xfId="0" applyFont="1" applyFill="1" applyBorder="1" applyAlignment="1">
      <alignment wrapText="1"/>
    </xf>
    <xf numFmtId="4" fontId="4" fillId="0" borderId="0" xfId="0" applyNumberFormat="1" applyFont="1" applyFill="1" applyBorder="1"/>
    <xf numFmtId="4" fontId="4" fillId="0" borderId="0" xfId="0" applyNumberFormat="1" applyFont="1" applyFill="1" applyBorder="1" applyAlignment="1"/>
    <xf numFmtId="4" fontId="4" fillId="0" borderId="0" xfId="0" applyNumberFormat="1" applyFont="1" applyFill="1" applyBorder="1" applyAlignment="1" applyProtection="1">
      <alignment horizontal="left"/>
    </xf>
    <xf numFmtId="4" fontId="4" fillId="0" borderId="0" xfId="0" applyNumberFormat="1" applyFont="1" applyFill="1" applyBorder="1" applyProtection="1"/>
    <xf numFmtId="4" fontId="0" fillId="0" borderId="0" xfId="0" applyNumberFormat="1" applyFill="1" applyBorder="1"/>
    <xf numFmtId="4" fontId="4" fillId="0" borderId="0" xfId="0" applyNumberFormat="1" applyFont="1" applyFill="1" applyBorder="1" applyAlignment="1" applyProtection="1">
      <alignment horizontal="fill"/>
    </xf>
    <xf numFmtId="4" fontId="4" fillId="0" borderId="5" xfId="0" applyNumberFormat="1" applyFont="1" applyBorder="1" applyProtection="1"/>
    <xf numFmtId="7" fontId="4" fillId="0" borderId="0" xfId="0" applyNumberFormat="1" applyFont="1" applyBorder="1" applyProtection="1"/>
    <xf numFmtId="164" fontId="0" fillId="0" borderId="0" xfId="0" applyBorder="1" applyAlignment="1">
      <alignment wrapText="1"/>
    </xf>
    <xf numFmtId="164" fontId="3" fillId="0" borderId="0" xfId="0" applyFont="1"/>
    <xf numFmtId="164" fontId="4" fillId="0" borderId="0" xfId="0" applyFont="1" applyBorder="1"/>
    <xf numFmtId="5" fontId="4" fillId="0" borderId="0" xfId="0" applyNumberFormat="1" applyFont="1" applyBorder="1"/>
    <xf numFmtId="4" fontId="0" fillId="0" borderId="0" xfId="0" applyNumberFormat="1" applyBorder="1"/>
    <xf numFmtId="164" fontId="0" fillId="0" borderId="1" xfId="0" applyBorder="1" applyAlignment="1" applyProtection="1">
      <alignment horizontal="left" wrapText="1"/>
    </xf>
    <xf numFmtId="164" fontId="4" fillId="0" borderId="1" xfId="0" applyFont="1" applyBorder="1" applyAlignment="1" applyProtection="1">
      <alignment horizontal="left" wrapText="1"/>
    </xf>
    <xf numFmtId="3" fontId="0" fillId="0" borderId="1" xfId="0" applyNumberFormat="1" applyBorder="1" applyAlignment="1" applyProtection="1">
      <alignment horizontal="right"/>
    </xf>
    <xf numFmtId="164" fontId="0" fillId="0" borderId="9" xfId="0" applyBorder="1" applyAlignment="1" applyProtection="1">
      <alignment horizontal="left" wrapText="1"/>
    </xf>
    <xf numFmtId="2" fontId="0" fillId="0" borderId="9" xfId="0" applyNumberFormat="1" applyBorder="1" applyAlignment="1" applyProtection="1">
      <alignment horizontal="right"/>
    </xf>
    <xf numFmtId="175" fontId="0" fillId="0" borderId="9" xfId="0" applyNumberFormat="1" applyBorder="1" applyAlignment="1" applyProtection="1">
      <alignment horizontal="right"/>
    </xf>
    <xf numFmtId="164" fontId="0" fillId="0" borderId="9" xfId="0" applyBorder="1" applyAlignment="1" applyProtection="1">
      <alignment horizontal="right"/>
    </xf>
    <xf numFmtId="4" fontId="0" fillId="0" borderId="9" xfId="0" applyNumberFormat="1" applyBorder="1" applyAlignment="1" applyProtection="1">
      <alignment horizontal="right"/>
    </xf>
    <xf numFmtId="164" fontId="3" fillId="0" borderId="16" xfId="0" applyFont="1" applyBorder="1" applyAlignment="1" applyProtection="1">
      <alignment horizontal="left"/>
    </xf>
    <xf numFmtId="164" fontId="0" fillId="0" borderId="13" xfId="0" applyBorder="1" applyAlignment="1" applyProtection="1">
      <alignment horizontal="left"/>
    </xf>
    <xf numFmtId="2" fontId="0" fillId="0" borderId="13" xfId="0" applyNumberFormat="1" applyBorder="1" applyAlignment="1" applyProtection="1">
      <alignment horizontal="right"/>
    </xf>
    <xf numFmtId="164" fontId="0" fillId="0" borderId="13" xfId="0" applyBorder="1" applyAlignment="1" applyProtection="1">
      <alignment horizontal="right"/>
    </xf>
    <xf numFmtId="4" fontId="0" fillId="0" borderId="13" xfId="0" applyNumberFormat="1" applyBorder="1" applyAlignment="1" applyProtection="1">
      <alignment horizontal="right"/>
    </xf>
    <xf numFmtId="4" fontId="8" fillId="0" borderId="13" xfId="0" applyNumberFormat="1" applyFont="1" applyBorder="1" applyAlignment="1" applyProtection="1">
      <alignment horizontal="right"/>
    </xf>
    <xf numFmtId="164" fontId="8" fillId="0" borderId="13" xfId="0" applyFont="1" applyBorder="1" applyAlignment="1" applyProtection="1">
      <alignment horizontal="left"/>
    </xf>
    <xf numFmtId="2" fontId="8" fillId="0" borderId="13" xfId="0" applyNumberFormat="1" applyFont="1" applyBorder="1" applyAlignment="1" applyProtection="1">
      <alignment horizontal="right"/>
    </xf>
    <xf numFmtId="164" fontId="8" fillId="0" borderId="13" xfId="0" applyFont="1" applyBorder="1" applyAlignment="1" applyProtection="1">
      <alignment horizontal="right"/>
    </xf>
    <xf numFmtId="7" fontId="8" fillId="0" borderId="13" xfId="0" applyNumberFormat="1" applyFont="1" applyBorder="1" applyAlignment="1" applyProtection="1">
      <alignment horizontal="right"/>
    </xf>
    <xf numFmtId="164" fontId="4" fillId="0" borderId="9" xfId="0" applyFont="1" applyBorder="1" applyAlignment="1" applyProtection="1">
      <alignment horizontal="right"/>
    </xf>
    <xf numFmtId="164" fontId="0" fillId="0" borderId="9" xfId="0" applyBorder="1" applyProtection="1"/>
    <xf numFmtId="175" fontId="0" fillId="0" borderId="9" xfId="0" applyNumberFormat="1" applyBorder="1" applyProtection="1"/>
    <xf numFmtId="164" fontId="0" fillId="0" borderId="16" xfId="0" applyBorder="1"/>
    <xf numFmtId="164" fontId="0" fillId="0" borderId="13" xfId="0" applyBorder="1" applyAlignment="1" applyProtection="1">
      <alignment horizontal="left" wrapText="1"/>
    </xf>
    <xf numFmtId="164" fontId="0" fillId="0" borderId="13" xfId="0" applyBorder="1" applyAlignment="1" applyProtection="1">
      <alignment horizontal="center"/>
    </xf>
    <xf numFmtId="3" fontId="0" fillId="0" borderId="9" xfId="0" applyNumberFormat="1" applyBorder="1" applyAlignment="1" applyProtection="1">
      <alignment horizontal="right"/>
    </xf>
    <xf numFmtId="2" fontId="0" fillId="0" borderId="16" xfId="0" applyNumberFormat="1" applyBorder="1"/>
    <xf numFmtId="4" fontId="0" fillId="0" borderId="16" xfId="0" applyNumberFormat="1" applyBorder="1"/>
    <xf numFmtId="7" fontId="0" fillId="0" borderId="16" xfId="0" applyNumberFormat="1" applyBorder="1"/>
    <xf numFmtId="4" fontId="0" fillId="0" borderId="13" xfId="1" applyNumberFormat="1" applyFont="1" applyBorder="1" applyProtection="1"/>
    <xf numFmtId="164" fontId="0" fillId="0" borderId="17" xfId="0" applyBorder="1" applyAlignment="1" applyProtection="1">
      <alignment horizontal="left"/>
    </xf>
    <xf numFmtId="2" fontId="0" fillId="0" borderId="17" xfId="0" applyNumberFormat="1" applyBorder="1" applyAlignment="1" applyProtection="1">
      <alignment horizontal="center"/>
    </xf>
    <xf numFmtId="164" fontId="0" fillId="0" borderId="17" xfId="0" applyBorder="1" applyAlignment="1" applyProtection="1">
      <alignment horizontal="center"/>
    </xf>
    <xf numFmtId="39" fontId="0" fillId="0" borderId="17" xfId="0" applyNumberFormat="1" applyBorder="1" applyProtection="1"/>
    <xf numFmtId="7" fontId="0" fillId="0" borderId="17" xfId="0" applyNumberFormat="1" applyBorder="1" applyProtection="1"/>
    <xf numFmtId="2" fontId="0" fillId="0" borderId="13" xfId="0" applyNumberFormat="1" applyBorder="1" applyAlignment="1" applyProtection="1">
      <alignment horizontal="left"/>
    </xf>
    <xf numFmtId="164" fontId="3" fillId="0" borderId="6" xfId="0" applyFont="1" applyBorder="1" applyAlignment="1" applyProtection="1">
      <alignment horizontal="left"/>
    </xf>
    <xf numFmtId="2" fontId="0" fillId="0" borderId="7" xfId="0" applyNumberFormat="1" applyBorder="1"/>
    <xf numFmtId="37" fontId="0" fillId="0" borderId="7" xfId="0" applyNumberFormat="1" applyBorder="1" applyProtection="1"/>
    <xf numFmtId="4" fontId="0" fillId="0" borderId="7" xfId="0" applyNumberFormat="1" applyBorder="1"/>
    <xf numFmtId="7" fontId="0" fillId="0" borderId="8" xfId="0" applyNumberFormat="1" applyBorder="1"/>
    <xf numFmtId="164" fontId="0" fillId="2" borderId="6" xfId="0" applyFill="1" applyBorder="1" applyAlignment="1" applyProtection="1">
      <alignment horizontal="left"/>
    </xf>
    <xf numFmtId="2" fontId="0" fillId="2" borderId="7" xfId="0" applyNumberFormat="1" applyFill="1" applyBorder="1" applyAlignment="1" applyProtection="1">
      <alignment horizontal="right"/>
    </xf>
    <xf numFmtId="172" fontId="0" fillId="2" borderId="7" xfId="0" applyNumberFormat="1" applyFill="1" applyBorder="1" applyAlignment="1" applyProtection="1">
      <alignment horizontal="right"/>
    </xf>
    <xf numFmtId="4" fontId="0" fillId="2" borderId="7" xfId="0" applyNumberFormat="1" applyFill="1" applyBorder="1" applyAlignment="1" applyProtection="1">
      <alignment horizontal="right"/>
    </xf>
    <xf numFmtId="7" fontId="0" fillId="2" borderId="8" xfId="0" applyNumberFormat="1" applyFill="1" applyBorder="1" applyAlignment="1" applyProtection="1">
      <alignment horizontal="right"/>
    </xf>
    <xf numFmtId="2" fontId="0" fillId="2" borderId="7" xfId="0" applyNumberFormat="1" applyFill="1" applyBorder="1" applyAlignment="1">
      <alignment horizontal="right"/>
    </xf>
    <xf numFmtId="4" fontId="0" fillId="2" borderId="7" xfId="0" applyNumberFormat="1" applyFill="1" applyBorder="1" applyAlignment="1">
      <alignment horizontal="right"/>
    </xf>
    <xf numFmtId="7" fontId="0" fillId="2" borderId="8" xfId="0" applyNumberFormat="1" applyFill="1" applyBorder="1" applyAlignment="1">
      <alignment horizontal="right"/>
    </xf>
    <xf numFmtId="164" fontId="0" fillId="0" borderId="6" xfId="0" applyBorder="1" applyAlignment="1" applyProtection="1">
      <alignment horizontal="left"/>
    </xf>
    <xf numFmtId="165" fontId="0" fillId="0" borderId="7" xfId="0" applyNumberFormat="1" applyBorder="1" applyProtection="1"/>
    <xf numFmtId="165" fontId="0" fillId="2" borderId="7" xfId="0" applyNumberFormat="1" applyFill="1" applyBorder="1" applyProtection="1"/>
    <xf numFmtId="7" fontId="5" fillId="2" borderId="8" xfId="0" applyNumberFormat="1" applyFont="1" applyFill="1" applyBorder="1" applyProtection="1"/>
    <xf numFmtId="164" fontId="0" fillId="0" borderId="8" xfId="0" applyBorder="1"/>
    <xf numFmtId="4" fontId="0" fillId="2" borderId="7" xfId="0" applyNumberFormat="1" applyFill="1" applyBorder="1" applyAlignment="1" applyProtection="1">
      <alignment horizontal="left"/>
    </xf>
    <xf numFmtId="37" fontId="0" fillId="2" borderId="7" xfId="0" applyNumberFormat="1" applyFill="1" applyBorder="1" applyAlignment="1" applyProtection="1">
      <alignment horizontal="right"/>
    </xf>
    <xf numFmtId="165" fontId="0" fillId="0" borderId="0" xfId="0" applyNumberFormat="1" applyFill="1" applyProtection="1"/>
    <xf numFmtId="7" fontId="0" fillId="0" borderId="0" xfId="0" applyNumberFormat="1" applyFill="1" applyProtection="1"/>
    <xf numFmtId="164" fontId="0" fillId="0" borderId="0" xfId="0" applyFill="1" applyAlignment="1" applyProtection="1">
      <alignment horizontal="left"/>
    </xf>
    <xf numFmtId="164" fontId="0" fillId="0" borderId="0" xfId="0" applyFill="1" applyAlignment="1" applyProtection="1">
      <alignment horizontal="fill"/>
    </xf>
    <xf numFmtId="164" fontId="0" fillId="0" borderId="0" xfId="0" applyFill="1" applyProtection="1"/>
    <xf numFmtId="39" fontId="0" fillId="0" borderId="0" xfId="0" applyNumberFormat="1" applyFill="1" applyProtection="1"/>
    <xf numFmtId="7" fontId="0" fillId="0" borderId="1" xfId="0" applyNumberFormat="1" applyFill="1" applyBorder="1" applyAlignment="1" applyProtection="1">
      <alignment horizontal="right"/>
    </xf>
    <xf numFmtId="165" fontId="8" fillId="0" borderId="0" xfId="0" applyNumberFormat="1" applyFont="1" applyFill="1" applyProtection="1"/>
    <xf numFmtId="7" fontId="8" fillId="0" borderId="1" xfId="0" applyNumberFormat="1" applyFont="1" applyFill="1" applyBorder="1" applyAlignment="1" applyProtection="1">
      <alignment horizontal="right"/>
    </xf>
    <xf numFmtId="164" fontId="8" fillId="0" borderId="0" xfId="0" applyFont="1" applyFill="1"/>
    <xf numFmtId="164" fontId="3" fillId="0" borderId="10" xfId="0" applyFont="1" applyBorder="1" applyAlignment="1" applyProtection="1">
      <alignment horizontal="left"/>
    </xf>
    <xf numFmtId="2" fontId="0" fillId="0" borderId="11" xfId="0" applyNumberFormat="1" applyBorder="1" applyAlignment="1" applyProtection="1">
      <alignment horizontal="right"/>
    </xf>
    <xf numFmtId="2" fontId="0" fillId="0" borderId="11" xfId="0" applyNumberFormat="1" applyBorder="1" applyAlignment="1">
      <alignment horizontal="right"/>
    </xf>
    <xf numFmtId="4" fontId="0" fillId="0" borderId="11" xfId="0" applyNumberFormat="1" applyBorder="1" applyAlignment="1">
      <alignment horizontal="right"/>
    </xf>
    <xf numFmtId="7" fontId="0" fillId="0" borderId="12" xfId="0" applyNumberFormat="1" applyBorder="1" applyAlignment="1">
      <alignment horizontal="right"/>
    </xf>
    <xf numFmtId="4" fontId="0" fillId="0" borderId="11" xfId="0" applyNumberFormat="1" applyBorder="1" applyAlignment="1" applyProtection="1">
      <alignment horizontal="right"/>
    </xf>
    <xf numFmtId="7" fontId="0" fillId="0" borderId="12" xfId="0" applyNumberFormat="1" applyBorder="1" applyAlignment="1" applyProtection="1">
      <alignment horizontal="right"/>
    </xf>
    <xf numFmtId="164" fontId="0" fillId="0" borderId="11" xfId="0" applyBorder="1"/>
    <xf numFmtId="164" fontId="3" fillId="0" borderId="10" xfId="0" applyFont="1" applyBorder="1" applyAlignment="1" applyProtection="1">
      <alignment horizontal="left" wrapText="1"/>
    </xf>
    <xf numFmtId="164" fontId="0" fillId="3" borderId="10" xfId="0" applyFill="1" applyBorder="1" applyAlignment="1" applyProtection="1">
      <alignment horizontal="left"/>
    </xf>
    <xf numFmtId="37" fontId="0" fillId="0" borderId="11" xfId="0" applyNumberFormat="1" applyBorder="1" applyAlignment="1" applyProtection="1">
      <alignment horizontal="right"/>
    </xf>
    <xf numFmtId="39" fontId="4" fillId="0" borderId="7" xfId="0" applyNumberFormat="1" applyFont="1" applyFill="1" applyBorder="1" applyProtection="1"/>
    <xf numFmtId="39" fontId="0" fillId="0" borderId="0" xfId="0" applyNumberFormat="1" applyFill="1" applyBorder="1" applyAlignment="1" applyProtection="1">
      <alignment horizontal="right"/>
    </xf>
    <xf numFmtId="164" fontId="0" fillId="0" borderId="0" xfId="0" applyFill="1" applyBorder="1" applyAlignment="1">
      <alignment horizontal="right"/>
    </xf>
    <xf numFmtId="164" fontId="0" fillId="0" borderId="0" xfId="0" applyNumberFormat="1" applyFill="1" applyBorder="1" applyAlignment="1" applyProtection="1">
      <alignment horizontal="right"/>
    </xf>
    <xf numFmtId="164" fontId="0" fillId="0" borderId="0" xfId="0" applyFill="1" applyBorder="1" applyAlignment="1" applyProtection="1">
      <alignment horizontal="right"/>
    </xf>
    <xf numFmtId="164" fontId="4" fillId="0" borderId="13" xfId="0" applyNumberFormat="1" applyFont="1" applyFill="1" applyBorder="1" applyAlignment="1" applyProtection="1">
      <alignment horizontal="left" wrapText="1"/>
    </xf>
    <xf numFmtId="165" fontId="4" fillId="0" borderId="13" xfId="0" applyNumberFormat="1" applyFont="1" applyFill="1" applyBorder="1" applyAlignment="1" applyProtection="1">
      <alignment horizontal="center"/>
    </xf>
    <xf numFmtId="37" fontId="4" fillId="0" borderId="13" xfId="0" applyNumberFormat="1" applyFont="1" applyFill="1" applyBorder="1" applyAlignment="1" applyProtection="1">
      <alignment horizontal="center"/>
    </xf>
    <xf numFmtId="4" fontId="4" fillId="0" borderId="13" xfId="0" applyNumberFormat="1" applyFont="1" applyFill="1" applyBorder="1" applyProtection="1"/>
    <xf numFmtId="7" fontId="4" fillId="0" borderId="13" xfId="0" applyNumberFormat="1" applyFont="1" applyFill="1" applyBorder="1" applyProtection="1"/>
    <xf numFmtId="165" fontId="4" fillId="0" borderId="9" xfId="0" applyNumberFormat="1" applyFont="1" applyFill="1" applyBorder="1" applyAlignment="1" applyProtection="1">
      <alignment horizontal="right"/>
    </xf>
    <xf numFmtId="39" fontId="4" fillId="0" borderId="9" xfId="0" applyNumberFormat="1" applyFont="1" applyFill="1" applyBorder="1" applyAlignment="1" applyProtection="1">
      <alignment horizontal="right"/>
    </xf>
    <xf numFmtId="4" fontId="4" fillId="0" borderId="9" xfId="0" applyNumberFormat="1" applyFont="1" applyFill="1" applyBorder="1" applyAlignment="1" applyProtection="1">
      <alignment horizontal="right"/>
    </xf>
    <xf numFmtId="175" fontId="4" fillId="0" borderId="9" xfId="0" applyNumberFormat="1" applyFont="1" applyFill="1" applyBorder="1" applyAlignment="1" applyProtection="1">
      <alignment horizontal="right"/>
    </xf>
    <xf numFmtId="37" fontId="0" fillId="0" borderId="1" xfId="0" applyNumberFormat="1" applyFill="1" applyBorder="1" applyAlignment="1" applyProtection="1">
      <alignment horizontal="right"/>
    </xf>
    <xf numFmtId="37" fontId="0" fillId="0" borderId="1" xfId="0" applyNumberFormat="1" applyFill="1" applyBorder="1" applyProtection="1"/>
    <xf numFmtId="4" fontId="0" fillId="0" borderId="1" xfId="0" applyNumberFormat="1" applyFill="1" applyBorder="1" applyProtection="1"/>
    <xf numFmtId="165" fontId="4" fillId="0" borderId="1" xfId="0" applyNumberFormat="1" applyFont="1" applyFill="1" applyBorder="1" applyAlignment="1" applyProtection="1">
      <alignment horizontal="right"/>
    </xf>
    <xf numFmtId="39" fontId="4" fillId="0" borderId="1" xfId="0" applyNumberFormat="1" applyFont="1" applyFill="1" applyBorder="1" applyAlignment="1" applyProtection="1">
      <alignment horizontal="right"/>
    </xf>
    <xf numFmtId="175" fontId="4" fillId="0" borderId="1" xfId="0" applyNumberFormat="1" applyFont="1" applyFill="1" applyBorder="1" applyAlignment="1" applyProtection="1">
      <alignment horizontal="right"/>
    </xf>
    <xf numFmtId="4" fontId="4" fillId="0" borderId="1" xfId="0" applyNumberFormat="1" applyFont="1" applyFill="1" applyBorder="1" applyAlignment="1" applyProtection="1">
      <alignment horizontal="right"/>
    </xf>
    <xf numFmtId="164" fontId="0" fillId="0" borderId="1" xfId="0" applyFill="1" applyBorder="1" applyAlignment="1" applyProtection="1">
      <alignment horizontal="right"/>
    </xf>
    <xf numFmtId="164" fontId="0" fillId="0" borderId="9" xfId="0" applyFill="1" applyBorder="1" applyAlignment="1" applyProtection="1">
      <alignment horizontal="right"/>
    </xf>
    <xf numFmtId="2" fontId="4" fillId="0" borderId="0" xfId="0" applyNumberFormat="1" applyFont="1" applyFill="1" applyProtection="1"/>
    <xf numFmtId="164" fontId="4" fillId="0" borderId="0" xfId="0" applyFont="1" applyFill="1"/>
    <xf numFmtId="164" fontId="4" fillId="0" borderId="0" xfId="0" applyNumberFormat="1" applyFont="1" applyFill="1" applyAlignment="1" applyProtection="1">
      <alignment horizontal="left"/>
    </xf>
    <xf numFmtId="164" fontId="0" fillId="0" borderId="18" xfId="0" applyFill="1" applyBorder="1"/>
    <xf numFmtId="164" fontId="0" fillId="0" borderId="18" xfId="0" applyFill="1" applyBorder="1" applyAlignment="1" applyProtection="1">
      <alignment horizontal="center"/>
    </xf>
    <xf numFmtId="164" fontId="0" fillId="0" borderId="19" xfId="0" applyFill="1" applyBorder="1"/>
    <xf numFmtId="164" fontId="0" fillId="0" borderId="20" xfId="0" applyFill="1" applyBorder="1"/>
    <xf numFmtId="164" fontId="0" fillId="0" borderId="21" xfId="0" applyFill="1" applyBorder="1"/>
    <xf numFmtId="164" fontId="0" fillId="0" borderId="22" xfId="0" applyFill="1" applyBorder="1"/>
    <xf numFmtId="164" fontId="0" fillId="0" borderId="20" xfId="0" applyFill="1" applyBorder="1" applyAlignment="1" applyProtection="1">
      <alignment horizontal="center"/>
    </xf>
    <xf numFmtId="164" fontId="0" fillId="0" borderId="22" xfId="0" applyFill="1" applyBorder="1" applyAlignment="1" applyProtection="1">
      <alignment horizontal="center"/>
    </xf>
    <xf numFmtId="168" fontId="0" fillId="0" borderId="20" xfId="0" applyNumberFormat="1" applyFill="1" applyBorder="1" applyProtection="1"/>
    <xf numFmtId="168" fontId="0" fillId="0" borderId="0" xfId="0" applyNumberFormat="1" applyFill="1" applyProtection="1"/>
    <xf numFmtId="37" fontId="0" fillId="0" borderId="0" xfId="0" applyNumberFormat="1" applyFill="1" applyProtection="1"/>
    <xf numFmtId="168" fontId="0" fillId="0" borderId="22" xfId="0" applyNumberFormat="1" applyFill="1" applyBorder="1" applyProtection="1"/>
    <xf numFmtId="37" fontId="0" fillId="0" borderId="9" xfId="0" applyNumberFormat="1" applyFill="1" applyBorder="1" applyAlignment="1" applyProtection="1">
      <alignment horizontal="right"/>
    </xf>
    <xf numFmtId="164" fontId="0" fillId="0" borderId="14" xfId="0" applyNumberFormat="1" applyBorder="1" applyAlignment="1" applyProtection="1">
      <alignment horizontal="left" wrapText="1"/>
    </xf>
    <xf numFmtId="4" fontId="0" fillId="0" borderId="14" xfId="0" applyNumberFormat="1" applyBorder="1" applyProtection="1"/>
    <xf numFmtId="7" fontId="0" fillId="0" borderId="14" xfId="0" applyNumberFormat="1" applyBorder="1" applyProtection="1"/>
    <xf numFmtId="2" fontId="0" fillId="3" borderId="7" xfId="0" applyNumberFormat="1" applyFill="1" applyBorder="1" applyProtection="1"/>
    <xf numFmtId="37" fontId="0" fillId="3" borderId="7" xfId="0" applyNumberFormat="1" applyFill="1" applyBorder="1" applyProtection="1"/>
    <xf numFmtId="4" fontId="0" fillId="3" borderId="7" xfId="0" applyNumberFormat="1" applyFill="1" applyBorder="1" applyProtection="1"/>
    <xf numFmtId="4" fontId="0" fillId="0" borderId="0" xfId="0" applyNumberFormat="1" applyFill="1"/>
    <xf numFmtId="164" fontId="0" fillId="0" borderId="0" xfId="0" applyNumberFormat="1" applyFill="1"/>
    <xf numFmtId="164" fontId="0" fillId="0" borderId="14" xfId="0" applyBorder="1" applyAlignment="1" applyProtection="1">
      <alignment horizontal="left"/>
    </xf>
    <xf numFmtId="2" fontId="0" fillId="0" borderId="14" xfId="0" applyNumberFormat="1" applyBorder="1" applyAlignment="1" applyProtection="1">
      <alignment horizontal="right"/>
    </xf>
    <xf numFmtId="164" fontId="0" fillId="0" borderId="14" xfId="0" applyBorder="1" applyAlignment="1" applyProtection="1">
      <alignment horizontal="right"/>
    </xf>
    <xf numFmtId="4" fontId="0" fillId="0" borderId="14" xfId="0" applyNumberFormat="1" applyBorder="1" applyAlignment="1" applyProtection="1">
      <alignment horizontal="right"/>
    </xf>
    <xf numFmtId="7" fontId="0" fillId="0" borderId="14" xfId="0" applyNumberFormat="1" applyBorder="1" applyAlignment="1" applyProtection="1">
      <alignment horizontal="right"/>
    </xf>
    <xf numFmtId="2" fontId="0" fillId="0" borderId="7" xfId="0" applyNumberFormat="1" applyBorder="1" applyAlignment="1" applyProtection="1">
      <alignment horizontal="right"/>
    </xf>
    <xf numFmtId="164" fontId="0" fillId="0" borderId="7" xfId="0" applyBorder="1" applyAlignment="1">
      <alignment horizontal="right"/>
    </xf>
    <xf numFmtId="4" fontId="0" fillId="0" borderId="7" xfId="0" applyNumberFormat="1" applyBorder="1" applyAlignment="1" applyProtection="1">
      <alignment horizontal="right"/>
    </xf>
    <xf numFmtId="7" fontId="0" fillId="0" borderId="8" xfId="0" applyNumberFormat="1" applyBorder="1" applyAlignment="1" applyProtection="1">
      <alignment horizontal="right"/>
    </xf>
    <xf numFmtId="37" fontId="3" fillId="0" borderId="1" xfId="0" applyNumberFormat="1" applyFont="1" applyBorder="1" applyProtection="1"/>
    <xf numFmtId="7" fontId="4" fillId="2" borderId="0" xfId="0" applyNumberFormat="1" applyFont="1" applyFill="1" applyBorder="1" applyProtection="1"/>
    <xf numFmtId="7" fontId="4" fillId="0" borderId="5" xfId="0" applyNumberFormat="1" applyFont="1" applyBorder="1" applyProtection="1"/>
    <xf numFmtId="7" fontId="4" fillId="2" borderId="0" xfId="0" applyNumberFormat="1" applyFont="1" applyFill="1" applyBorder="1"/>
    <xf numFmtId="164" fontId="0" fillId="0" borderId="0" xfId="0" applyFill="1" applyBorder="1" applyAlignment="1">
      <alignment horizontal="center"/>
    </xf>
    <xf numFmtId="4" fontId="4" fillId="0" borderId="0" xfId="0" applyNumberFormat="1" applyFont="1" applyFill="1" applyBorder="1" applyAlignment="1">
      <alignment horizontal="center"/>
    </xf>
    <xf numFmtId="165" fontId="0" fillId="0" borderId="0" xfId="0" applyNumberFormat="1" applyFill="1" applyBorder="1" applyAlignment="1" applyProtection="1">
      <alignment horizontal="center"/>
    </xf>
    <xf numFmtId="164" fontId="4" fillId="0" borderId="11" xfId="0" applyNumberFormat="1" applyFont="1" applyBorder="1" applyAlignment="1" applyProtection="1">
      <alignment horizontal="centerContinuous"/>
    </xf>
    <xf numFmtId="164" fontId="4" fillId="0" borderId="11" xfId="0" applyFont="1" applyBorder="1" applyAlignment="1">
      <alignment horizontal="centerContinuous"/>
    </xf>
    <xf numFmtId="4" fontId="4" fillId="0" borderId="11" xfId="0" applyNumberFormat="1" applyFont="1" applyBorder="1" applyAlignment="1" applyProtection="1">
      <alignment horizontal="centerContinuous"/>
    </xf>
    <xf numFmtId="7" fontId="4" fillId="0" borderId="11" xfId="0" applyNumberFormat="1" applyFont="1" applyBorder="1" applyAlignment="1">
      <alignment horizontal="centerContinuous"/>
    </xf>
    <xf numFmtId="164" fontId="4" fillId="0" borderId="0" xfId="0" applyNumberFormat="1" applyFont="1" applyBorder="1" applyAlignment="1" applyProtection="1">
      <alignment horizontal="centerContinuous"/>
    </xf>
    <xf numFmtId="164" fontId="4" fillId="0" borderId="0" xfId="0" applyFont="1" applyBorder="1" applyAlignment="1">
      <alignment horizontal="centerContinuous"/>
    </xf>
    <xf numFmtId="4" fontId="4" fillId="0" borderId="0" xfId="0" applyNumberFormat="1" applyFont="1" applyBorder="1" applyProtection="1"/>
    <xf numFmtId="164" fontId="4" fillId="0" borderId="0" xfId="0" applyFont="1" applyFill="1" applyBorder="1" applyAlignment="1">
      <alignment horizontal="center"/>
    </xf>
    <xf numFmtId="164" fontId="14" fillId="0" borderId="0" xfId="0" applyNumberFormat="1" applyFont="1" applyAlignment="1" applyProtection="1">
      <alignment horizontal="left"/>
    </xf>
    <xf numFmtId="164" fontId="15" fillId="0" borderId="0" xfId="0" applyNumberFormat="1" applyFont="1" applyAlignment="1" applyProtection="1">
      <alignment horizontal="left"/>
    </xf>
    <xf numFmtId="164" fontId="15" fillId="0" borderId="0" xfId="0" applyFont="1"/>
    <xf numFmtId="164" fontId="15" fillId="0" borderId="0" xfId="0" applyFont="1" applyAlignment="1" applyProtection="1">
      <alignment horizontal="left"/>
    </xf>
    <xf numFmtId="164" fontId="16" fillId="0" borderId="0" xfId="0" applyFont="1" applyAlignment="1" applyProtection="1">
      <alignment horizontal="left"/>
    </xf>
    <xf numFmtId="164" fontId="17" fillId="0" borderId="0" xfId="0" applyNumberFormat="1" applyFont="1" applyAlignment="1" applyProtection="1">
      <alignment horizontal="lef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7EFE-233C-4079-989B-5FC3740483C3}">
  <sheetPr codeName="Sheet1"/>
  <dimension ref="A1:D45"/>
  <sheetViews>
    <sheetView tabSelected="1" zoomScaleNormal="100" workbookViewId="0">
      <selection activeCell="H62" sqref="H62"/>
    </sheetView>
  </sheetViews>
  <sheetFormatPr defaultRowHeight="10.199999999999999" x14ac:dyDescent="0.2"/>
  <cols>
    <col min="1" max="1" width="40.42578125" style="145" customWidth="1"/>
    <col min="2" max="2" width="10.42578125" customWidth="1"/>
    <col min="4" max="4" width="9.140625" style="33" hidden="1" customWidth="1"/>
  </cols>
  <sheetData>
    <row r="1" spans="1:4" x14ac:dyDescent="0.2">
      <c r="A1" s="357"/>
      <c r="B1" s="372"/>
      <c r="C1" s="372" t="s">
        <v>567</v>
      </c>
      <c r="D1" s="373"/>
    </row>
    <row r="2" spans="1:4" x14ac:dyDescent="0.2">
      <c r="A2" s="357" t="s">
        <v>680</v>
      </c>
      <c r="B2" s="91"/>
      <c r="C2" s="91">
        <v>0</v>
      </c>
      <c r="D2" s="364"/>
    </row>
    <row r="3" spans="1:4" x14ac:dyDescent="0.2">
      <c r="A3" s="357" t="s">
        <v>241</v>
      </c>
      <c r="B3" s="91"/>
      <c r="C3" s="91">
        <v>0</v>
      </c>
      <c r="D3" s="364"/>
    </row>
    <row r="4" spans="1:4" x14ac:dyDescent="0.2">
      <c r="A4" s="357" t="s">
        <v>514</v>
      </c>
      <c r="B4" s="91"/>
      <c r="C4" s="91">
        <v>0</v>
      </c>
      <c r="D4" s="364"/>
    </row>
    <row r="6" spans="1:4" x14ac:dyDescent="0.2">
      <c r="A6" s="357" t="s">
        <v>574</v>
      </c>
      <c r="B6" s="91"/>
      <c r="C6" s="91">
        <v>36</v>
      </c>
      <c r="D6" s="364"/>
    </row>
    <row r="7" spans="1:4" x14ac:dyDescent="0.2">
      <c r="A7" s="357" t="s">
        <v>273</v>
      </c>
      <c r="B7" s="91"/>
      <c r="C7" s="91">
        <v>0</v>
      </c>
      <c r="D7" s="364"/>
    </row>
    <row r="8" spans="1:4" x14ac:dyDescent="0.2">
      <c r="A8" s="357" t="s">
        <v>274</v>
      </c>
      <c r="B8" s="91"/>
      <c r="C8" s="91">
        <v>1</v>
      </c>
      <c r="D8" s="364"/>
    </row>
    <row r="9" spans="1:4" x14ac:dyDescent="0.2">
      <c r="A9" s="357" t="s">
        <v>515</v>
      </c>
      <c r="B9" s="91"/>
      <c r="C9" s="91">
        <f>C7+C8</f>
        <v>1</v>
      </c>
      <c r="D9" s="364"/>
    </row>
    <row r="10" spans="1:4" x14ac:dyDescent="0.2">
      <c r="A10" s="357" t="s">
        <v>516</v>
      </c>
      <c r="B10" s="91"/>
      <c r="C10" s="91">
        <v>36</v>
      </c>
      <c r="D10" s="364"/>
    </row>
    <row r="11" spans="1:4" hidden="1" x14ac:dyDescent="0.2">
      <c r="A11" s="357"/>
      <c r="B11" s="91"/>
      <c r="C11" s="91"/>
      <c r="D11" s="364"/>
    </row>
    <row r="12" spans="1:4" hidden="1" x14ac:dyDescent="0.2">
      <c r="A12" s="365"/>
      <c r="B12" s="91"/>
      <c r="C12" s="91"/>
      <c r="D12" s="364"/>
    </row>
    <row r="13" spans="1:4" hidden="1" x14ac:dyDescent="0.2">
      <c r="A13" s="365"/>
      <c r="B13" s="91"/>
      <c r="C13" s="91"/>
      <c r="D13" s="364"/>
    </row>
    <row r="14" spans="1:4" hidden="1" x14ac:dyDescent="0.2">
      <c r="A14" s="365"/>
      <c r="B14" s="91"/>
      <c r="C14" s="91"/>
      <c r="D14" s="364"/>
    </row>
    <row r="15" spans="1:4" hidden="1" x14ac:dyDescent="0.2">
      <c r="A15" s="365"/>
      <c r="B15" s="91"/>
      <c r="C15" s="91"/>
      <c r="D15" s="364"/>
    </row>
    <row r="16" spans="1:4" hidden="1" x14ac:dyDescent="0.2">
      <c r="A16" s="365"/>
      <c r="B16" s="359"/>
      <c r="C16" s="91"/>
      <c r="D16" s="364"/>
    </row>
    <row r="17" spans="1:4" hidden="1" x14ac:dyDescent="0.2">
      <c r="A17" s="365"/>
      <c r="B17" s="91"/>
      <c r="C17" s="91"/>
      <c r="D17" s="364"/>
    </row>
    <row r="18" spans="1:4" hidden="1" x14ac:dyDescent="0.2">
      <c r="A18" s="365"/>
      <c r="B18" s="91"/>
      <c r="C18" s="91"/>
      <c r="D18" s="364"/>
    </row>
    <row r="19" spans="1:4" hidden="1" x14ac:dyDescent="0.2">
      <c r="A19" s="365"/>
      <c r="B19" s="359"/>
      <c r="C19" s="91"/>
      <c r="D19" s="364"/>
    </row>
    <row r="20" spans="1:4" hidden="1" x14ac:dyDescent="0.2">
      <c r="A20" s="365"/>
      <c r="B20" s="91"/>
      <c r="C20" s="91"/>
      <c r="D20" s="364"/>
    </row>
    <row r="21" spans="1:4" hidden="1" x14ac:dyDescent="0.2">
      <c r="A21" s="365"/>
      <c r="B21" s="91"/>
      <c r="C21" s="91"/>
      <c r="D21" s="364"/>
    </row>
    <row r="22" spans="1:4" hidden="1" x14ac:dyDescent="0.2">
      <c r="A22" s="365"/>
      <c r="B22" s="91"/>
      <c r="C22" s="91"/>
      <c r="D22" s="364"/>
    </row>
    <row r="23" spans="1:4" hidden="1" x14ac:dyDescent="0.2">
      <c r="A23" s="365"/>
      <c r="B23" s="91"/>
      <c r="C23" s="91"/>
      <c r="D23" s="364"/>
    </row>
    <row r="24" spans="1:4" hidden="1" x14ac:dyDescent="0.2">
      <c r="A24" s="365"/>
      <c r="B24" s="91"/>
      <c r="C24" s="91"/>
      <c r="D24" s="364"/>
    </row>
    <row r="25" spans="1:4" hidden="1" x14ac:dyDescent="0.2">
      <c r="A25" s="357"/>
      <c r="B25" s="91"/>
      <c r="C25" s="91"/>
      <c r="D25" s="364"/>
    </row>
    <row r="26" spans="1:4" hidden="1" x14ac:dyDescent="0.2">
      <c r="A26" s="366"/>
      <c r="B26" s="358"/>
      <c r="C26" s="360"/>
      <c r="D26" s="364"/>
    </row>
    <row r="27" spans="1:4" hidden="1" x14ac:dyDescent="0.2">
      <c r="A27" s="367"/>
      <c r="B27" s="91"/>
      <c r="C27" s="91"/>
      <c r="D27" s="364"/>
    </row>
    <row r="28" spans="1:4" hidden="1" x14ac:dyDescent="0.2">
      <c r="A28" s="368"/>
      <c r="B28" s="361"/>
      <c r="C28" s="362"/>
      <c r="D28" s="364"/>
    </row>
    <row r="29" spans="1:4" hidden="1" x14ac:dyDescent="0.2">
      <c r="A29" s="368"/>
      <c r="B29" s="361"/>
      <c r="C29" s="361"/>
      <c r="D29" s="364"/>
    </row>
    <row r="30" spans="1:4" hidden="1" x14ac:dyDescent="0.2">
      <c r="A30" s="369"/>
      <c r="B30" s="361"/>
      <c r="C30" s="363"/>
      <c r="D30" s="364"/>
    </row>
    <row r="31" spans="1:4" hidden="1" x14ac:dyDescent="0.2">
      <c r="A31" s="357"/>
      <c r="B31" s="91"/>
      <c r="C31" s="91"/>
      <c r="D31" s="364"/>
    </row>
    <row r="32" spans="1:4" hidden="1" x14ac:dyDescent="0.2">
      <c r="A32" s="357"/>
      <c r="B32" s="91"/>
      <c r="C32" s="91"/>
      <c r="D32" s="364"/>
    </row>
    <row r="33" spans="1:4" hidden="1" x14ac:dyDescent="0.2">
      <c r="A33" s="371"/>
      <c r="B33" s="359"/>
      <c r="C33" s="91"/>
      <c r="D33" s="364"/>
    </row>
    <row r="34" spans="1:4" hidden="1" x14ac:dyDescent="0.2">
      <c r="A34" s="357"/>
      <c r="B34" s="91"/>
      <c r="C34" s="91"/>
      <c r="D34" s="364"/>
    </row>
    <row r="35" spans="1:4" hidden="1" x14ac:dyDescent="0.2">
      <c r="A35" s="371"/>
      <c r="B35" s="359"/>
      <c r="C35" s="91"/>
    </row>
    <row r="36" spans="1:4" hidden="1" x14ac:dyDescent="0.2">
      <c r="A36" s="357"/>
      <c r="B36" s="91"/>
      <c r="C36" s="91"/>
    </row>
    <row r="37" spans="1:4" hidden="1" x14ac:dyDescent="0.2">
      <c r="A37" s="357"/>
      <c r="B37" s="91"/>
      <c r="C37" s="91"/>
    </row>
    <row r="38" spans="1:4" hidden="1" x14ac:dyDescent="0.2">
      <c r="A38" s="357"/>
      <c r="B38" s="91"/>
      <c r="C38" s="91"/>
    </row>
    <row r="39" spans="1:4" hidden="1" x14ac:dyDescent="0.2">
      <c r="A39" s="357"/>
      <c r="B39" s="91"/>
      <c r="C39" s="91"/>
    </row>
    <row r="40" spans="1:4" hidden="1" x14ac:dyDescent="0.2">
      <c r="A40" s="357"/>
      <c r="B40" s="91"/>
      <c r="C40" s="91"/>
    </row>
    <row r="41" spans="1:4" hidden="1" x14ac:dyDescent="0.2">
      <c r="A41" s="416"/>
      <c r="B41" s="33"/>
      <c r="C41" s="33"/>
    </row>
    <row r="42" spans="1:4" hidden="1" x14ac:dyDescent="0.2">
      <c r="B42" s="417"/>
      <c r="C42" s="417"/>
    </row>
    <row r="43" spans="1:4" hidden="1" x14ac:dyDescent="0.2">
      <c r="A43" s="370"/>
      <c r="B43" s="361"/>
      <c r="C43" s="91"/>
      <c r="D43" s="364"/>
    </row>
    <row r="44" spans="1:4" hidden="1" x14ac:dyDescent="0.2">
      <c r="A44" s="357"/>
      <c r="B44" s="91"/>
      <c r="C44" s="91"/>
      <c r="D44" s="364"/>
    </row>
    <row r="45" spans="1:4" hidden="1" x14ac:dyDescent="0.2">
      <c r="A45" s="357"/>
      <c r="B45" s="91"/>
      <c r="C45" s="91"/>
      <c r="D45" s="364"/>
    </row>
  </sheetData>
  <phoneticPr fontId="8" type="noConversion"/>
  <printOptions horizontalCentered="1"/>
  <pageMargins left="0.1" right="0.1" top="0.5" bottom="0.5" header="0.5" footer="0.5"/>
  <pageSetup scale="88" orientation="landscape" r:id="rId1"/>
  <headerFooter alignWithMargins="0">
    <oddHeader>&amp;F</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2880-B2A9-475C-A354-EA92A28AC34F}">
  <sheetPr syncVertical="1" syncRef="A24" transitionEvaluation="1" transitionEntry="1" codeName="Sheet9"/>
  <dimension ref="A1:P309"/>
  <sheetViews>
    <sheetView showGridLines="0" topLeftCell="A24" zoomScaleNormal="100" workbookViewId="0">
      <selection activeCell="V41" sqref="V41"/>
    </sheetView>
  </sheetViews>
  <sheetFormatPr defaultColWidth="9.7109375" defaultRowHeight="10.199999999999999" x14ac:dyDescent="0.2"/>
  <cols>
    <col min="1" max="1" width="48.140625" customWidth="1"/>
    <col min="2" max="2" width="8.7109375" customWidth="1"/>
    <col min="3" max="3" width="9.7109375" customWidth="1"/>
    <col min="4" max="4" width="8.7109375" customWidth="1"/>
    <col min="5" max="8" width="9.7109375" customWidth="1"/>
    <col min="9" max="9" width="9.7109375" hidden="1" customWidth="1"/>
    <col min="10" max="10" width="12.42578125" customWidth="1"/>
    <col min="11" max="11" width="9.7109375" style="42"/>
    <col min="12" max="12" width="13.7109375" customWidth="1"/>
    <col min="13" max="13" width="11.7109375" customWidth="1"/>
    <col min="14" max="14" width="13.7109375" hidden="1" customWidth="1"/>
    <col min="15" max="15" width="0" hidden="1" customWidth="1"/>
    <col min="16" max="16" width="9.42578125" hidden="1" customWidth="1"/>
    <col min="18" max="18" width="9.7109375" customWidth="1"/>
  </cols>
  <sheetData>
    <row r="1" spans="1:16" x14ac:dyDescent="0.2">
      <c r="M1" s="2"/>
    </row>
    <row r="2" spans="1:16" ht="18" x14ac:dyDescent="0.35">
      <c r="A2" s="572" t="s">
        <v>701</v>
      </c>
      <c r="J2" s="7"/>
      <c r="M2" s="2"/>
    </row>
    <row r="3" spans="1:16" ht="18" x14ac:dyDescent="0.35">
      <c r="A3" s="572" t="s">
        <v>486</v>
      </c>
    </row>
    <row r="4" spans="1:16" ht="18" x14ac:dyDescent="0.35">
      <c r="A4" s="572" t="s">
        <v>383</v>
      </c>
      <c r="J4" s="7"/>
      <c r="M4" s="2"/>
    </row>
    <row r="5" spans="1:16" ht="18" x14ac:dyDescent="0.35">
      <c r="A5" s="573" t="s">
        <v>230</v>
      </c>
      <c r="J5" s="7"/>
      <c r="M5" s="2"/>
    </row>
    <row r="6" spans="1:16" x14ac:dyDescent="0.2">
      <c r="A6" s="11"/>
      <c r="B6" s="6"/>
      <c r="C6" s="6"/>
      <c r="D6" s="6"/>
      <c r="E6" s="6"/>
      <c r="F6" s="6"/>
      <c r="G6" s="6"/>
      <c r="H6" s="6"/>
      <c r="I6" s="6"/>
      <c r="L6" s="2"/>
      <c r="M6" s="4"/>
    </row>
    <row r="7" spans="1:16" x14ac:dyDescent="0.2">
      <c r="B7" s="14"/>
      <c r="C7" s="14"/>
      <c r="D7" s="14"/>
      <c r="E7" s="14"/>
      <c r="F7" s="14"/>
      <c r="G7" s="27"/>
      <c r="H7" s="14"/>
      <c r="I7" s="14"/>
      <c r="J7" s="69"/>
      <c r="K7" s="79"/>
      <c r="L7" s="62"/>
      <c r="M7" s="58"/>
    </row>
    <row r="8" spans="1:16" x14ac:dyDescent="0.2">
      <c r="B8" s="57" t="s">
        <v>682</v>
      </c>
      <c r="C8" s="58"/>
      <c r="D8" s="58"/>
      <c r="E8" s="58"/>
      <c r="F8" s="58"/>
      <c r="G8" s="61"/>
      <c r="H8" s="58"/>
      <c r="I8" s="58"/>
      <c r="J8" s="59" t="s">
        <v>577</v>
      </c>
      <c r="K8" s="80"/>
      <c r="L8" s="60"/>
    </row>
    <row r="9" spans="1:16" x14ac:dyDescent="0.2">
      <c r="B9" s="54"/>
      <c r="C9" s="51"/>
      <c r="D9" s="51"/>
      <c r="E9" s="51"/>
      <c r="F9" s="55"/>
      <c r="G9" s="52"/>
      <c r="H9" s="51"/>
      <c r="I9" s="51"/>
      <c r="J9" s="72"/>
      <c r="K9" s="67"/>
      <c r="L9" s="56"/>
    </row>
    <row r="10" spans="1:16" x14ac:dyDescent="0.2">
      <c r="B10" s="9" t="s">
        <v>569</v>
      </c>
      <c r="C10" s="13" t="s">
        <v>570</v>
      </c>
      <c r="D10" s="13" t="s">
        <v>571</v>
      </c>
      <c r="E10" s="13" t="s">
        <v>572</v>
      </c>
      <c r="F10" s="13" t="s">
        <v>578</v>
      </c>
      <c r="G10" s="419"/>
      <c r="H10" s="418"/>
      <c r="I10" s="418"/>
      <c r="J10" s="36"/>
      <c r="K10" s="420"/>
      <c r="L10" s="33"/>
    </row>
    <row r="11" spans="1:16" x14ac:dyDescent="0.2">
      <c r="B11" s="10">
        <f>Costs!$B$10</f>
        <v>94.34</v>
      </c>
      <c r="C11" s="10">
        <f>Costs!$B$11</f>
        <v>67.86</v>
      </c>
      <c r="D11" s="10">
        <f>Costs!$B$12</f>
        <v>47.62</v>
      </c>
      <c r="E11" s="10">
        <f>Costs!$B$13</f>
        <v>28.96</v>
      </c>
      <c r="F11" s="10" t="s">
        <v>275</v>
      </c>
      <c r="G11" s="1" t="s">
        <v>244</v>
      </c>
      <c r="H11" s="30" t="s">
        <v>585</v>
      </c>
      <c r="I11" s="30"/>
      <c r="J11" s="13" t="s">
        <v>568</v>
      </c>
      <c r="K11" s="43" t="s">
        <v>582</v>
      </c>
      <c r="L11" s="13" t="s">
        <v>271</v>
      </c>
      <c r="M11" s="2"/>
      <c r="N11" s="14" t="s">
        <v>578</v>
      </c>
      <c r="O11" s="10" t="s">
        <v>280</v>
      </c>
      <c r="P11" s="10" t="s">
        <v>586</v>
      </c>
    </row>
    <row r="12" spans="1:16" x14ac:dyDescent="0.2">
      <c r="A12" s="11" t="s">
        <v>588</v>
      </c>
      <c r="B12" s="1" t="s">
        <v>590</v>
      </c>
      <c r="C12" s="1" t="s">
        <v>590</v>
      </c>
      <c r="D12" s="1" t="s">
        <v>590</v>
      </c>
      <c r="E12" s="1" t="s">
        <v>590</v>
      </c>
      <c r="F12" s="40" t="s">
        <v>276</v>
      </c>
      <c r="G12" s="1" t="s">
        <v>592</v>
      </c>
      <c r="H12" s="30" t="s">
        <v>592</v>
      </c>
      <c r="I12" s="30"/>
      <c r="J12" s="13" t="s">
        <v>593</v>
      </c>
      <c r="K12" s="43" t="s">
        <v>591</v>
      </c>
      <c r="L12" s="13" t="s">
        <v>272</v>
      </c>
      <c r="M12" s="2"/>
      <c r="N12" s="20" t="s">
        <v>592</v>
      </c>
      <c r="O12" s="10"/>
      <c r="P12" s="10" t="s">
        <v>592</v>
      </c>
    </row>
    <row r="13" spans="1:16" x14ac:dyDescent="0.2">
      <c r="A13" s="456" t="s">
        <v>386</v>
      </c>
      <c r="B13" s="252"/>
      <c r="C13" s="252"/>
      <c r="D13" s="252"/>
      <c r="E13" s="252"/>
      <c r="F13" s="252"/>
      <c r="G13" s="252"/>
      <c r="H13" s="252"/>
      <c r="I13" s="252"/>
      <c r="J13" s="458"/>
      <c r="K13" s="459"/>
      <c r="L13" s="473"/>
      <c r="M13" s="2"/>
    </row>
    <row r="14" spans="1:16" x14ac:dyDescent="0.2">
      <c r="A14" s="421" t="s">
        <v>414</v>
      </c>
      <c r="B14" s="92">
        <v>0</v>
      </c>
      <c r="C14" s="92">
        <v>0.25</v>
      </c>
      <c r="D14" s="92">
        <v>0.75</v>
      </c>
      <c r="E14" s="92">
        <v>0</v>
      </c>
      <c r="F14" s="135">
        <f>ROUND(B14*Costs!$B$10+C14*Costs!$B$11+D14*Costs!$B$12+E14*Costs!$B$13,2)</f>
        <v>52.68</v>
      </c>
      <c r="G14" s="32" t="str">
        <f>Costs!$B$62</f>
        <v xml:space="preserve"> </v>
      </c>
      <c r="H14" s="135">
        <f>Costs!$B$16</f>
        <v>0</v>
      </c>
      <c r="I14" s="92"/>
      <c r="J14" s="95">
        <f>'EX 3'!J18</f>
        <v>0</v>
      </c>
      <c r="K14" s="94">
        <f>ROUND((I14+J14)*(B14+C14+D14+E14),2)</f>
        <v>0</v>
      </c>
      <c r="L14" s="136">
        <f>(F14+G14+H14)*(I14+J14)</f>
        <v>0</v>
      </c>
      <c r="M14" s="2"/>
      <c r="N14" s="48">
        <f>F14*(I14+J14)</f>
        <v>0</v>
      </c>
      <c r="O14" s="48">
        <f>G14*(I14+J14)</f>
        <v>0</v>
      </c>
      <c r="P14" s="48">
        <f>H14*(I14+J14)</f>
        <v>0</v>
      </c>
    </row>
    <row r="15" spans="1:16" ht="10.8" thickBot="1" x14ac:dyDescent="0.25">
      <c r="A15" s="424" t="s">
        <v>80</v>
      </c>
      <c r="B15" s="282">
        <v>0</v>
      </c>
      <c r="C15" s="282">
        <v>0</v>
      </c>
      <c r="D15" s="282">
        <v>0</v>
      </c>
      <c r="E15" s="282">
        <v>0.1</v>
      </c>
      <c r="F15" s="426">
        <f>ROUND(B15*Costs!$B$10+C15*Costs!$B$11+D15*Costs!$B$12+E15*Costs!$B$13,2)</f>
        <v>2.9</v>
      </c>
      <c r="G15" s="191" t="str">
        <f>Costs!$B$62</f>
        <v xml:space="preserve"> </v>
      </c>
      <c r="H15" s="426">
        <f>Costs!$B$16</f>
        <v>0</v>
      </c>
      <c r="I15" s="282"/>
      <c r="J15" s="283">
        <f>SUM(J14)</f>
        <v>0</v>
      </c>
      <c r="K15" s="285">
        <f>ROUND((I15+J15)*(B15+C15+D15+E15),2)</f>
        <v>0</v>
      </c>
      <c r="L15" s="441">
        <f>(F15+G15+H15)*(I15+J15)</f>
        <v>0</v>
      </c>
      <c r="M15" s="2"/>
      <c r="N15" s="48">
        <f>F15*(I15+J15)</f>
        <v>0</v>
      </c>
      <c r="O15" s="48">
        <f>G15*(I15+J15)</f>
        <v>0</v>
      </c>
      <c r="P15" s="48">
        <f>H15*(I15+J15)</f>
        <v>0</v>
      </c>
    </row>
    <row r="16" spans="1:16" ht="10.8" thickBot="1" x14ac:dyDescent="0.25">
      <c r="A16" s="430" t="s">
        <v>596</v>
      </c>
      <c r="B16" s="455" t="s">
        <v>597</v>
      </c>
      <c r="C16" s="455" t="s">
        <v>597</v>
      </c>
      <c r="D16" s="455" t="s">
        <v>597</v>
      </c>
      <c r="E16" s="455" t="s">
        <v>597</v>
      </c>
      <c r="F16" s="455" t="s">
        <v>597</v>
      </c>
      <c r="G16" s="455" t="s">
        <v>597</v>
      </c>
      <c r="H16" s="455" t="s">
        <v>597</v>
      </c>
      <c r="I16" s="324"/>
      <c r="J16" s="455" t="s">
        <v>597</v>
      </c>
      <c r="K16" s="304">
        <f>SUM(K14:K15)</f>
        <v>0</v>
      </c>
      <c r="L16" s="294">
        <f>SUM(L14:L15)</f>
        <v>0</v>
      </c>
      <c r="M16" s="2"/>
      <c r="N16" s="93">
        <f>SUM(N14:N15)</f>
        <v>0</v>
      </c>
      <c r="O16" s="93">
        <f>SUM(O14:O15)</f>
        <v>0</v>
      </c>
      <c r="P16" s="93">
        <f>SUM(P14:P15)</f>
        <v>0</v>
      </c>
    </row>
    <row r="17" spans="1:16" x14ac:dyDescent="0.2">
      <c r="A17" s="486" t="s">
        <v>487</v>
      </c>
      <c r="B17" s="340"/>
      <c r="C17" s="340"/>
      <c r="D17" s="340"/>
      <c r="E17" s="340"/>
      <c r="F17" s="340"/>
      <c r="G17" s="340"/>
      <c r="H17" s="340"/>
      <c r="I17" s="340"/>
      <c r="J17" s="496"/>
      <c r="K17" s="343"/>
      <c r="L17" s="344"/>
      <c r="M17" s="2"/>
    </row>
    <row r="18" spans="1:16" x14ac:dyDescent="0.2">
      <c r="A18" s="421" t="s">
        <v>415</v>
      </c>
      <c r="B18" s="92">
        <v>0</v>
      </c>
      <c r="C18" s="92">
        <v>0</v>
      </c>
      <c r="D18" s="92">
        <v>40</v>
      </c>
      <c r="E18" s="92">
        <v>0</v>
      </c>
      <c r="F18" s="135">
        <f>ROUND(B18*Costs!$B$10+C18*Costs!$B$11+D18*Costs!$B$12+E18*Costs!$B$13,2)</f>
        <v>1904.8</v>
      </c>
      <c r="G18" s="32" t="str">
        <f>Costs!$B$62</f>
        <v xml:space="preserve"> </v>
      </c>
      <c r="H18" s="135">
        <f>Costs!$B$16</f>
        <v>0</v>
      </c>
      <c r="I18" s="92"/>
      <c r="J18" s="95">
        <f>'EX 3'!J46</f>
        <v>0</v>
      </c>
      <c r="K18" s="94">
        <f>ROUND((I18+J18)*(B18+C18+D18+E18),2)</f>
        <v>0</v>
      </c>
      <c r="L18" s="136">
        <f>(F18+G18+H18)*(I18+J18)</f>
        <v>0</v>
      </c>
      <c r="M18" s="2"/>
      <c r="N18" s="48">
        <f>F18*(I18+J18)</f>
        <v>0</v>
      </c>
      <c r="O18" s="48">
        <f>G18*(I18+J18)</f>
        <v>0</v>
      </c>
      <c r="P18" s="48">
        <f>H18*(I18+J18)</f>
        <v>0</v>
      </c>
    </row>
    <row r="19" spans="1:16" ht="10.8" thickBot="1" x14ac:dyDescent="0.25">
      <c r="A19" s="424" t="s">
        <v>80</v>
      </c>
      <c r="B19" s="282">
        <v>0</v>
      </c>
      <c r="C19" s="282">
        <v>0</v>
      </c>
      <c r="D19" s="282">
        <v>0</v>
      </c>
      <c r="E19" s="282">
        <v>3</v>
      </c>
      <c r="F19" s="426">
        <f>ROUND(B19*Costs!$B$10+C19*Costs!$B$11+D19*Costs!$B$12+E19*Costs!$B$13,2)</f>
        <v>86.88</v>
      </c>
      <c r="G19" s="191" t="str">
        <f>Costs!$B$62</f>
        <v xml:space="preserve"> </v>
      </c>
      <c r="H19" s="426">
        <f>Costs!$B$16</f>
        <v>0</v>
      </c>
      <c r="I19" s="282"/>
      <c r="J19" s="283">
        <f>SUM(J18)</f>
        <v>0</v>
      </c>
      <c r="K19" s="285">
        <f>ROUND((I19+J19)*(B19+C19+D19+E19),2)</f>
        <v>0</v>
      </c>
      <c r="L19" s="441">
        <f>(F19+G19+H19)*(I19+J19)</f>
        <v>0</v>
      </c>
      <c r="M19" s="2"/>
      <c r="N19" s="48">
        <f>F19*(I19+J19)</f>
        <v>0</v>
      </c>
      <c r="O19" s="48">
        <f>G19*(I19+J19)</f>
        <v>0</v>
      </c>
      <c r="P19" s="48">
        <f>H19*(I19+J19)</f>
        <v>0</v>
      </c>
    </row>
    <row r="20" spans="1:16" ht="10.8" thickBot="1" x14ac:dyDescent="0.25">
      <c r="A20" s="430" t="s">
        <v>596</v>
      </c>
      <c r="B20" s="455" t="s">
        <v>597</v>
      </c>
      <c r="C20" s="455" t="s">
        <v>597</v>
      </c>
      <c r="D20" s="455" t="s">
        <v>597</v>
      </c>
      <c r="E20" s="455" t="s">
        <v>597</v>
      </c>
      <c r="F20" s="455" t="s">
        <v>597</v>
      </c>
      <c r="G20" s="455" t="s">
        <v>597</v>
      </c>
      <c r="H20" s="455" t="s">
        <v>597</v>
      </c>
      <c r="I20" s="324"/>
      <c r="J20" s="455" t="s">
        <v>597</v>
      </c>
      <c r="K20" s="304">
        <f>SUM(K18:K19)</f>
        <v>0</v>
      </c>
      <c r="L20" s="294">
        <f>SUM(L18:L19)</f>
        <v>0</v>
      </c>
      <c r="M20" s="2"/>
      <c r="N20" s="93">
        <f>SUM(N18:N19)</f>
        <v>0</v>
      </c>
      <c r="O20" s="93">
        <f>SUM(O18:O19)</f>
        <v>0</v>
      </c>
      <c r="P20" s="93">
        <f>SUM(P18:P19)</f>
        <v>0</v>
      </c>
    </row>
    <row r="21" spans="1:16" x14ac:dyDescent="0.2">
      <c r="A21" s="486" t="s">
        <v>387</v>
      </c>
      <c r="B21" s="340"/>
      <c r="C21" s="340"/>
      <c r="D21" s="340"/>
      <c r="E21" s="340"/>
      <c r="F21" s="340"/>
      <c r="G21" s="340"/>
      <c r="H21" s="340"/>
      <c r="I21" s="340"/>
      <c r="J21" s="496"/>
      <c r="K21" s="343"/>
      <c r="L21" s="344"/>
      <c r="M21" s="2"/>
    </row>
    <row r="22" spans="1:16" x14ac:dyDescent="0.2">
      <c r="A22" s="421" t="s">
        <v>416</v>
      </c>
      <c r="B22" s="92">
        <v>4</v>
      </c>
      <c r="C22" s="92">
        <v>1</v>
      </c>
      <c r="D22" s="92">
        <v>16</v>
      </c>
      <c r="E22" s="92">
        <v>0</v>
      </c>
      <c r="F22" s="135">
        <f>ROUND(B22*Costs!$B$10+C22*Costs!$B$11+D22*Costs!$B$12+E22*Costs!$B$13,2)</f>
        <v>1207.1400000000001</v>
      </c>
      <c r="G22" s="32" t="str">
        <f>Costs!$B$62</f>
        <v xml:space="preserve"> </v>
      </c>
      <c r="H22" s="135">
        <f>Costs!$B$16</f>
        <v>0</v>
      </c>
      <c r="I22" s="92"/>
      <c r="J22" s="511">
        <f>'EX 3'!J57</f>
        <v>0</v>
      </c>
      <c r="K22" s="94">
        <f>ROUND((I22+J22)*(B22+C22+D22+E22),2)</f>
        <v>0</v>
      </c>
      <c r="L22" s="136">
        <f>(F22+G22+H22)*(I22+J22)</f>
        <v>0</v>
      </c>
      <c r="M22" s="2"/>
      <c r="N22" s="48">
        <f>F22*(I22+J22)</f>
        <v>0</v>
      </c>
      <c r="O22" s="48">
        <f>G22*(I22+J22)</f>
        <v>0</v>
      </c>
      <c r="P22" s="48">
        <f>H22*(I22+J22)</f>
        <v>0</v>
      </c>
    </row>
    <row r="23" spans="1:16" ht="10.8" thickBot="1" x14ac:dyDescent="0.25">
      <c r="A23" s="424" t="s">
        <v>80</v>
      </c>
      <c r="B23" s="282">
        <v>0</v>
      </c>
      <c r="C23" s="282">
        <v>0</v>
      </c>
      <c r="D23" s="282">
        <v>0</v>
      </c>
      <c r="E23" s="282">
        <v>0.25</v>
      </c>
      <c r="F23" s="426">
        <f>ROUND(B23*Costs!$B$10+C23*Costs!$B$11+D23*Costs!$B$12+E23*Costs!$B$13,2)</f>
        <v>7.24</v>
      </c>
      <c r="G23" s="191" t="str">
        <f>Costs!$B$62</f>
        <v xml:space="preserve"> </v>
      </c>
      <c r="H23" s="426">
        <f>Costs!$B$16</f>
        <v>0</v>
      </c>
      <c r="I23" s="282"/>
      <c r="J23" s="535">
        <f>SUM(J22)</f>
        <v>0</v>
      </c>
      <c r="K23" s="285">
        <f>ROUND((I23+J23)*(B23+C23+D23+E23),2)</f>
        <v>0</v>
      </c>
      <c r="L23" s="441">
        <f>(F23+G23+H23)*(I23+J23)</f>
        <v>0</v>
      </c>
      <c r="M23" s="2"/>
      <c r="N23" s="48">
        <f>F23*(I23+J23)</f>
        <v>0</v>
      </c>
      <c r="O23" s="48">
        <f>G23*(I23+J23)</f>
        <v>0</v>
      </c>
      <c r="P23" s="48">
        <f>H23*(I23+J23)</f>
        <v>0</v>
      </c>
    </row>
    <row r="24" spans="1:16" ht="10.8" thickBot="1" x14ac:dyDescent="0.25">
      <c r="A24" s="430" t="s">
        <v>596</v>
      </c>
      <c r="B24" s="324" t="s">
        <v>597</v>
      </c>
      <c r="C24" s="324" t="s">
        <v>597</v>
      </c>
      <c r="D24" s="324" t="s">
        <v>597</v>
      </c>
      <c r="E24" s="324" t="s">
        <v>597</v>
      </c>
      <c r="F24" s="324" t="s">
        <v>597</v>
      </c>
      <c r="G24" s="324" t="s">
        <v>597</v>
      </c>
      <c r="H24" s="324" t="s">
        <v>597</v>
      </c>
      <c r="I24" s="324"/>
      <c r="J24" s="455" t="s">
        <v>597</v>
      </c>
      <c r="K24" s="304">
        <f>SUM(K22:K23)</f>
        <v>0</v>
      </c>
      <c r="L24" s="294">
        <f>SUM(L22:L23)</f>
        <v>0</v>
      </c>
      <c r="M24" s="2"/>
      <c r="N24" s="93">
        <f>SUM(N22:N23)</f>
        <v>0</v>
      </c>
      <c r="O24" s="93">
        <f>SUM(O22:O23)</f>
        <v>0</v>
      </c>
      <c r="P24" s="93">
        <f>SUM(P22:P23)</f>
        <v>0</v>
      </c>
    </row>
    <row r="25" spans="1:16" x14ac:dyDescent="0.2">
      <c r="A25" s="486" t="s">
        <v>393</v>
      </c>
      <c r="B25" s="340"/>
      <c r="C25" s="340"/>
      <c r="D25" s="340"/>
      <c r="E25" s="340"/>
      <c r="F25" s="340"/>
      <c r="G25" s="340"/>
      <c r="H25" s="340"/>
      <c r="I25" s="340"/>
      <c r="J25" s="496"/>
      <c r="K25" s="343"/>
      <c r="L25" s="344"/>
      <c r="M25" s="2"/>
    </row>
    <row r="26" spans="1:16" x14ac:dyDescent="0.2">
      <c r="A26" s="421" t="s">
        <v>417</v>
      </c>
      <c r="B26" s="92">
        <v>0</v>
      </c>
      <c r="C26" s="92">
        <v>0</v>
      </c>
      <c r="D26" s="92">
        <v>2</v>
      </c>
      <c r="E26" s="92">
        <v>0</v>
      </c>
      <c r="F26" s="135">
        <f>ROUND(B26*Costs!$B$10+C26*Costs!$B$11+D26*Costs!$B$12+E26*Costs!$B$13,2)</f>
        <v>95.24</v>
      </c>
      <c r="G26" s="32" t="str">
        <f>Costs!$B$62</f>
        <v xml:space="preserve"> </v>
      </c>
      <c r="H26" s="135">
        <f>Costs!$B$16</f>
        <v>0</v>
      </c>
      <c r="I26" s="92"/>
      <c r="J26" s="95">
        <f>'EX 3'!J77</f>
        <v>0</v>
      </c>
      <c r="K26" s="94">
        <f>ROUND((I26+J26)*(B26+C26+D26+E26),2)</f>
        <v>0</v>
      </c>
      <c r="L26" s="136">
        <f>(F26+G26+H26)*(I26+J26)</f>
        <v>0</v>
      </c>
      <c r="M26" s="2"/>
      <c r="N26" s="48">
        <f>F26*(I26+J26)</f>
        <v>0</v>
      </c>
      <c r="O26" s="48">
        <f>G26*(I26+J26)</f>
        <v>0</v>
      </c>
      <c r="P26" s="48">
        <f>H26*(I26+J26)</f>
        <v>0</v>
      </c>
    </row>
    <row r="27" spans="1:16" ht="10.8" thickBot="1" x14ac:dyDescent="0.25">
      <c r="A27" s="424" t="s">
        <v>180</v>
      </c>
      <c r="B27" s="282">
        <v>0</v>
      </c>
      <c r="C27" s="282">
        <v>0</v>
      </c>
      <c r="D27" s="282">
        <v>0</v>
      </c>
      <c r="E27" s="282">
        <v>0.1</v>
      </c>
      <c r="F27" s="426">
        <f>ROUND(B27*Costs!$B$10+C27*Costs!$B$11+D27*Costs!$B$12+E27*Costs!$B$13,2)</f>
        <v>2.9</v>
      </c>
      <c r="G27" s="191" t="str">
        <f>Costs!$B$62</f>
        <v xml:space="preserve"> </v>
      </c>
      <c r="H27" s="426">
        <f>Costs!$B$16</f>
        <v>0</v>
      </c>
      <c r="I27" s="282"/>
      <c r="J27" s="283">
        <f>SUM(J26)</f>
        <v>0</v>
      </c>
      <c r="K27" s="285">
        <f>ROUND((I27+J27)*(B27+C27+D27+E27),2)</f>
        <v>0</v>
      </c>
      <c r="L27" s="441">
        <f>(F27+G27+H27)*(I27+J27)</f>
        <v>0</v>
      </c>
      <c r="M27" s="2"/>
      <c r="N27" s="48">
        <f>F27*(I27+J27)</f>
        <v>0</v>
      </c>
      <c r="O27" s="48">
        <f>G27*(I27+J27)</f>
        <v>0</v>
      </c>
      <c r="P27" s="48">
        <f>H27*(I27+J27)</f>
        <v>0</v>
      </c>
    </row>
    <row r="28" spans="1:16" ht="10.8" thickBot="1" x14ac:dyDescent="0.25">
      <c r="A28" s="430" t="s">
        <v>596</v>
      </c>
      <c r="B28" s="455" t="s">
        <v>597</v>
      </c>
      <c r="C28" s="455" t="s">
        <v>597</v>
      </c>
      <c r="D28" s="455" t="s">
        <v>597</v>
      </c>
      <c r="E28" s="455" t="s">
        <v>597</v>
      </c>
      <c r="F28" s="455" t="s">
        <v>597</v>
      </c>
      <c r="G28" s="455" t="s">
        <v>597</v>
      </c>
      <c r="H28" s="455" t="s">
        <v>597</v>
      </c>
      <c r="I28" s="324"/>
      <c r="J28" s="455" t="s">
        <v>597</v>
      </c>
      <c r="K28" s="304">
        <f>SUM(K26:K27)</f>
        <v>0</v>
      </c>
      <c r="L28" s="294">
        <f>SUM(L26:L27)</f>
        <v>0</v>
      </c>
      <c r="M28" s="2"/>
      <c r="N28" s="93">
        <f>SUM(N26:N27)</f>
        <v>0</v>
      </c>
      <c r="O28" s="93">
        <f>SUM(O26:O27)</f>
        <v>0</v>
      </c>
      <c r="P28" s="93">
        <f>SUM(P26:P27)</f>
        <v>0</v>
      </c>
    </row>
    <row r="29" spans="1:16" x14ac:dyDescent="0.2">
      <c r="A29" s="486" t="s">
        <v>488</v>
      </c>
      <c r="B29" s="340"/>
      <c r="C29" s="340"/>
      <c r="D29" s="340"/>
      <c r="E29" s="340"/>
      <c r="F29" s="340"/>
      <c r="G29" s="340"/>
      <c r="H29" s="340"/>
      <c r="I29" s="340"/>
      <c r="J29" s="331"/>
      <c r="K29" s="343"/>
      <c r="L29" s="344"/>
    </row>
    <row r="30" spans="1:16" x14ac:dyDescent="0.2">
      <c r="A30" s="421" t="s">
        <v>418</v>
      </c>
      <c r="B30" s="92">
        <v>0</v>
      </c>
      <c r="C30" s="92">
        <v>0</v>
      </c>
      <c r="D30" s="92">
        <v>0</v>
      </c>
      <c r="E30" s="92">
        <v>0.1</v>
      </c>
      <c r="F30" s="135">
        <f>ROUND(B30*Costs!$B$10+C30*Costs!$B$11+D30*Costs!$B$12+E30*Costs!$B$13,2)</f>
        <v>2.9</v>
      </c>
      <c r="G30" s="32" t="str">
        <f>Costs!$B$62</f>
        <v xml:space="preserve"> </v>
      </c>
      <c r="H30" s="135">
        <f>Costs!$B$16</f>
        <v>0</v>
      </c>
      <c r="I30" s="92"/>
      <c r="J30" s="95">
        <f>'EX 3'!J81</f>
        <v>0</v>
      </c>
      <c r="K30" s="94">
        <f>ROUND((I30+J30)*(B30+C30+D30+E30),2)</f>
        <v>0</v>
      </c>
      <c r="L30" s="136">
        <f>(F30+G30+H30)*(I30+J30)</f>
        <v>0</v>
      </c>
      <c r="N30" s="48">
        <f>F30*(I30+J30)</f>
        <v>0</v>
      </c>
      <c r="O30" s="48">
        <f>G30*(I30+J30)</f>
        <v>0</v>
      </c>
      <c r="P30" s="48">
        <f>H30*(I30+J30)</f>
        <v>0</v>
      </c>
    </row>
    <row r="31" spans="1:16" x14ac:dyDescent="0.2">
      <c r="A31" s="421" t="s">
        <v>419</v>
      </c>
      <c r="B31" s="92">
        <v>0</v>
      </c>
      <c r="C31" s="92">
        <v>0</v>
      </c>
      <c r="D31" s="92">
        <v>0</v>
      </c>
      <c r="E31" s="92">
        <v>0.1</v>
      </c>
      <c r="F31" s="135">
        <f>ROUND(B31*Costs!$B$10+C31*Costs!$B$11+D31*Costs!$B$12+E31*Costs!$B$13,2)</f>
        <v>2.9</v>
      </c>
      <c r="G31" s="32" t="str">
        <f>Costs!$B$62</f>
        <v xml:space="preserve"> </v>
      </c>
      <c r="H31" s="135">
        <f>Costs!$B$16</f>
        <v>0</v>
      </c>
      <c r="I31" s="92"/>
      <c r="J31" s="95">
        <f>'EX 3'!J82</f>
        <v>0</v>
      </c>
      <c r="K31" s="94">
        <f>ROUND((I31+J31)*(B31+C31+D31+E31),2)</f>
        <v>0</v>
      </c>
      <c r="L31" s="136">
        <f>(F31+G31+H31)*(I31+J31)</f>
        <v>0</v>
      </c>
      <c r="N31" s="48">
        <f>F31*(I31+J31)</f>
        <v>0</v>
      </c>
      <c r="O31" s="48">
        <f>G31*(I31+J31)</f>
        <v>0</v>
      </c>
      <c r="P31" s="48">
        <f>H31*(I31+J31)</f>
        <v>0</v>
      </c>
    </row>
    <row r="32" spans="1:16" x14ac:dyDescent="0.2">
      <c r="A32" s="421" t="s">
        <v>420</v>
      </c>
      <c r="B32" s="92">
        <v>0</v>
      </c>
      <c r="C32" s="92">
        <v>0</v>
      </c>
      <c r="D32" s="92">
        <v>0</v>
      </c>
      <c r="E32" s="92">
        <v>0.1</v>
      </c>
      <c r="F32" s="135">
        <f>ROUND(B32*Costs!$B$10+C32*Costs!$B$11+D32*Costs!$B$12+E32*Costs!$B$13,2)</f>
        <v>2.9</v>
      </c>
      <c r="G32" s="32" t="str">
        <f>Costs!$B$62</f>
        <v xml:space="preserve"> </v>
      </c>
      <c r="H32" s="135">
        <f>Costs!$B$16</f>
        <v>0</v>
      </c>
      <c r="I32" s="92"/>
      <c r="J32" s="95">
        <f>'EX 3'!J83</f>
        <v>0</v>
      </c>
      <c r="K32" s="94">
        <f>ROUND((I32+J32)*(B32+C32+D32+E32),2)</f>
        <v>0</v>
      </c>
      <c r="L32" s="136">
        <f>(F32+G32+H32)*(I32+J32)</f>
        <v>0</v>
      </c>
      <c r="N32" s="48">
        <f>F32*(I32+J32)</f>
        <v>0</v>
      </c>
      <c r="O32" s="48">
        <f>G32*(I32+J32)</f>
        <v>0</v>
      </c>
      <c r="P32" s="48">
        <f>H32*(I32+J32)</f>
        <v>0</v>
      </c>
    </row>
    <row r="33" spans="1:16" ht="20.399999999999999" x14ac:dyDescent="0.2">
      <c r="A33" s="421" t="s">
        <v>421</v>
      </c>
      <c r="B33" s="92">
        <v>0</v>
      </c>
      <c r="C33" s="92">
        <v>0</v>
      </c>
      <c r="D33" s="92">
        <v>0</v>
      </c>
      <c r="E33" s="92">
        <v>0.1</v>
      </c>
      <c r="F33" s="135">
        <f>ROUND(B33*Costs!$B$10+C33*Costs!$B$11+D33*Costs!$B$12+E33*Costs!$B$13,2)</f>
        <v>2.9</v>
      </c>
      <c r="G33" s="32" t="str">
        <f>Costs!$B$62</f>
        <v xml:space="preserve"> </v>
      </c>
      <c r="H33" s="135">
        <f>Costs!$B$16</f>
        <v>0</v>
      </c>
      <c r="I33" s="92"/>
      <c r="J33" s="95">
        <f>'EX 3'!J84</f>
        <v>0</v>
      </c>
      <c r="K33" s="94">
        <f>ROUND((I33+J33)*(B33+C33+D33+E33),2)</f>
        <v>0</v>
      </c>
      <c r="L33" s="136">
        <f>(F33+G33+H33)*(I33+J33)</f>
        <v>0</v>
      </c>
      <c r="N33" s="48">
        <f>F33*(I33+J33)</f>
        <v>0</v>
      </c>
      <c r="O33" s="48">
        <f>G33*(I33+J33)</f>
        <v>0</v>
      </c>
      <c r="P33" s="48">
        <f>H33*(I33+J33)</f>
        <v>0</v>
      </c>
    </row>
    <row r="34" spans="1:16" ht="10.8" thickBot="1" x14ac:dyDescent="0.25">
      <c r="A34" s="424" t="s">
        <v>80</v>
      </c>
      <c r="B34" s="282">
        <v>0</v>
      </c>
      <c r="C34" s="282">
        <v>0</v>
      </c>
      <c r="D34" s="282">
        <v>0</v>
      </c>
      <c r="E34" s="282">
        <v>0.25</v>
      </c>
      <c r="F34" s="426">
        <f>ROUND(B34*Costs!$B$10+C34*Costs!$B$11+D34*Costs!$B$12+E34*Costs!$B$13,2)</f>
        <v>7.24</v>
      </c>
      <c r="G34" s="191" t="str">
        <f>Costs!$B$62</f>
        <v xml:space="preserve"> </v>
      </c>
      <c r="H34" s="426">
        <f>Costs!$B$16</f>
        <v>0</v>
      </c>
      <c r="I34" s="282"/>
      <c r="J34" s="283">
        <f>SUM(J30:J33)</f>
        <v>0</v>
      </c>
      <c r="K34" s="285">
        <f>ROUND((I34+J34)*(B34+C34+D34+E34),2)</f>
        <v>0</v>
      </c>
      <c r="L34" s="441">
        <f>(F34+G34+H34)*(I34+J34)</f>
        <v>0</v>
      </c>
      <c r="N34" s="48">
        <f>F34*(I34+J34)</f>
        <v>0</v>
      </c>
      <c r="O34" s="48">
        <f>G34*(I34+J34)</f>
        <v>0</v>
      </c>
      <c r="P34" s="48">
        <f>H34*(I34+J34)</f>
        <v>0</v>
      </c>
    </row>
    <row r="35" spans="1:16" ht="10.8" thickBot="1" x14ac:dyDescent="0.25">
      <c r="A35" s="430" t="s">
        <v>596</v>
      </c>
      <c r="B35" s="455" t="s">
        <v>597</v>
      </c>
      <c r="C35" s="455" t="s">
        <v>597</v>
      </c>
      <c r="D35" s="455" t="s">
        <v>597</v>
      </c>
      <c r="E35" s="455" t="s">
        <v>597</v>
      </c>
      <c r="F35" s="455" t="s">
        <v>597</v>
      </c>
      <c r="G35" s="455" t="s">
        <v>597</v>
      </c>
      <c r="H35" s="455" t="s">
        <v>597</v>
      </c>
      <c r="I35" s="455" t="s">
        <v>597</v>
      </c>
      <c r="J35" s="455" t="s">
        <v>597</v>
      </c>
      <c r="K35" s="304">
        <f>SUM(K30:K34)</f>
        <v>0</v>
      </c>
      <c r="L35" s="294">
        <f>SUM(L30:L34)</f>
        <v>0</v>
      </c>
      <c r="N35" s="93">
        <f>SUM(N30:N34)</f>
        <v>0</v>
      </c>
      <c r="O35" s="93">
        <f>SUM(O30:O34)</f>
        <v>0</v>
      </c>
      <c r="P35" s="93">
        <f>SUM(P30:P34)</f>
        <v>0</v>
      </c>
    </row>
    <row r="36" spans="1:16" ht="10.8" thickBot="1" x14ac:dyDescent="0.25">
      <c r="A36" s="430" t="s">
        <v>567</v>
      </c>
      <c r="B36" s="455" t="s">
        <v>597</v>
      </c>
      <c r="C36" s="455" t="s">
        <v>597</v>
      </c>
      <c r="D36" s="455" t="s">
        <v>597</v>
      </c>
      <c r="E36" s="455" t="s">
        <v>597</v>
      </c>
      <c r="F36" s="455" t="s">
        <v>597</v>
      </c>
      <c r="G36" s="455" t="s">
        <v>597</v>
      </c>
      <c r="H36" s="455" t="s">
        <v>597</v>
      </c>
      <c r="I36" s="455" t="s">
        <v>597</v>
      </c>
      <c r="J36" s="455" t="s">
        <v>597</v>
      </c>
      <c r="K36" s="304">
        <f>K16+K20+K24+K28+K35</f>
        <v>0</v>
      </c>
      <c r="L36" s="294">
        <f>L16+L20+L24+L28+L35</f>
        <v>0</v>
      </c>
      <c r="M36" s="2"/>
      <c r="N36" s="93">
        <f>N16+N20+N24+N28+N35</f>
        <v>0</v>
      </c>
      <c r="O36" s="93">
        <f>O16+O20+O24+O28+O35</f>
        <v>0</v>
      </c>
      <c r="P36" s="93">
        <f>P16+P20+P24+P28+P35</f>
        <v>0</v>
      </c>
    </row>
    <row r="37" spans="1:16" x14ac:dyDescent="0.2">
      <c r="B37" s="39"/>
      <c r="C37" s="39"/>
      <c r="D37" s="39"/>
      <c r="E37" s="39"/>
      <c r="F37" s="39"/>
      <c r="G37" s="39"/>
      <c r="H37" s="39"/>
      <c r="I37" s="39"/>
      <c r="J37" s="7"/>
      <c r="L37" s="31"/>
      <c r="M37" s="2"/>
    </row>
    <row r="38" spans="1:16" x14ac:dyDescent="0.2">
      <c r="B38" s="39"/>
      <c r="C38" s="39"/>
      <c r="D38" s="39"/>
      <c r="E38" s="39"/>
      <c r="F38" s="39"/>
      <c r="G38" s="39"/>
      <c r="H38" s="39"/>
      <c r="I38" s="39"/>
      <c r="J38" s="7"/>
      <c r="L38" s="31"/>
      <c r="M38" s="2"/>
    </row>
    <row r="39" spans="1:16" ht="18" x14ac:dyDescent="0.35">
      <c r="A39" s="572" t="s">
        <v>702</v>
      </c>
      <c r="B39" s="39"/>
      <c r="C39" s="39"/>
      <c r="D39" s="39"/>
      <c r="E39" s="39"/>
      <c r="F39" s="39"/>
      <c r="G39" s="39"/>
      <c r="H39" s="39"/>
      <c r="I39" s="39"/>
      <c r="L39" s="31"/>
    </row>
    <row r="40" spans="1:16" ht="18" x14ac:dyDescent="0.35">
      <c r="A40" s="572" t="s">
        <v>382</v>
      </c>
      <c r="B40" s="39"/>
      <c r="C40" s="39"/>
      <c r="D40" s="39"/>
      <c r="E40" s="39"/>
      <c r="F40" s="39"/>
      <c r="G40" s="39"/>
      <c r="H40" s="39"/>
      <c r="I40" s="39"/>
      <c r="L40" s="31"/>
    </row>
    <row r="41" spans="1:16" ht="18" x14ac:dyDescent="0.35">
      <c r="A41" s="572" t="s">
        <v>395</v>
      </c>
      <c r="B41" s="39"/>
      <c r="C41" s="39"/>
      <c r="D41" s="39"/>
      <c r="E41" s="39"/>
      <c r="F41" s="39"/>
      <c r="G41" s="39"/>
      <c r="H41" s="39"/>
      <c r="I41" s="39"/>
      <c r="L41" s="31"/>
    </row>
    <row r="42" spans="1:16" ht="18" x14ac:dyDescent="0.35">
      <c r="A42" s="573" t="s">
        <v>230</v>
      </c>
      <c r="B42" s="39"/>
      <c r="C42" s="39"/>
      <c r="D42" s="39"/>
      <c r="E42" s="39"/>
      <c r="F42" s="39"/>
      <c r="G42" s="39"/>
      <c r="H42" s="39"/>
      <c r="I42" s="39"/>
      <c r="L42" s="31"/>
    </row>
    <row r="43" spans="1:16" x14ac:dyDescent="0.2">
      <c r="B43" s="39"/>
      <c r="C43" s="39"/>
      <c r="D43" s="39"/>
      <c r="E43" s="39"/>
      <c r="F43" s="39"/>
      <c r="G43" s="39"/>
      <c r="H43" s="39"/>
      <c r="I43" s="39"/>
      <c r="L43" s="31"/>
    </row>
    <row r="44" spans="1:16" x14ac:dyDescent="0.2">
      <c r="B44" s="14"/>
      <c r="C44" s="14"/>
      <c r="D44" s="14"/>
      <c r="E44" s="14"/>
      <c r="F44" s="14"/>
      <c r="G44" s="27"/>
      <c r="H44" s="14"/>
      <c r="I44" s="14"/>
      <c r="J44" s="69"/>
      <c r="K44" s="79"/>
      <c r="L44" s="62"/>
    </row>
    <row r="45" spans="1:16" x14ac:dyDescent="0.2">
      <c r="B45" s="57" t="s">
        <v>682</v>
      </c>
      <c r="C45" s="58"/>
      <c r="D45" s="58"/>
      <c r="E45" s="58"/>
      <c r="F45" s="58"/>
      <c r="G45" s="61"/>
      <c r="H45" s="58"/>
      <c r="I45" s="58"/>
      <c r="J45" s="59" t="s">
        <v>577</v>
      </c>
      <c r="K45" s="80"/>
      <c r="L45" s="60"/>
    </row>
    <row r="46" spans="1:16" x14ac:dyDescent="0.2">
      <c r="B46" s="54"/>
      <c r="C46" s="51"/>
      <c r="D46" s="51"/>
      <c r="E46" s="51"/>
      <c r="F46" s="51"/>
      <c r="G46" s="52"/>
      <c r="H46" s="51"/>
      <c r="I46" s="51"/>
      <c r="J46" s="72"/>
      <c r="K46" s="67"/>
      <c r="L46" s="56"/>
    </row>
    <row r="47" spans="1:16" x14ac:dyDescent="0.2">
      <c r="B47" s="9" t="s">
        <v>569</v>
      </c>
      <c r="C47" s="13" t="s">
        <v>570</v>
      </c>
      <c r="D47" s="13" t="s">
        <v>571</v>
      </c>
      <c r="E47" s="13" t="s">
        <v>572</v>
      </c>
      <c r="F47" s="13" t="s">
        <v>578</v>
      </c>
      <c r="G47" s="419"/>
      <c r="H47" s="418"/>
      <c r="I47" s="418"/>
      <c r="J47" s="36"/>
      <c r="K47" s="420"/>
      <c r="L47" s="33"/>
    </row>
    <row r="48" spans="1:16" x14ac:dyDescent="0.2">
      <c r="B48" s="10">
        <f>Costs!$B$10</f>
        <v>94.34</v>
      </c>
      <c r="C48" s="10">
        <f>Costs!$B$11</f>
        <v>67.86</v>
      </c>
      <c r="D48" s="10">
        <f>Costs!$B$12</f>
        <v>47.62</v>
      </c>
      <c r="E48" s="10">
        <f>Costs!$B$13</f>
        <v>28.96</v>
      </c>
      <c r="F48" s="10" t="s">
        <v>275</v>
      </c>
      <c r="G48" s="1" t="s">
        <v>244</v>
      </c>
      <c r="H48" s="30" t="s">
        <v>585</v>
      </c>
      <c r="I48" s="30" t="s">
        <v>574</v>
      </c>
      <c r="J48" s="13" t="s">
        <v>568</v>
      </c>
      <c r="K48" s="43" t="s">
        <v>582</v>
      </c>
      <c r="L48" s="13" t="s">
        <v>271</v>
      </c>
      <c r="M48" s="2"/>
      <c r="N48" s="14" t="s">
        <v>578</v>
      </c>
      <c r="O48" s="10" t="s">
        <v>280</v>
      </c>
      <c r="P48" s="10" t="s">
        <v>586</v>
      </c>
    </row>
    <row r="49" spans="1:16" x14ac:dyDescent="0.2">
      <c r="A49" s="11" t="s">
        <v>588</v>
      </c>
      <c r="B49" s="1" t="s">
        <v>590</v>
      </c>
      <c r="C49" s="1" t="s">
        <v>590</v>
      </c>
      <c r="D49" s="1" t="s">
        <v>590</v>
      </c>
      <c r="E49" s="1" t="s">
        <v>590</v>
      </c>
      <c r="F49" s="40" t="s">
        <v>276</v>
      </c>
      <c r="G49" s="1" t="s">
        <v>592</v>
      </c>
      <c r="H49" s="30" t="s">
        <v>592</v>
      </c>
      <c r="I49" s="30"/>
      <c r="J49" s="13" t="s">
        <v>593</v>
      </c>
      <c r="K49" s="43" t="s">
        <v>591</v>
      </c>
      <c r="L49" s="13" t="s">
        <v>272</v>
      </c>
      <c r="M49" s="2"/>
      <c r="N49" s="20" t="s">
        <v>592</v>
      </c>
      <c r="O49" s="10"/>
      <c r="P49" s="10" t="s">
        <v>592</v>
      </c>
    </row>
    <row r="50" spans="1:16" x14ac:dyDescent="0.2">
      <c r="A50" s="456" t="s">
        <v>398</v>
      </c>
      <c r="B50" s="457"/>
      <c r="C50" s="457"/>
      <c r="D50" s="457"/>
      <c r="E50" s="457"/>
      <c r="F50" s="457"/>
      <c r="G50" s="457"/>
      <c r="H50" s="457"/>
      <c r="I50" s="457"/>
      <c r="J50" s="252"/>
      <c r="K50" s="459"/>
      <c r="L50" s="460"/>
    </row>
    <row r="51" spans="1:16" ht="30.6" x14ac:dyDescent="0.2">
      <c r="A51" s="421" t="s">
        <v>430</v>
      </c>
      <c r="B51" s="92">
        <v>0</v>
      </c>
      <c r="C51" s="92">
        <v>0.5</v>
      </c>
      <c r="D51" s="92">
        <v>2</v>
      </c>
      <c r="E51" s="92">
        <v>0</v>
      </c>
      <c r="F51" s="135">
        <f>ROUND(B51*Costs!$B$10+C51*Costs!$B$11+D51*Costs!$B$12+E51*Costs!$B$13,2)</f>
        <v>129.16999999999999</v>
      </c>
      <c r="G51" s="32" t="str">
        <f>Costs!$B$62</f>
        <v xml:space="preserve"> </v>
      </c>
      <c r="H51" s="135">
        <f>Costs!$B$16</f>
        <v>0</v>
      </c>
      <c r="I51" s="92"/>
      <c r="J51" s="112">
        <f>'EX 3'!J103</f>
        <v>0</v>
      </c>
      <c r="K51" s="94">
        <f>ROUND((I51+J51)*(B51+C51+D51+E51),2)</f>
        <v>0</v>
      </c>
      <c r="L51" s="136">
        <f>(F51+G51+H51)*(I51+J51)</f>
        <v>0</v>
      </c>
      <c r="N51" s="48">
        <f>F51*(I51+J51)</f>
        <v>0</v>
      </c>
      <c r="O51" s="48">
        <f>G51*(I51+J51)</f>
        <v>0</v>
      </c>
      <c r="P51" s="48">
        <f>H51*(I51+J51)</f>
        <v>0</v>
      </c>
    </row>
    <row r="52" spans="1:16" ht="10.8" thickBot="1" x14ac:dyDescent="0.25">
      <c r="A52" s="424" t="s">
        <v>80</v>
      </c>
      <c r="B52" s="282">
        <v>0</v>
      </c>
      <c r="C52" s="282">
        <v>0</v>
      </c>
      <c r="D52" s="282">
        <v>0</v>
      </c>
      <c r="E52" s="282">
        <v>0.25</v>
      </c>
      <c r="F52" s="426">
        <f>ROUND(B52*Costs!$B$10+C52*Costs!$B$11+D52*Costs!$B$12+E52*Costs!$B$13,2)</f>
        <v>7.24</v>
      </c>
      <c r="G52" s="191" t="str">
        <f>Costs!$B$62</f>
        <v xml:space="preserve"> </v>
      </c>
      <c r="H52" s="426">
        <f>Costs!$B$16</f>
        <v>0</v>
      </c>
      <c r="I52" s="282"/>
      <c r="J52" s="427">
        <f>SUM(J51:J51)</f>
        <v>0</v>
      </c>
      <c r="K52" s="285">
        <f>ROUND((I52+J52)*(B52+C52+D52+E52),2)</f>
        <v>0</v>
      </c>
      <c r="L52" s="441">
        <f>(F52+G52+H52)*(I52+J52)</f>
        <v>0</v>
      </c>
      <c r="N52" s="48">
        <f>F52*(I52+J52)</f>
        <v>0</v>
      </c>
      <c r="O52" s="48">
        <f>G52*(I52+J52)</f>
        <v>0</v>
      </c>
      <c r="P52" s="48">
        <f>H52*(I52+J52)</f>
        <v>0</v>
      </c>
    </row>
    <row r="53" spans="1:16" ht="10.8" thickBot="1" x14ac:dyDescent="0.25">
      <c r="A53" s="430" t="s">
        <v>596</v>
      </c>
      <c r="B53" s="455" t="s">
        <v>597</v>
      </c>
      <c r="C53" s="455" t="s">
        <v>597</v>
      </c>
      <c r="D53" s="455" t="s">
        <v>597</v>
      </c>
      <c r="E53" s="455" t="s">
        <v>597</v>
      </c>
      <c r="F53" s="455" t="s">
        <v>597</v>
      </c>
      <c r="G53" s="455" t="s">
        <v>597</v>
      </c>
      <c r="H53" s="455" t="s">
        <v>597</v>
      </c>
      <c r="I53" s="455" t="s">
        <v>597</v>
      </c>
      <c r="J53" s="455" t="s">
        <v>597</v>
      </c>
      <c r="K53" s="304">
        <f>SUM(K51:K52)</f>
        <v>0</v>
      </c>
      <c r="L53" s="294">
        <f>SUM(L51:L52)</f>
        <v>0</v>
      </c>
      <c r="N53" s="93">
        <f>SUM(N51:N52)</f>
        <v>0</v>
      </c>
      <c r="O53" s="93">
        <f>SUM(O51:O52)</f>
        <v>0</v>
      </c>
      <c r="P53" s="93">
        <f>SUM(P51:P52)</f>
        <v>0</v>
      </c>
    </row>
    <row r="54" spans="1:16" x14ac:dyDescent="0.2">
      <c r="A54" s="429" t="s">
        <v>431</v>
      </c>
      <c r="B54" s="446"/>
      <c r="C54" s="446"/>
      <c r="D54" s="446"/>
      <c r="E54" s="446"/>
      <c r="F54" s="446"/>
      <c r="G54" s="446"/>
      <c r="H54" s="446"/>
      <c r="I54" s="446"/>
      <c r="J54" s="442"/>
      <c r="K54" s="447"/>
      <c r="L54" s="448"/>
    </row>
    <row r="55" spans="1:16" ht="20.399999999999999" x14ac:dyDescent="0.2">
      <c r="A55" s="421" t="s">
        <v>432</v>
      </c>
      <c r="B55" s="92">
        <v>0</v>
      </c>
      <c r="C55" s="92">
        <v>0.5</v>
      </c>
      <c r="D55" s="92">
        <v>2</v>
      </c>
      <c r="E55" s="92">
        <v>0</v>
      </c>
      <c r="F55" s="135">
        <f>ROUND(B55*Costs!$B$10+C55*Costs!$B$11+D55*Costs!$B$12+E55*Costs!$B$13,2)</f>
        <v>129.16999999999999</v>
      </c>
      <c r="G55" s="32" t="str">
        <f>Costs!$B$62</f>
        <v xml:space="preserve"> </v>
      </c>
      <c r="H55" s="135">
        <f>Costs!$B$16</f>
        <v>0</v>
      </c>
      <c r="I55" s="92"/>
      <c r="J55" s="95">
        <f>'EX 3'!J107</f>
        <v>0</v>
      </c>
      <c r="K55" s="94">
        <f t="shared" ref="K55:K62" si="0">ROUND((I55+J55)*(B55+C55+D55+E55),2)</f>
        <v>0</v>
      </c>
      <c r="L55" s="136">
        <f t="shared" ref="L55:L62" si="1">(F55+G55+H55)*(I55+J55)</f>
        <v>0</v>
      </c>
      <c r="N55" s="48">
        <f t="shared" ref="N55:N62" si="2">F55*(I55+J55)</f>
        <v>0</v>
      </c>
      <c r="O55" s="48">
        <f t="shared" ref="O55:O62" si="3">G55*(I55+J55)</f>
        <v>0</v>
      </c>
      <c r="P55" s="48">
        <f t="shared" ref="P55:P62" si="4">H55*(I55+J55)</f>
        <v>0</v>
      </c>
    </row>
    <row r="56" spans="1:16" ht="40.799999999999997" x14ac:dyDescent="0.2">
      <c r="A56" s="421" t="s">
        <v>433</v>
      </c>
      <c r="B56" s="92">
        <v>0</v>
      </c>
      <c r="C56" s="92">
        <v>0.5</v>
      </c>
      <c r="D56" s="92">
        <v>2</v>
      </c>
      <c r="E56" s="92">
        <v>0</v>
      </c>
      <c r="F56" s="135">
        <f>ROUND(B56*Costs!$B$10+C56*Costs!$B$11+D56*Costs!$B$12+E56*Costs!$B$13,2)</f>
        <v>129.16999999999999</v>
      </c>
      <c r="G56" s="32" t="str">
        <f>Costs!$B$62</f>
        <v xml:space="preserve"> </v>
      </c>
      <c r="H56" s="135">
        <f>Costs!$B$16</f>
        <v>0</v>
      </c>
      <c r="I56" s="92"/>
      <c r="J56" s="95">
        <f>'EX 3'!J108</f>
        <v>0</v>
      </c>
      <c r="K56" s="94">
        <f t="shared" si="0"/>
        <v>0</v>
      </c>
      <c r="L56" s="136">
        <f t="shared" si="1"/>
        <v>0</v>
      </c>
      <c r="N56" s="48">
        <f t="shared" si="2"/>
        <v>0</v>
      </c>
      <c r="O56" s="48">
        <f t="shared" si="3"/>
        <v>0</v>
      </c>
      <c r="P56" s="48">
        <f t="shared" si="4"/>
        <v>0</v>
      </c>
    </row>
    <row r="57" spans="1:16" ht="40.799999999999997" x14ac:dyDescent="0.2">
      <c r="A57" s="421" t="s">
        <v>434</v>
      </c>
      <c r="B57" s="92">
        <v>0</v>
      </c>
      <c r="C57" s="92">
        <v>0.5</v>
      </c>
      <c r="D57" s="92">
        <v>2</v>
      </c>
      <c r="E57" s="92">
        <v>0</v>
      </c>
      <c r="F57" s="135">
        <f>ROUND(B57*Costs!$B$10+C57*Costs!$B$11+D57*Costs!$B$12+E57*Costs!$B$13,2)</f>
        <v>129.16999999999999</v>
      </c>
      <c r="G57" s="32" t="str">
        <f>Costs!$B$62</f>
        <v xml:space="preserve"> </v>
      </c>
      <c r="H57" s="135">
        <f>Costs!$B$16</f>
        <v>0</v>
      </c>
      <c r="I57" s="92"/>
      <c r="J57" s="95">
        <f>'EX 3'!J109</f>
        <v>0</v>
      </c>
      <c r="K57" s="94">
        <f t="shared" si="0"/>
        <v>0</v>
      </c>
      <c r="L57" s="136">
        <f t="shared" si="1"/>
        <v>0</v>
      </c>
      <c r="N57" s="48">
        <f t="shared" si="2"/>
        <v>0</v>
      </c>
      <c r="O57" s="48">
        <f t="shared" si="3"/>
        <v>0</v>
      </c>
      <c r="P57" s="48">
        <f t="shared" si="4"/>
        <v>0</v>
      </c>
    </row>
    <row r="58" spans="1:16" x14ac:dyDescent="0.2">
      <c r="A58" s="421" t="s">
        <v>435</v>
      </c>
      <c r="B58" s="92">
        <v>0</v>
      </c>
      <c r="C58" s="92">
        <v>5</v>
      </c>
      <c r="D58" s="92">
        <v>40</v>
      </c>
      <c r="E58" s="92">
        <v>0</v>
      </c>
      <c r="F58" s="135">
        <f>ROUND(B58*Costs!$B$10+C58*Costs!$B$11+D58*Costs!$B$12+E58*Costs!$B$13,2)</f>
        <v>2244.1</v>
      </c>
      <c r="G58" s="32" t="str">
        <f>Costs!$B$62</f>
        <v xml:space="preserve"> </v>
      </c>
      <c r="H58" s="135">
        <f>Costs!$B$16</f>
        <v>0</v>
      </c>
      <c r="I58" s="92"/>
      <c r="J58" s="95">
        <f>'EX 3'!J110</f>
        <v>0</v>
      </c>
      <c r="K58" s="94">
        <f t="shared" si="0"/>
        <v>0</v>
      </c>
      <c r="L58" s="136">
        <f t="shared" si="1"/>
        <v>0</v>
      </c>
      <c r="N58" s="48">
        <f t="shared" si="2"/>
        <v>0</v>
      </c>
      <c r="O58" s="48">
        <f t="shared" si="3"/>
        <v>0</v>
      </c>
      <c r="P58" s="48">
        <f t="shared" si="4"/>
        <v>0</v>
      </c>
    </row>
    <row r="59" spans="1:16" ht="30.6" x14ac:dyDescent="0.2">
      <c r="A59" s="421" t="s">
        <v>436</v>
      </c>
      <c r="B59" s="92">
        <v>0</v>
      </c>
      <c r="C59" s="92">
        <v>5</v>
      </c>
      <c r="D59" s="92">
        <v>40</v>
      </c>
      <c r="E59" s="92">
        <v>0</v>
      </c>
      <c r="F59" s="135">
        <f>ROUND(B59*Costs!$B$10+C59*Costs!$B$11+D59*Costs!$B$12+E59*Costs!$B$13,2)</f>
        <v>2244.1</v>
      </c>
      <c r="G59" s="32" t="str">
        <f>Costs!$B$62</f>
        <v xml:space="preserve"> </v>
      </c>
      <c r="H59" s="135">
        <f>Costs!$B$16</f>
        <v>0</v>
      </c>
      <c r="I59" s="92"/>
      <c r="J59" s="112">
        <f>'EX 3'!J111</f>
        <v>0</v>
      </c>
      <c r="K59" s="94">
        <f t="shared" si="0"/>
        <v>0</v>
      </c>
      <c r="L59" s="136">
        <f t="shared" si="1"/>
        <v>0</v>
      </c>
      <c r="N59" s="48">
        <f t="shared" si="2"/>
        <v>0</v>
      </c>
      <c r="O59" s="48">
        <f t="shared" si="3"/>
        <v>0</v>
      </c>
      <c r="P59" s="48">
        <f t="shared" si="4"/>
        <v>0</v>
      </c>
    </row>
    <row r="60" spans="1:16" ht="20.399999999999999" x14ac:dyDescent="0.2">
      <c r="A60" s="421" t="s">
        <v>437</v>
      </c>
      <c r="B60" s="92">
        <v>0</v>
      </c>
      <c r="C60" s="92">
        <v>3</v>
      </c>
      <c r="D60" s="92">
        <v>24</v>
      </c>
      <c r="E60" s="92">
        <v>0</v>
      </c>
      <c r="F60" s="135">
        <f>ROUND(B60*Costs!$B$10+C60*Costs!$B$11+D60*Costs!$B$12+E60*Costs!$B$13,2)</f>
        <v>1346.46</v>
      </c>
      <c r="G60" s="32" t="str">
        <f>Costs!$B$62</f>
        <v xml:space="preserve"> </v>
      </c>
      <c r="H60" s="135">
        <f>Costs!$B$16</f>
        <v>0</v>
      </c>
      <c r="I60" s="92"/>
      <c r="J60" s="95">
        <f>'EX 3'!J111</f>
        <v>0</v>
      </c>
      <c r="K60" s="94">
        <f t="shared" si="0"/>
        <v>0</v>
      </c>
      <c r="L60" s="136">
        <f t="shared" si="1"/>
        <v>0</v>
      </c>
      <c r="N60" s="48">
        <f t="shared" si="2"/>
        <v>0</v>
      </c>
      <c r="O60" s="48">
        <f t="shared" si="3"/>
        <v>0</v>
      </c>
      <c r="P60" s="48">
        <f t="shared" si="4"/>
        <v>0</v>
      </c>
    </row>
    <row r="61" spans="1:16" x14ac:dyDescent="0.2">
      <c r="A61" s="421" t="s">
        <v>429</v>
      </c>
      <c r="B61" s="92">
        <v>0</v>
      </c>
      <c r="C61" s="92">
        <v>0</v>
      </c>
      <c r="D61" s="92">
        <v>0.5</v>
      </c>
      <c r="E61" s="92">
        <v>0</v>
      </c>
      <c r="F61" s="135">
        <f>ROUND(B61*Costs!$B$10+C61*Costs!$B$11+D61*Costs!$B$12+E61*Costs!$B$13,2)</f>
        <v>23.81</v>
      </c>
      <c r="G61" s="32" t="str">
        <f>Costs!$B$62</f>
        <v xml:space="preserve"> </v>
      </c>
      <c r="H61" s="135">
        <f>Costs!$B$16</f>
        <v>0</v>
      </c>
      <c r="I61" s="92"/>
      <c r="J61" s="112">
        <f>'EX 3'!J111</f>
        <v>0</v>
      </c>
      <c r="K61" s="94">
        <f t="shared" si="0"/>
        <v>0</v>
      </c>
      <c r="L61" s="136">
        <f t="shared" si="1"/>
        <v>0</v>
      </c>
      <c r="N61" s="48">
        <f t="shared" si="2"/>
        <v>0</v>
      </c>
      <c r="O61" s="48">
        <f t="shared" si="3"/>
        <v>0</v>
      </c>
      <c r="P61" s="48">
        <f t="shared" si="4"/>
        <v>0</v>
      </c>
    </row>
    <row r="62" spans="1:16" ht="10.8" thickBot="1" x14ac:dyDescent="0.25">
      <c r="A62" s="424" t="s">
        <v>80</v>
      </c>
      <c r="B62" s="282">
        <v>0</v>
      </c>
      <c r="C62" s="282">
        <v>0</v>
      </c>
      <c r="D62" s="282">
        <v>0</v>
      </c>
      <c r="E62" s="282">
        <v>2</v>
      </c>
      <c r="F62" s="426">
        <f>ROUND(B62*Costs!$B$10+C62*Costs!$B$11+D62*Costs!$B$12+E62*Costs!$B$13,2)</f>
        <v>57.92</v>
      </c>
      <c r="G62" s="191" t="str">
        <f>Costs!$B$62</f>
        <v xml:space="preserve"> </v>
      </c>
      <c r="H62" s="426">
        <f>Costs!$B$16</f>
        <v>0</v>
      </c>
      <c r="I62" s="282"/>
      <c r="J62" s="427">
        <f>SUM(J55:J61)</f>
        <v>0</v>
      </c>
      <c r="K62" s="285">
        <f t="shared" si="0"/>
        <v>0</v>
      </c>
      <c r="L62" s="441">
        <f t="shared" si="1"/>
        <v>0</v>
      </c>
      <c r="N62" s="48">
        <f t="shared" si="2"/>
        <v>0</v>
      </c>
      <c r="O62" s="48">
        <f t="shared" si="3"/>
        <v>0</v>
      </c>
      <c r="P62" s="48">
        <f t="shared" si="4"/>
        <v>0</v>
      </c>
    </row>
    <row r="63" spans="1:16" ht="10.8" thickBot="1" x14ac:dyDescent="0.25">
      <c r="A63" s="430" t="s">
        <v>596</v>
      </c>
      <c r="B63" s="455" t="s">
        <v>597</v>
      </c>
      <c r="C63" s="455" t="s">
        <v>597</v>
      </c>
      <c r="D63" s="455" t="s">
        <v>597</v>
      </c>
      <c r="E63" s="455" t="s">
        <v>597</v>
      </c>
      <c r="F63" s="455" t="s">
        <v>597</v>
      </c>
      <c r="G63" s="455" t="s">
        <v>597</v>
      </c>
      <c r="H63" s="455" t="s">
        <v>597</v>
      </c>
      <c r="I63" s="455" t="s">
        <v>597</v>
      </c>
      <c r="J63" s="455" t="s">
        <v>597</v>
      </c>
      <c r="K63" s="304">
        <f>SUM(K55:K62)</f>
        <v>0</v>
      </c>
      <c r="L63" s="294">
        <f>SUM(L55:L62)</f>
        <v>0</v>
      </c>
      <c r="N63" s="93">
        <f>SUM(N55:N62)</f>
        <v>0</v>
      </c>
      <c r="O63" s="93">
        <f>SUM(O55:O62)</f>
        <v>0</v>
      </c>
      <c r="P63" s="93">
        <f>SUM(P55:P62)</f>
        <v>0</v>
      </c>
    </row>
    <row r="64" spans="1:16" x14ac:dyDescent="0.2">
      <c r="A64" s="486" t="s">
        <v>400</v>
      </c>
      <c r="B64" s="340"/>
      <c r="C64" s="340"/>
      <c r="D64" s="340"/>
      <c r="E64" s="340"/>
      <c r="F64" s="340"/>
      <c r="G64" s="340"/>
      <c r="H64" s="340"/>
      <c r="I64" s="340"/>
      <c r="J64" s="493"/>
      <c r="K64" s="343"/>
      <c r="L64" s="344"/>
    </row>
    <row r="65" spans="1:16" x14ac:dyDescent="0.2">
      <c r="A65" s="461" t="s">
        <v>401</v>
      </c>
      <c r="B65" s="263"/>
      <c r="C65" s="263"/>
      <c r="D65" s="263"/>
      <c r="E65" s="263"/>
      <c r="F65" s="263"/>
      <c r="G65" s="263"/>
      <c r="H65" s="263"/>
      <c r="I65" s="263"/>
      <c r="J65" s="310"/>
      <c r="K65" s="265"/>
      <c r="L65" s="260"/>
    </row>
    <row r="66" spans="1:16" ht="30.6" x14ac:dyDescent="0.2">
      <c r="A66" s="421" t="s">
        <v>438</v>
      </c>
      <c r="B66" s="92">
        <v>0</v>
      </c>
      <c r="C66" s="92">
        <v>1</v>
      </c>
      <c r="D66" s="92">
        <v>4</v>
      </c>
      <c r="E66" s="92">
        <v>0</v>
      </c>
      <c r="F66" s="135">
        <f>ROUND(B66*Costs!$B$10+C66*Costs!$B$11+D66*Costs!$B$12+E66*Costs!$B$13,2)</f>
        <v>258.33999999999997</v>
      </c>
      <c r="G66" s="32" t="str">
        <f>Costs!$B$62</f>
        <v xml:space="preserve"> </v>
      </c>
      <c r="H66" s="135">
        <f>Costs!$B$16</f>
        <v>0</v>
      </c>
      <c r="I66" s="92"/>
      <c r="J66" s="112">
        <f>'EX 3'!J117</f>
        <v>0</v>
      </c>
      <c r="K66" s="94">
        <f>ROUND((I66+J66)*(B66+C66+D66+E66),2)</f>
        <v>0</v>
      </c>
      <c r="L66" s="136">
        <f>(F66+G66+H66)*(I66+J66)</f>
        <v>0</v>
      </c>
      <c r="N66" s="48">
        <f>F66*(I66+J66)</f>
        <v>0</v>
      </c>
      <c r="O66" s="48">
        <f>G66*(I66+J66)</f>
        <v>0</v>
      </c>
      <c r="P66" s="48">
        <f>H66*(I66+J66)</f>
        <v>0</v>
      </c>
    </row>
    <row r="67" spans="1:16" x14ac:dyDescent="0.2">
      <c r="A67" s="421" t="s">
        <v>80</v>
      </c>
      <c r="B67" s="92">
        <v>0</v>
      </c>
      <c r="C67" s="92">
        <v>0</v>
      </c>
      <c r="D67" s="92">
        <v>0</v>
      </c>
      <c r="E67" s="92">
        <v>0.5</v>
      </c>
      <c r="F67" s="135">
        <f>ROUND(B67*Costs!$B$10+C67*Costs!$B$11+D67*Costs!$B$12+E67*Costs!$B$13,2)</f>
        <v>14.48</v>
      </c>
      <c r="G67" s="32" t="str">
        <f>Costs!$B$62</f>
        <v xml:space="preserve"> </v>
      </c>
      <c r="H67" s="135">
        <f>Costs!$B$16</f>
        <v>0</v>
      </c>
      <c r="I67" s="92"/>
      <c r="J67" s="112">
        <f>SUM(J66)</f>
        <v>0</v>
      </c>
      <c r="K67" s="94">
        <f>ROUND((I67+J67)*(B67+C67+D67+E67),2)</f>
        <v>0</v>
      </c>
      <c r="L67" s="136">
        <f>(F67+G67+H67)*(I67+J67)</f>
        <v>0</v>
      </c>
      <c r="N67" s="48">
        <f>F67*(I67+J67)</f>
        <v>0</v>
      </c>
      <c r="O67" s="48">
        <f>G67*(I67+J67)</f>
        <v>0</v>
      </c>
      <c r="P67" s="48">
        <f>H67*(I67+J67)</f>
        <v>0</v>
      </c>
    </row>
    <row r="68" spans="1:16" x14ac:dyDescent="0.2">
      <c r="A68" s="461" t="s">
        <v>402</v>
      </c>
      <c r="B68" s="263"/>
      <c r="C68" s="263"/>
      <c r="D68" s="263"/>
      <c r="E68" s="263"/>
      <c r="F68" s="263"/>
      <c r="G68" s="263"/>
      <c r="H68" s="263"/>
      <c r="I68" s="263"/>
      <c r="J68" s="314"/>
      <c r="K68" s="259"/>
      <c r="L68" s="260"/>
    </row>
    <row r="69" spans="1:16" ht="20.399999999999999" x14ac:dyDescent="0.2">
      <c r="A69" s="421" t="s">
        <v>439</v>
      </c>
      <c r="B69" s="92">
        <v>0</v>
      </c>
      <c r="C69" s="92">
        <v>1</v>
      </c>
      <c r="D69" s="92">
        <v>4</v>
      </c>
      <c r="E69" s="92">
        <v>0</v>
      </c>
      <c r="F69" s="135">
        <f>ROUND(B69*Costs!$B$10+C69*Costs!$B$11+D69*Costs!$B$12+E69*Costs!$B$13,2)</f>
        <v>258.33999999999997</v>
      </c>
      <c r="G69" s="32" t="str">
        <f>Costs!$B$62</f>
        <v xml:space="preserve"> </v>
      </c>
      <c r="H69" s="135">
        <f>Costs!$B$16</f>
        <v>0</v>
      </c>
      <c r="I69" s="92"/>
      <c r="J69" s="112">
        <f>'EX 3'!J120</f>
        <v>0</v>
      </c>
      <c r="K69" s="94">
        <f>ROUND((I69+J69)*(B69+C69+D69+E69),2)</f>
        <v>0</v>
      </c>
      <c r="L69" s="136">
        <f>(F69+G69+H69)*(I69+J69)</f>
        <v>0</v>
      </c>
      <c r="N69" s="48">
        <f>F69*(I69+J69)</f>
        <v>0</v>
      </c>
      <c r="O69" s="48">
        <f>G69*(I69+J69)</f>
        <v>0</v>
      </c>
      <c r="P69" s="48">
        <f>H69*(I69+J69)</f>
        <v>0</v>
      </c>
    </row>
    <row r="70" spans="1:16" x14ac:dyDescent="0.2">
      <c r="A70" s="421" t="s">
        <v>80</v>
      </c>
      <c r="B70" s="92">
        <v>0</v>
      </c>
      <c r="C70" s="92">
        <v>0</v>
      </c>
      <c r="D70" s="92">
        <v>0</v>
      </c>
      <c r="E70" s="92">
        <v>0.5</v>
      </c>
      <c r="F70" s="135">
        <f>ROUND(B70*Costs!$B$10+C70*Costs!$B$11+D70*Costs!$B$12+E70*Costs!$B$13,2)</f>
        <v>14.48</v>
      </c>
      <c r="G70" s="32" t="str">
        <f>Costs!$B$62</f>
        <v xml:space="preserve"> </v>
      </c>
      <c r="H70" s="135">
        <f>Costs!$B$16</f>
        <v>0</v>
      </c>
      <c r="I70" s="92"/>
      <c r="J70" s="112">
        <f>SUM(J69)</f>
        <v>0</v>
      </c>
      <c r="K70" s="94">
        <f>ROUND((I70+J70)*(B70+C70+D70+E70),2)</f>
        <v>0</v>
      </c>
      <c r="L70" s="136">
        <f>(F70+G70+H70)*(I70+J70)</f>
        <v>0</v>
      </c>
      <c r="N70" s="48">
        <f>F70*(I70+J70)</f>
        <v>0</v>
      </c>
      <c r="O70" s="48">
        <f>G70*(I70+J70)</f>
        <v>0</v>
      </c>
      <c r="P70" s="48">
        <f>H70*(I70+J70)</f>
        <v>0</v>
      </c>
    </row>
    <row r="71" spans="1:16" x14ac:dyDescent="0.2">
      <c r="A71" s="461" t="s">
        <v>403</v>
      </c>
      <c r="B71" s="263"/>
      <c r="C71" s="263"/>
      <c r="D71" s="263"/>
      <c r="E71" s="263"/>
      <c r="F71" s="263"/>
      <c r="G71" s="263"/>
      <c r="H71" s="263"/>
      <c r="I71" s="263"/>
      <c r="J71" s="314"/>
      <c r="K71" s="259"/>
      <c r="L71" s="260"/>
    </row>
    <row r="72" spans="1:16" ht="20.399999999999999" x14ac:dyDescent="0.2">
      <c r="A72" s="421" t="s">
        <v>440</v>
      </c>
      <c r="B72" s="92">
        <v>0</v>
      </c>
      <c r="C72" s="92">
        <v>1</v>
      </c>
      <c r="D72" s="92">
        <v>4</v>
      </c>
      <c r="E72" s="92">
        <v>0</v>
      </c>
      <c r="F72" s="135">
        <f>ROUND(B72*Costs!$B$10+C72*Costs!$B$11+D72*Costs!$B$12+E72*Costs!$B$13,2)</f>
        <v>258.33999999999997</v>
      </c>
      <c r="G72" s="32" t="str">
        <f>Costs!$B$62</f>
        <v xml:space="preserve"> </v>
      </c>
      <c r="H72" s="135">
        <f>Costs!$B$16</f>
        <v>0</v>
      </c>
      <c r="I72" s="92"/>
      <c r="J72" s="112">
        <f>'EX 3'!J123</f>
        <v>0</v>
      </c>
      <c r="K72" s="94">
        <f>ROUND((I72+J72)*(B72+C72+D72+E72),2)</f>
        <v>0</v>
      </c>
      <c r="L72" s="136">
        <f>(F72+G72+H72)*(I72+J72)</f>
        <v>0</v>
      </c>
      <c r="N72" s="48">
        <f>F72*(I72+J72)</f>
        <v>0</v>
      </c>
      <c r="O72" s="48">
        <f>G72*(I72+J72)</f>
        <v>0</v>
      </c>
      <c r="P72" s="48">
        <f>H72*(I72+J72)</f>
        <v>0</v>
      </c>
    </row>
    <row r="73" spans="1:16" x14ac:dyDescent="0.2">
      <c r="A73" s="421" t="s">
        <v>80</v>
      </c>
      <c r="B73" s="92">
        <v>0</v>
      </c>
      <c r="C73" s="92">
        <v>0</v>
      </c>
      <c r="D73" s="92">
        <v>0</v>
      </c>
      <c r="E73" s="92">
        <v>0.5</v>
      </c>
      <c r="F73" s="135">
        <f>ROUND(B73*Costs!$B$10+C73*Costs!$B$11+D73*Costs!$B$12+E73*Costs!$B$13,2)</f>
        <v>14.48</v>
      </c>
      <c r="G73" s="32" t="str">
        <f>Costs!$B$62</f>
        <v xml:space="preserve"> </v>
      </c>
      <c r="H73" s="135">
        <f>Costs!$B$16</f>
        <v>0</v>
      </c>
      <c r="I73" s="92"/>
      <c r="J73" s="112">
        <f>SUM(J72)</f>
        <v>0</v>
      </c>
      <c r="K73" s="94">
        <f>ROUND((I73+J73)*(B73+C73+D73+E73),2)</f>
        <v>0</v>
      </c>
      <c r="L73" s="136">
        <f>(F73+G73+H73)*(I73+J73)</f>
        <v>0</v>
      </c>
      <c r="N73" s="48">
        <f>F73*(I73+J73)</f>
        <v>0</v>
      </c>
      <c r="O73" s="48">
        <f>G73*(I73+J73)</f>
        <v>0</v>
      </c>
      <c r="P73" s="48">
        <f>H73*(I73+J73)</f>
        <v>0</v>
      </c>
    </row>
    <row r="74" spans="1:16" x14ac:dyDescent="0.2">
      <c r="A74" s="461" t="s">
        <v>489</v>
      </c>
      <c r="B74" s="263"/>
      <c r="C74" s="263"/>
      <c r="D74" s="263"/>
      <c r="E74" s="263"/>
      <c r="F74" s="263"/>
      <c r="G74" s="263"/>
      <c r="H74" s="263"/>
      <c r="I74" s="263"/>
      <c r="J74" s="314"/>
      <c r="K74" s="259"/>
      <c r="L74" s="260"/>
    </row>
    <row r="75" spans="1:16" ht="20.399999999999999" x14ac:dyDescent="0.2">
      <c r="A75" s="421" t="s">
        <v>441</v>
      </c>
      <c r="B75" s="92">
        <v>0</v>
      </c>
      <c r="C75" s="92">
        <v>1</v>
      </c>
      <c r="D75" s="92">
        <v>4</v>
      </c>
      <c r="E75" s="92">
        <v>0</v>
      </c>
      <c r="F75" s="135">
        <f>ROUND(B75*Costs!$B$10+C75*Costs!$B$11+D75*Costs!$B$12+E75*Costs!$B$13,2)</f>
        <v>258.33999999999997</v>
      </c>
      <c r="G75" s="32" t="str">
        <f>Costs!$B$62</f>
        <v xml:space="preserve"> </v>
      </c>
      <c r="H75" s="135">
        <f>Costs!$B$16</f>
        <v>0</v>
      </c>
      <c r="I75" s="92"/>
      <c r="J75" s="112">
        <f>'EX 3'!J126</f>
        <v>0</v>
      </c>
      <c r="K75" s="94">
        <f>ROUND((I75+J75)*(B75+C75+D75+E75),2)</f>
        <v>0</v>
      </c>
      <c r="L75" s="136">
        <f>(F75+G75+H75)*(I75+J75)</f>
        <v>0</v>
      </c>
      <c r="N75" s="48">
        <f>F75*(I75+J75)</f>
        <v>0</v>
      </c>
      <c r="O75" s="48">
        <f>G75*(I75+J75)</f>
        <v>0</v>
      </c>
      <c r="P75" s="48">
        <f>H75*(I75+J75)</f>
        <v>0</v>
      </c>
    </row>
    <row r="76" spans="1:16" x14ac:dyDescent="0.2">
      <c r="A76" s="421" t="s">
        <v>80</v>
      </c>
      <c r="B76" s="92">
        <v>0</v>
      </c>
      <c r="C76" s="92">
        <v>0</v>
      </c>
      <c r="D76" s="92">
        <v>0</v>
      </c>
      <c r="E76" s="92">
        <v>0.5</v>
      </c>
      <c r="F76" s="135">
        <f>ROUND(B76*Costs!$B$10+C76*Costs!$B$11+D76*Costs!$B$12+E76*Costs!$B$13,2)</f>
        <v>14.48</v>
      </c>
      <c r="G76" s="32" t="str">
        <f>Costs!$B$62</f>
        <v xml:space="preserve"> </v>
      </c>
      <c r="H76" s="135">
        <f>Costs!$B$16</f>
        <v>0</v>
      </c>
      <c r="I76" s="92"/>
      <c r="J76" s="112">
        <f>SUM(J75)</f>
        <v>0</v>
      </c>
      <c r="K76" s="94">
        <f>ROUND((I76+J76)*(B76+C76+D76+E76),2)</f>
        <v>0</v>
      </c>
      <c r="L76" s="136">
        <f>(F76+G76+H76)*(I76+J76)</f>
        <v>0</v>
      </c>
      <c r="N76" s="48">
        <f>F76*(I76+J76)</f>
        <v>0</v>
      </c>
      <c r="O76" s="48">
        <f>G76*(I76+J76)</f>
        <v>0</v>
      </c>
      <c r="P76" s="48">
        <f>H76*(I76+J76)</f>
        <v>0</v>
      </c>
    </row>
    <row r="77" spans="1:16" x14ac:dyDescent="0.2">
      <c r="A77" s="456" t="s">
        <v>490</v>
      </c>
      <c r="B77" s="457"/>
      <c r="C77" s="457"/>
      <c r="D77" s="457"/>
      <c r="E77" s="457"/>
      <c r="F77" s="457"/>
      <c r="G77" s="457"/>
      <c r="H77" s="457"/>
      <c r="I77" s="457"/>
      <c r="J77" s="252"/>
      <c r="K77" s="459"/>
      <c r="L77" s="460"/>
    </row>
    <row r="78" spans="1:16" x14ac:dyDescent="0.2">
      <c r="A78" s="461" t="s">
        <v>491</v>
      </c>
      <c r="B78" s="263"/>
      <c r="C78" s="263"/>
      <c r="D78" s="263"/>
      <c r="E78" s="263"/>
      <c r="F78" s="263"/>
      <c r="G78" s="263"/>
      <c r="H78" s="263"/>
      <c r="I78" s="263"/>
      <c r="J78" s="310"/>
      <c r="K78" s="474" t="s">
        <v>240</v>
      </c>
      <c r="L78" s="260"/>
    </row>
    <row r="79" spans="1:16" ht="20.399999999999999" x14ac:dyDescent="0.2">
      <c r="A79" s="421" t="s">
        <v>442</v>
      </c>
      <c r="B79" s="92">
        <v>0</v>
      </c>
      <c r="C79" s="92">
        <v>1</v>
      </c>
      <c r="D79" s="92">
        <v>4</v>
      </c>
      <c r="E79" s="92">
        <v>0</v>
      </c>
      <c r="F79" s="135">
        <f>ROUND(B79*Costs!$B$10+C79*Costs!$B$11+D79*Costs!$B$12+E79*Costs!$B$13,2)</f>
        <v>258.33999999999997</v>
      </c>
      <c r="G79" s="32" t="str">
        <f>Costs!$B$62</f>
        <v xml:space="preserve"> </v>
      </c>
      <c r="H79" s="135">
        <f>Costs!$B$16</f>
        <v>0</v>
      </c>
      <c r="I79" s="92"/>
      <c r="J79" s="112">
        <f>'EX 3'!J129</f>
        <v>0</v>
      </c>
      <c r="K79" s="94">
        <f>ROUND((I79+J79)*(B79+C79+D79+E79),2)</f>
        <v>0</v>
      </c>
      <c r="L79" s="136">
        <f>(F79+G79+H79)*(I79+J79)</f>
        <v>0</v>
      </c>
      <c r="N79" s="48">
        <f>F79*(I79+J79)</f>
        <v>0</v>
      </c>
      <c r="O79" s="48">
        <f>G79*(I79+J79)</f>
        <v>0</v>
      </c>
      <c r="P79" s="48">
        <f>H79*(I79+J79)</f>
        <v>0</v>
      </c>
    </row>
    <row r="80" spans="1:16" x14ac:dyDescent="0.2">
      <c r="A80" s="421" t="s">
        <v>80</v>
      </c>
      <c r="B80" s="92">
        <v>0</v>
      </c>
      <c r="C80" s="92">
        <v>0</v>
      </c>
      <c r="D80" s="92">
        <v>0</v>
      </c>
      <c r="E80" s="92">
        <v>0.5</v>
      </c>
      <c r="F80" s="135">
        <f>ROUND(B80*Costs!$B$10+C80*Costs!$B$11+D80*Costs!$B$12+E80*Costs!$B$13,2)</f>
        <v>14.48</v>
      </c>
      <c r="G80" s="32" t="str">
        <f>Costs!$B$62</f>
        <v xml:space="preserve"> </v>
      </c>
      <c r="H80" s="135">
        <f>Costs!$B$16</f>
        <v>0</v>
      </c>
      <c r="I80" s="92"/>
      <c r="J80" s="112">
        <f>SUM(J79)</f>
        <v>0</v>
      </c>
      <c r="K80" s="94">
        <f>ROUND((I80+J80)*(B80+C80+D80+E80),2)</f>
        <v>0</v>
      </c>
      <c r="L80" s="136">
        <f>(F80+G80+H80)*(I80+J80)</f>
        <v>0</v>
      </c>
      <c r="N80" s="48">
        <f>F80*(I80+J80)</f>
        <v>0</v>
      </c>
      <c r="O80" s="48">
        <f>G80*(I80+J80)</f>
        <v>0</v>
      </c>
      <c r="P80" s="48">
        <f>H80*(I80+J80)</f>
        <v>0</v>
      </c>
    </row>
    <row r="81" spans="1:16" x14ac:dyDescent="0.2">
      <c r="A81" s="461" t="s">
        <v>406</v>
      </c>
      <c r="B81" s="263"/>
      <c r="C81" s="263"/>
      <c r="D81" s="263"/>
      <c r="E81" s="263"/>
      <c r="F81" s="263"/>
      <c r="G81" s="263"/>
      <c r="H81" s="263"/>
      <c r="I81" s="263"/>
      <c r="J81" s="314"/>
      <c r="K81" s="259"/>
      <c r="L81" s="260"/>
    </row>
    <row r="82" spans="1:16" ht="40.799999999999997" x14ac:dyDescent="0.2">
      <c r="A82" s="421" t="s">
        <v>443</v>
      </c>
      <c r="B82" s="92">
        <v>0</v>
      </c>
      <c r="C82" s="92">
        <v>2</v>
      </c>
      <c r="D82" s="92">
        <v>16</v>
      </c>
      <c r="E82" s="92">
        <v>0</v>
      </c>
      <c r="F82" s="135">
        <f>ROUND(B82*Costs!$B$10+C82*Costs!$B$11+D82*Costs!$B$12+E82*Costs!$B$13,2)</f>
        <v>897.64</v>
      </c>
      <c r="G82" s="32" t="str">
        <f>Costs!$B$62</f>
        <v xml:space="preserve"> </v>
      </c>
      <c r="H82" s="135">
        <f>Costs!$B$16</f>
        <v>0</v>
      </c>
      <c r="I82" s="92"/>
      <c r="J82" s="112">
        <f>'EX 3'!J132</f>
        <v>0</v>
      </c>
      <c r="K82" s="94">
        <f>ROUND((I82+J82)*(B82+C82+D82+E82),2)</f>
        <v>0</v>
      </c>
      <c r="L82" s="136">
        <f>(F82+G82+H82)*(I82+J82)</f>
        <v>0</v>
      </c>
      <c r="N82" s="48">
        <f>F82*(I82+J82)</f>
        <v>0</v>
      </c>
      <c r="O82" s="48">
        <f>G82*(I82+J82)</f>
        <v>0</v>
      </c>
      <c r="P82" s="48">
        <f>H82*(I82+J82)</f>
        <v>0</v>
      </c>
    </row>
    <row r="83" spans="1:16" ht="20.399999999999999" x14ac:dyDescent="0.2">
      <c r="A83" s="421" t="s">
        <v>444</v>
      </c>
      <c r="B83" s="92">
        <v>0</v>
      </c>
      <c r="C83" s="92">
        <v>3</v>
      </c>
      <c r="D83" s="92">
        <v>24</v>
      </c>
      <c r="E83" s="92">
        <v>0</v>
      </c>
      <c r="F83" s="135">
        <f>ROUND(B83*Costs!$B$10+C83*Costs!$B$11+D83*Costs!$B$12+E83*Costs!$B$13,2)</f>
        <v>1346.46</v>
      </c>
      <c r="G83" s="32" t="str">
        <f>Costs!$B$62</f>
        <v xml:space="preserve"> </v>
      </c>
      <c r="H83" s="135">
        <f>Costs!$B$16</f>
        <v>0</v>
      </c>
      <c r="I83" s="92"/>
      <c r="J83" s="112">
        <f>'EX 3'!J133</f>
        <v>0</v>
      </c>
      <c r="K83" s="94">
        <f>ROUND((I83+J83)*(B83+C83+D83+E83),2)</f>
        <v>0</v>
      </c>
      <c r="L83" s="136">
        <f>(F83+G83+H83)*(I83+J83)</f>
        <v>0</v>
      </c>
      <c r="N83" s="48">
        <f>F83*(I83+J83)</f>
        <v>0</v>
      </c>
      <c r="O83" s="48">
        <f>G83*(I83+J83)</f>
        <v>0</v>
      </c>
      <c r="P83" s="48">
        <f>H83*(I83+J83)</f>
        <v>0</v>
      </c>
    </row>
    <row r="84" spans="1:16" ht="10.8" thickBot="1" x14ac:dyDescent="0.25">
      <c r="A84" s="424" t="s">
        <v>80</v>
      </c>
      <c r="B84" s="282">
        <v>0</v>
      </c>
      <c r="C84" s="282">
        <v>0</v>
      </c>
      <c r="D84" s="282">
        <v>0</v>
      </c>
      <c r="E84" s="282">
        <v>2</v>
      </c>
      <c r="F84" s="426">
        <f>ROUND(B84*Costs!$B$10+C84*Costs!$B$11+D84*Costs!$B$12+E84*Costs!$B$13,2)</f>
        <v>57.92</v>
      </c>
      <c r="G84" s="191" t="str">
        <f>Costs!$B$62</f>
        <v xml:space="preserve"> </v>
      </c>
      <c r="H84" s="426">
        <f>Costs!$B$16</f>
        <v>0</v>
      </c>
      <c r="I84" s="282"/>
      <c r="J84" s="427">
        <f>SUM(J82:J83)</f>
        <v>0</v>
      </c>
      <c r="K84" s="285">
        <f>ROUND((I84+J84)*(B84+C84+D84+E84),2)</f>
        <v>0</v>
      </c>
      <c r="L84" s="441">
        <f>(F84+G84+H84)*(I84+J84)</f>
        <v>0</v>
      </c>
      <c r="N84" s="48">
        <f>F84*(I84+J84)</f>
        <v>0</v>
      </c>
      <c r="O84" s="48">
        <f>G84*(I84+J84)</f>
        <v>0</v>
      </c>
      <c r="P84" s="48">
        <f>H84*(I84+J84)</f>
        <v>0</v>
      </c>
    </row>
    <row r="85" spans="1:16" ht="10.8" thickBot="1" x14ac:dyDescent="0.25">
      <c r="A85" s="430" t="s">
        <v>596</v>
      </c>
      <c r="B85" s="455" t="s">
        <v>597</v>
      </c>
      <c r="C85" s="455" t="s">
        <v>597</v>
      </c>
      <c r="D85" s="455" t="s">
        <v>597</v>
      </c>
      <c r="E85" s="455" t="s">
        <v>597</v>
      </c>
      <c r="F85" s="455" t="s">
        <v>597</v>
      </c>
      <c r="G85" s="455" t="s">
        <v>597</v>
      </c>
      <c r="H85" s="455" t="s">
        <v>597</v>
      </c>
      <c r="I85" s="455" t="s">
        <v>597</v>
      </c>
      <c r="J85" s="455" t="s">
        <v>597</v>
      </c>
      <c r="K85" s="304">
        <f>SUM(K66:K84)</f>
        <v>0</v>
      </c>
      <c r="L85" s="294">
        <f>SUM(L66:L84)</f>
        <v>0</v>
      </c>
      <c r="N85" s="93">
        <f>SUM(N66:N84)</f>
        <v>0</v>
      </c>
      <c r="O85" s="93">
        <f>SUM(O66:O84)</f>
        <v>0</v>
      </c>
      <c r="P85" s="93">
        <f>SUM(P66:P84)</f>
        <v>0</v>
      </c>
    </row>
    <row r="86" spans="1:16" x14ac:dyDescent="0.2">
      <c r="A86" s="495" t="s">
        <v>407</v>
      </c>
      <c r="B86" s="333"/>
      <c r="C86" s="333"/>
      <c r="D86" s="333"/>
      <c r="E86" s="333"/>
      <c r="F86" s="333"/>
      <c r="G86" s="333"/>
      <c r="H86" s="333"/>
      <c r="I86" s="333"/>
      <c r="J86" s="346"/>
      <c r="K86" s="337"/>
      <c r="L86" s="338"/>
    </row>
    <row r="87" spans="1:16" ht="20.399999999999999" x14ac:dyDescent="0.2">
      <c r="A87" s="421" t="s">
        <v>445</v>
      </c>
      <c r="B87" s="92">
        <v>0</v>
      </c>
      <c r="C87" s="92">
        <v>1</v>
      </c>
      <c r="D87" s="92">
        <v>8</v>
      </c>
      <c r="E87" s="92">
        <v>0</v>
      </c>
      <c r="F87" s="135">
        <f>ROUND(B87*Costs!$B$10+C87*Costs!$B$11+D87*Costs!$B$12+E87*Costs!$B$13,2)</f>
        <v>448.82</v>
      </c>
      <c r="G87" s="32" t="str">
        <f>Costs!$B$62</f>
        <v xml:space="preserve"> </v>
      </c>
      <c r="H87" s="135">
        <f>Costs!$B$16</f>
        <v>0</v>
      </c>
      <c r="I87" s="92"/>
      <c r="J87" s="112">
        <f>'EX 3'!I137</f>
        <v>4</v>
      </c>
      <c r="K87" s="94">
        <f>ROUND((I87+J87)*(B87+C87+D87+E87),2)</f>
        <v>36</v>
      </c>
      <c r="L87" s="136">
        <f>(F87+G87+H87)*(I87+J87)</f>
        <v>1795.28</v>
      </c>
      <c r="N87" s="48">
        <f>F87*(I87+J87)</f>
        <v>1795.28</v>
      </c>
      <c r="O87" s="48">
        <f>G87*(I87+J87)</f>
        <v>0</v>
      </c>
      <c r="P87" s="48">
        <f>H87*(I87+J87)</f>
        <v>0</v>
      </c>
    </row>
    <row r="88" spans="1:16" ht="10.8" thickBot="1" x14ac:dyDescent="0.25">
      <c r="A88" s="424" t="s">
        <v>80</v>
      </c>
      <c r="B88" s="282">
        <v>0</v>
      </c>
      <c r="C88" s="282">
        <v>0</v>
      </c>
      <c r="D88" s="282">
        <v>0</v>
      </c>
      <c r="E88" s="282">
        <v>0.25</v>
      </c>
      <c r="F88" s="426">
        <f>ROUND(B88*Costs!$B$10+C88*Costs!$B$11+D88*Costs!$B$12+E88*Costs!$B$13,2)</f>
        <v>7.24</v>
      </c>
      <c r="G88" s="191" t="str">
        <f>Costs!$B$62</f>
        <v xml:space="preserve"> </v>
      </c>
      <c r="H88" s="426">
        <f>Costs!$B$16</f>
        <v>0</v>
      </c>
      <c r="I88" s="282"/>
      <c r="J88" s="427">
        <f>SUM(J87)</f>
        <v>4</v>
      </c>
      <c r="K88" s="285">
        <f>ROUND((I88+J88)*(B88+C88+D88+E88),2)</f>
        <v>1</v>
      </c>
      <c r="L88" s="441">
        <f>(F88+G88+H88)*(I88+J88)</f>
        <v>28.96</v>
      </c>
      <c r="N88" s="48">
        <f>F88*(I88+J88)</f>
        <v>28.96</v>
      </c>
      <c r="O88" s="48">
        <f>G88*(I88+J88)</f>
        <v>0</v>
      </c>
      <c r="P88" s="48">
        <f>H88*(I88+J88)</f>
        <v>0</v>
      </c>
    </row>
    <row r="89" spans="1:16" ht="10.8" thickBot="1" x14ac:dyDescent="0.25">
      <c r="A89" s="430" t="s">
        <v>596</v>
      </c>
      <c r="B89" s="455" t="s">
        <v>597</v>
      </c>
      <c r="C89" s="455" t="s">
        <v>597</v>
      </c>
      <c r="D89" s="455" t="s">
        <v>597</v>
      </c>
      <c r="E89" s="455" t="s">
        <v>597</v>
      </c>
      <c r="F89" s="455" t="s">
        <v>597</v>
      </c>
      <c r="G89" s="455" t="s">
        <v>597</v>
      </c>
      <c r="H89" s="455" t="s">
        <v>597</v>
      </c>
      <c r="I89" s="455" t="s">
        <v>597</v>
      </c>
      <c r="J89" s="455" t="s">
        <v>597</v>
      </c>
      <c r="K89" s="304">
        <f>SUM(K87:K88)</f>
        <v>37</v>
      </c>
      <c r="L89" s="294">
        <f>SUM(L87:L88)</f>
        <v>1824.24</v>
      </c>
      <c r="N89" s="93">
        <f>SUM(N87:N88)</f>
        <v>1824.24</v>
      </c>
      <c r="O89" s="93">
        <f>SUM(O87:O88)</f>
        <v>0</v>
      </c>
      <c r="P89" s="93">
        <f>SUM(P87:P88)</f>
        <v>0</v>
      </c>
    </row>
    <row r="90" spans="1:16" x14ac:dyDescent="0.2">
      <c r="A90" s="495" t="s">
        <v>408</v>
      </c>
      <c r="B90" s="333"/>
      <c r="C90" s="333"/>
      <c r="D90" s="333"/>
      <c r="E90" s="333"/>
      <c r="F90" s="333"/>
      <c r="G90" s="333"/>
      <c r="H90" s="333"/>
      <c r="I90" s="333"/>
      <c r="J90" s="335"/>
      <c r="K90" s="337"/>
      <c r="L90" s="338"/>
    </row>
    <row r="91" spans="1:16" ht="30.6" x14ac:dyDescent="0.2">
      <c r="A91" s="421" t="s">
        <v>446</v>
      </c>
      <c r="B91" s="92">
        <v>0</v>
      </c>
      <c r="C91" s="92">
        <v>1</v>
      </c>
      <c r="D91" s="92">
        <v>8</v>
      </c>
      <c r="E91" s="92">
        <v>0</v>
      </c>
      <c r="F91" s="135">
        <f>ROUND(B91*Costs!$B$10+C91*Costs!$B$11+D91*Costs!$B$12+E91*Costs!$B$13,2)</f>
        <v>448.82</v>
      </c>
      <c r="G91" s="32" t="str">
        <f>Costs!$B$62</f>
        <v xml:space="preserve"> </v>
      </c>
      <c r="H91" s="135">
        <f>Costs!$B$16</f>
        <v>0</v>
      </c>
      <c r="I91" s="92"/>
      <c r="J91" s="112">
        <f>'EX 3'!J141</f>
        <v>0</v>
      </c>
      <c r="K91" s="94">
        <f>ROUND((I91+J91)*(B91+C91+D91+E91),2)</f>
        <v>0</v>
      </c>
      <c r="L91" s="136">
        <f>(F91+G91+H91)*(I91+J91)</f>
        <v>0</v>
      </c>
      <c r="N91" s="48">
        <f>F91*(I91+J91)</f>
        <v>0</v>
      </c>
      <c r="O91" s="48">
        <f>G91*(I91+J91)</f>
        <v>0</v>
      </c>
      <c r="P91" s="48">
        <f>H91*(I91+J91)</f>
        <v>0</v>
      </c>
    </row>
    <row r="92" spans="1:16" ht="10.8" thickBot="1" x14ac:dyDescent="0.25">
      <c r="A92" s="424" t="s">
        <v>80</v>
      </c>
      <c r="B92" s="282">
        <v>0</v>
      </c>
      <c r="C92" s="282">
        <v>0</v>
      </c>
      <c r="D92" s="282">
        <v>0</v>
      </c>
      <c r="E92" s="282">
        <v>0.25</v>
      </c>
      <c r="F92" s="426">
        <f>ROUND(B92*Costs!$B$10+C92*Costs!$B$11+D92*Costs!$B$12+E92*Costs!$B$13,2)</f>
        <v>7.24</v>
      </c>
      <c r="G92" s="191" t="str">
        <f>Costs!$B$62</f>
        <v xml:space="preserve"> </v>
      </c>
      <c r="H92" s="426">
        <f>Costs!$B$16</f>
        <v>0</v>
      </c>
      <c r="I92" s="282"/>
      <c r="J92" s="427">
        <f>SUM(J91)</f>
        <v>0</v>
      </c>
      <c r="K92" s="285">
        <f>ROUND((I92+J92)*(B92+C92+D92+E92),2)</f>
        <v>0</v>
      </c>
      <c r="L92" s="441">
        <f>(F92+G92+H92)*(I92+J92)</f>
        <v>0</v>
      </c>
      <c r="N92" s="48">
        <f>F92*(I92+J92)</f>
        <v>0</v>
      </c>
      <c r="O92" s="48">
        <f>G92*(I92+J92)</f>
        <v>0</v>
      </c>
      <c r="P92" s="48">
        <f>H92*(I92+J92)</f>
        <v>0</v>
      </c>
    </row>
    <row r="93" spans="1:16" ht="10.8" thickBot="1" x14ac:dyDescent="0.25">
      <c r="A93" s="430" t="s">
        <v>596</v>
      </c>
      <c r="B93" s="455" t="s">
        <v>597</v>
      </c>
      <c r="C93" s="455" t="s">
        <v>597</v>
      </c>
      <c r="D93" s="455" t="s">
        <v>597</v>
      </c>
      <c r="E93" s="455" t="s">
        <v>597</v>
      </c>
      <c r="F93" s="455" t="s">
        <v>597</v>
      </c>
      <c r="G93" s="455" t="s">
        <v>597</v>
      </c>
      <c r="H93" s="455" t="s">
        <v>597</v>
      </c>
      <c r="I93" s="455" t="s">
        <v>597</v>
      </c>
      <c r="J93" s="455" t="s">
        <v>597</v>
      </c>
      <c r="K93" s="304">
        <f>SUM(K91:K92)</f>
        <v>0</v>
      </c>
      <c r="L93" s="294">
        <f>SUM(L91:L92)</f>
        <v>0</v>
      </c>
      <c r="N93" s="93">
        <f>SUM(N91:N92)</f>
        <v>0</v>
      </c>
      <c r="O93" s="93">
        <f>SUM(O91:O92)</f>
        <v>0</v>
      </c>
      <c r="P93" s="93">
        <f>SUM(P91:P92)</f>
        <v>0</v>
      </c>
    </row>
    <row r="94" spans="1:16" x14ac:dyDescent="0.2">
      <c r="A94" s="495" t="s">
        <v>492</v>
      </c>
      <c r="B94" s="333"/>
      <c r="C94" s="333"/>
      <c r="D94" s="333"/>
      <c r="E94" s="333"/>
      <c r="F94" s="333"/>
      <c r="G94" s="333"/>
      <c r="H94" s="333"/>
      <c r="I94" s="333"/>
      <c r="J94" s="346"/>
      <c r="K94" s="337"/>
      <c r="L94" s="338"/>
    </row>
    <row r="95" spans="1:16" ht="21" thickBot="1" x14ac:dyDescent="0.25">
      <c r="A95" s="424" t="s">
        <v>447</v>
      </c>
      <c r="B95" s="282">
        <v>0</v>
      </c>
      <c r="C95" s="282">
        <v>0.5</v>
      </c>
      <c r="D95" s="282">
        <v>2</v>
      </c>
      <c r="E95" s="282">
        <v>0</v>
      </c>
      <c r="F95" s="426">
        <f>ROUND(B95*Costs!$B$10+C95*Costs!$B$11+D95*Costs!$B$12+E95*Costs!$B$13,2)</f>
        <v>129.16999999999999</v>
      </c>
      <c r="G95" s="191" t="str">
        <f>Costs!$B$62</f>
        <v xml:space="preserve"> </v>
      </c>
      <c r="H95" s="426">
        <f>Costs!$B$16</f>
        <v>0</v>
      </c>
      <c r="I95" s="282"/>
      <c r="J95" s="427">
        <f>'EX 3'!J145</f>
        <v>0</v>
      </c>
      <c r="K95" s="285">
        <f>ROUND((I95+J95)*(B95+C95+D95+E95),2)</f>
        <v>0</v>
      </c>
      <c r="L95" s="441">
        <f>(F95+G95+H95)*(I95+J95)</f>
        <v>0</v>
      </c>
      <c r="N95" s="48">
        <f>F95*(I95+J95)</f>
        <v>0</v>
      </c>
      <c r="O95" s="48">
        <f>G95*(I95+J95)</f>
        <v>0</v>
      </c>
      <c r="P95" s="48">
        <f>H95*(I95+J95)</f>
        <v>0</v>
      </c>
    </row>
    <row r="96" spans="1:16" ht="10.8" thickBot="1" x14ac:dyDescent="0.25">
      <c r="A96" s="430" t="s">
        <v>596</v>
      </c>
      <c r="B96" s="455" t="s">
        <v>597</v>
      </c>
      <c r="C96" s="455" t="s">
        <v>597</v>
      </c>
      <c r="D96" s="455" t="s">
        <v>597</v>
      </c>
      <c r="E96" s="455" t="s">
        <v>597</v>
      </c>
      <c r="F96" s="455" t="s">
        <v>597</v>
      </c>
      <c r="G96" s="455" t="s">
        <v>597</v>
      </c>
      <c r="H96" s="455" t="s">
        <v>597</v>
      </c>
      <c r="I96" s="455" t="s">
        <v>597</v>
      </c>
      <c r="J96" s="455" t="s">
        <v>597</v>
      </c>
      <c r="K96" s="304">
        <f>(K95)</f>
        <v>0</v>
      </c>
      <c r="L96" s="294">
        <f>(L95)</f>
        <v>0</v>
      </c>
      <c r="N96" s="93">
        <f>(N95)</f>
        <v>0</v>
      </c>
      <c r="O96" s="93">
        <f>(O95)</f>
        <v>0</v>
      </c>
      <c r="P96" s="93">
        <f>(P95)</f>
        <v>0</v>
      </c>
    </row>
    <row r="97" spans="1:16" ht="10.8" thickBot="1" x14ac:dyDescent="0.25">
      <c r="A97" s="430" t="s">
        <v>567</v>
      </c>
      <c r="B97" s="455" t="s">
        <v>597</v>
      </c>
      <c r="C97" s="455" t="s">
        <v>597</v>
      </c>
      <c r="D97" s="455" t="s">
        <v>597</v>
      </c>
      <c r="E97" s="455" t="s">
        <v>597</v>
      </c>
      <c r="F97" s="455" t="s">
        <v>597</v>
      </c>
      <c r="G97" s="455" t="s">
        <v>597</v>
      </c>
      <c r="H97" s="455" t="s">
        <v>597</v>
      </c>
      <c r="I97" s="455" t="s">
        <v>597</v>
      </c>
      <c r="J97" s="455" t="s">
        <v>597</v>
      </c>
      <c r="K97" s="304">
        <f>K53+K63+K85+K89+K93+K96</f>
        <v>37</v>
      </c>
      <c r="L97" s="294">
        <f>L53+L63+L85+L89+L93+L96</f>
        <v>1824.24</v>
      </c>
      <c r="N97" s="93">
        <f>N53+N63+N85+N89+N93+N96</f>
        <v>1824.24</v>
      </c>
      <c r="O97" s="93">
        <f>O53+O63+O85+O89+O93+O96</f>
        <v>0</v>
      </c>
      <c r="P97" s="93">
        <f>P53+P63+P85+P89+P93+P96</f>
        <v>0</v>
      </c>
    </row>
    <row r="98" spans="1:16" x14ac:dyDescent="0.2">
      <c r="B98" s="39"/>
      <c r="C98" s="39"/>
      <c r="D98" s="39"/>
      <c r="E98" s="39"/>
      <c r="F98" s="39"/>
      <c r="G98" s="39"/>
      <c r="H98" s="39"/>
      <c r="I98" s="39"/>
      <c r="L98" s="31"/>
    </row>
    <row r="99" spans="1:16" x14ac:dyDescent="0.2">
      <c r="B99" s="39"/>
      <c r="C99" s="39"/>
      <c r="D99" s="39"/>
      <c r="E99" s="39"/>
      <c r="F99" s="39"/>
      <c r="G99" s="39"/>
      <c r="H99" s="39"/>
      <c r="I99" s="39"/>
      <c r="L99" s="31"/>
    </row>
    <row r="100" spans="1:16" x14ac:dyDescent="0.2">
      <c r="B100" s="39"/>
      <c r="C100" s="39"/>
      <c r="D100" s="39"/>
      <c r="E100" s="39"/>
      <c r="F100" s="39"/>
      <c r="G100" s="39"/>
      <c r="H100" s="39"/>
      <c r="I100" s="39"/>
      <c r="J100" s="7"/>
      <c r="L100" s="31"/>
      <c r="M100" s="2"/>
    </row>
    <row r="101" spans="1:16" ht="18" x14ac:dyDescent="0.35">
      <c r="A101" s="572" t="s">
        <v>703</v>
      </c>
      <c r="B101" s="39"/>
      <c r="C101" s="39"/>
      <c r="D101" s="39"/>
      <c r="E101" s="39"/>
      <c r="F101" s="39"/>
      <c r="G101" s="39"/>
      <c r="H101" s="39"/>
      <c r="I101" s="39"/>
      <c r="J101" s="7"/>
      <c r="L101" s="31"/>
      <c r="M101" s="2"/>
    </row>
    <row r="102" spans="1:16" ht="18" x14ac:dyDescent="0.35">
      <c r="A102" s="572" t="s">
        <v>382</v>
      </c>
      <c r="B102" s="39"/>
      <c r="C102" s="39"/>
      <c r="D102" s="39"/>
      <c r="E102" s="39"/>
      <c r="F102" s="39"/>
      <c r="G102" s="39"/>
      <c r="H102" s="39"/>
      <c r="I102" s="39"/>
      <c r="J102" s="7"/>
      <c r="L102" s="31"/>
      <c r="M102" s="2"/>
    </row>
    <row r="103" spans="1:16" ht="18" x14ac:dyDescent="0.35">
      <c r="A103" s="572" t="s">
        <v>479</v>
      </c>
      <c r="B103" s="39"/>
      <c r="C103" s="39"/>
      <c r="D103" s="39"/>
      <c r="E103" s="39"/>
      <c r="F103" s="39"/>
      <c r="G103" s="39"/>
      <c r="H103" s="39"/>
      <c r="I103" s="39"/>
      <c r="L103" s="31"/>
    </row>
    <row r="104" spans="1:16" ht="18" x14ac:dyDescent="0.35">
      <c r="A104" s="573" t="s">
        <v>230</v>
      </c>
      <c r="B104" s="39"/>
      <c r="C104" s="39"/>
      <c r="D104" s="39"/>
      <c r="E104" s="39"/>
      <c r="F104" s="39"/>
      <c r="G104" s="39"/>
      <c r="H104" s="39"/>
      <c r="I104" s="39"/>
      <c r="J104" s="7"/>
      <c r="L104" s="31"/>
      <c r="M104" s="2"/>
    </row>
    <row r="105" spans="1:16" x14ac:dyDescent="0.2">
      <c r="A105" s="11"/>
      <c r="B105" s="39"/>
      <c r="C105" s="39"/>
      <c r="D105" s="39"/>
      <c r="E105" s="39"/>
      <c r="F105" s="39"/>
      <c r="G105" s="39"/>
      <c r="H105" s="39"/>
      <c r="I105" s="39"/>
      <c r="J105" s="7"/>
      <c r="L105" s="31"/>
      <c r="M105" s="2"/>
    </row>
    <row r="106" spans="1:16" x14ac:dyDescent="0.2">
      <c r="B106" s="57" t="s">
        <v>682</v>
      </c>
      <c r="C106" s="58"/>
      <c r="D106" s="58"/>
      <c r="E106" s="58"/>
      <c r="F106" s="58"/>
      <c r="G106" s="61"/>
      <c r="H106" s="58"/>
      <c r="I106" s="58"/>
      <c r="J106" s="59" t="s">
        <v>577</v>
      </c>
      <c r="K106" s="80"/>
      <c r="L106" s="60"/>
      <c r="M106" s="2"/>
    </row>
    <row r="107" spans="1:16" x14ac:dyDescent="0.2">
      <c r="B107" s="54"/>
      <c r="C107" s="51"/>
      <c r="D107" s="51"/>
      <c r="E107" s="51"/>
      <c r="F107" s="51"/>
      <c r="G107" s="52"/>
      <c r="H107" s="51"/>
      <c r="I107" s="51"/>
      <c r="J107" s="72"/>
      <c r="K107" s="67"/>
      <c r="L107" s="56"/>
      <c r="M107" s="2"/>
    </row>
    <row r="108" spans="1:16" x14ac:dyDescent="0.2">
      <c r="B108" s="9" t="s">
        <v>569</v>
      </c>
      <c r="C108" s="13" t="s">
        <v>570</v>
      </c>
      <c r="D108" s="13" t="s">
        <v>571</v>
      </c>
      <c r="E108" s="13" t="s">
        <v>572</v>
      </c>
      <c r="F108" s="13" t="s">
        <v>578</v>
      </c>
      <c r="G108" s="419"/>
      <c r="H108" s="418"/>
      <c r="I108" s="418"/>
      <c r="J108" s="36"/>
      <c r="K108" s="420"/>
      <c r="L108" s="33"/>
      <c r="M108" s="2"/>
    </row>
    <row r="109" spans="1:16" x14ac:dyDescent="0.2">
      <c r="B109" s="10">
        <f>Costs!$B$10</f>
        <v>94.34</v>
      </c>
      <c r="C109" s="10">
        <f>Costs!$B$11</f>
        <v>67.86</v>
      </c>
      <c r="D109" s="10">
        <f>Costs!$B$12</f>
        <v>47.62</v>
      </c>
      <c r="E109" s="10">
        <f>Costs!$B$13</f>
        <v>28.96</v>
      </c>
      <c r="F109" s="13" t="s">
        <v>275</v>
      </c>
      <c r="G109" s="1" t="s">
        <v>244</v>
      </c>
      <c r="H109" s="30" t="s">
        <v>585</v>
      </c>
      <c r="I109" s="30"/>
      <c r="J109" s="13" t="s">
        <v>568</v>
      </c>
      <c r="K109" s="43" t="s">
        <v>582</v>
      </c>
      <c r="L109" s="13" t="s">
        <v>271</v>
      </c>
      <c r="M109" s="2"/>
    </row>
    <row r="110" spans="1:16" x14ac:dyDescent="0.2">
      <c r="A110" s="11" t="s">
        <v>588</v>
      </c>
      <c r="B110" s="1" t="s">
        <v>590</v>
      </c>
      <c r="C110" s="1" t="s">
        <v>590</v>
      </c>
      <c r="D110" s="1" t="s">
        <v>590</v>
      </c>
      <c r="E110" s="1" t="s">
        <v>590</v>
      </c>
      <c r="F110" s="1" t="s">
        <v>276</v>
      </c>
      <c r="G110" s="1" t="s">
        <v>592</v>
      </c>
      <c r="H110" s="30" t="s">
        <v>592</v>
      </c>
      <c r="I110" s="30"/>
      <c r="J110" s="13" t="s">
        <v>593</v>
      </c>
      <c r="K110" s="43" t="s">
        <v>591</v>
      </c>
      <c r="L110" s="13" t="s">
        <v>272</v>
      </c>
    </row>
    <row r="111" spans="1:16" x14ac:dyDescent="0.2">
      <c r="A111" s="456" t="s">
        <v>493</v>
      </c>
      <c r="B111" s="457"/>
      <c r="C111" s="457"/>
      <c r="D111" s="457"/>
      <c r="E111" s="457"/>
      <c r="F111" s="457"/>
      <c r="G111" s="457"/>
      <c r="H111" s="457"/>
      <c r="I111" s="457"/>
      <c r="J111" s="458"/>
      <c r="K111" s="459"/>
      <c r="L111" s="460"/>
    </row>
    <row r="112" spans="1:16" x14ac:dyDescent="0.2">
      <c r="A112" s="461" t="s">
        <v>481</v>
      </c>
      <c r="B112" s="263"/>
      <c r="C112" s="263"/>
      <c r="D112" s="263"/>
      <c r="E112" s="263"/>
      <c r="F112" s="263"/>
      <c r="G112" s="263"/>
      <c r="H112" s="263"/>
      <c r="I112" s="263"/>
      <c r="J112" s="261"/>
      <c r="K112" s="265"/>
      <c r="L112" s="260"/>
    </row>
    <row r="113" spans="1:16" x14ac:dyDescent="0.2">
      <c r="A113" s="421" t="s">
        <v>422</v>
      </c>
      <c r="B113" s="92">
        <v>1</v>
      </c>
      <c r="C113" s="92">
        <v>0.5</v>
      </c>
      <c r="D113" s="92">
        <v>1</v>
      </c>
      <c r="E113" s="92">
        <v>0</v>
      </c>
      <c r="F113" s="135">
        <f>ROUND(B113*Costs!$B$10+C113*Costs!$B$11+D113*Costs!$B$12+E113*Costs!$B$13,2)</f>
        <v>175.89</v>
      </c>
      <c r="G113" s="32" t="str">
        <f>Costs!$B$62</f>
        <v xml:space="preserve"> </v>
      </c>
      <c r="H113" s="135">
        <f>Costs!$B$16</f>
        <v>0</v>
      </c>
      <c r="I113" s="92"/>
      <c r="J113" s="95">
        <f>'EX 3'!I175</f>
        <v>0</v>
      </c>
      <c r="K113" s="94">
        <f>ROUND((I113+J113)*(B113+C113+D113+E113),2)</f>
        <v>0</v>
      </c>
      <c r="L113" s="136">
        <f>(F113+G113+H113)*(I113+J113)</f>
        <v>0</v>
      </c>
      <c r="M113" s="4"/>
      <c r="N113" s="48">
        <f>F113*(I113+J113)</f>
        <v>0</v>
      </c>
      <c r="O113" s="48">
        <f>G113*(I113+J113)</f>
        <v>0</v>
      </c>
      <c r="P113" s="48">
        <f>H113*(I113+J113)</f>
        <v>0</v>
      </c>
    </row>
    <row r="114" spans="1:16" x14ac:dyDescent="0.2">
      <c r="A114" s="421" t="s">
        <v>80</v>
      </c>
      <c r="B114" s="92">
        <v>0</v>
      </c>
      <c r="C114" s="92">
        <v>0</v>
      </c>
      <c r="D114" s="92">
        <v>0</v>
      </c>
      <c r="E114" s="92">
        <v>0.1</v>
      </c>
      <c r="F114" s="135">
        <f>ROUND(B114*Costs!$B$10+C114*Costs!$B$11+D114*Costs!$B$12+E114*Costs!$B$13,2)</f>
        <v>2.9</v>
      </c>
      <c r="G114" s="32" t="str">
        <f>Costs!$B$62</f>
        <v xml:space="preserve"> </v>
      </c>
      <c r="H114" s="135">
        <f>Costs!$B$16</f>
        <v>0</v>
      </c>
      <c r="I114" s="92"/>
      <c r="J114" s="95">
        <f>SUM(J113)</f>
        <v>0</v>
      </c>
      <c r="K114" s="94">
        <f>ROUND((I114+J114)*(B114+C114+D114+E114),2)</f>
        <v>0</v>
      </c>
      <c r="L114" s="136">
        <f>(F114+G114+H114)*(I114+J114)</f>
        <v>0</v>
      </c>
      <c r="M114" s="4"/>
      <c r="N114" s="48">
        <f>F114*(I114+J114)</f>
        <v>0</v>
      </c>
      <c r="O114" s="48">
        <f>G114*(I114+J114)</f>
        <v>0</v>
      </c>
      <c r="P114" s="48">
        <f>H114*(I114+J114)</f>
        <v>0</v>
      </c>
    </row>
    <row r="115" spans="1:16" x14ac:dyDescent="0.2">
      <c r="A115" s="461" t="s">
        <v>482</v>
      </c>
      <c r="B115" s="263"/>
      <c r="C115" s="263"/>
      <c r="D115" s="263"/>
      <c r="E115" s="263"/>
      <c r="F115" s="263"/>
      <c r="G115" s="263"/>
      <c r="H115" s="263"/>
      <c r="I115" s="263"/>
      <c r="J115" s="475"/>
      <c r="K115" s="259"/>
      <c r="L115" s="260"/>
    </row>
    <row r="116" spans="1:16" x14ac:dyDescent="0.2">
      <c r="A116" s="421" t="s">
        <v>423</v>
      </c>
      <c r="B116" s="92">
        <v>20</v>
      </c>
      <c r="C116" s="92">
        <v>1</v>
      </c>
      <c r="D116" s="92">
        <v>40</v>
      </c>
      <c r="E116" s="92">
        <v>0</v>
      </c>
      <c r="F116" s="135">
        <f>ROUND(B116*Costs!$B$10+C116*Costs!$B$11+D116*Costs!$B$12+E116*Costs!$B$13,2)</f>
        <v>3859.46</v>
      </c>
      <c r="G116" s="32" t="str">
        <f>Costs!$B$62</f>
        <v xml:space="preserve"> </v>
      </c>
      <c r="H116" s="135">
        <f>Costs!$B$16</f>
        <v>0</v>
      </c>
      <c r="I116" s="92"/>
      <c r="J116" s="95">
        <f>'EX 3'!I178</f>
        <v>4</v>
      </c>
      <c r="K116" s="94">
        <f>ROUND((I116+J116)*(B116+C116+D116+E116),2)</f>
        <v>244</v>
      </c>
      <c r="L116" s="136">
        <f>(F116+G116+H116)*(I116+J116)</f>
        <v>15437.84</v>
      </c>
      <c r="M116" s="4"/>
      <c r="N116" s="48">
        <f>F116*(I116+J116)</f>
        <v>15437.84</v>
      </c>
      <c r="O116" s="48">
        <f>G116*(I116+J116)</f>
        <v>0</v>
      </c>
      <c r="P116" s="48">
        <f>H116*(I116+J116)</f>
        <v>0</v>
      </c>
    </row>
    <row r="117" spans="1:16" x14ac:dyDescent="0.2">
      <c r="A117" s="421" t="s">
        <v>424</v>
      </c>
      <c r="B117" s="92">
        <v>0</v>
      </c>
      <c r="C117" s="92">
        <v>0.25</v>
      </c>
      <c r="D117" s="92">
        <v>1</v>
      </c>
      <c r="E117" s="92">
        <v>0</v>
      </c>
      <c r="F117" s="135">
        <f>ROUND(B117*Costs!$B$10+C117*Costs!$B$11+D117*Costs!$B$12+E117*Costs!$B$13,2)</f>
        <v>64.59</v>
      </c>
      <c r="G117" s="32" t="str">
        <f>Costs!$B$62</f>
        <v xml:space="preserve"> </v>
      </c>
      <c r="H117" s="135">
        <f>Costs!$B$16</f>
        <v>0</v>
      </c>
      <c r="I117" s="92"/>
      <c r="J117" s="95">
        <f>'EX 3'!I179</f>
        <v>4</v>
      </c>
      <c r="K117" s="94">
        <f>ROUND((I117+J117)*(B117+C117+D117+E117),2)</f>
        <v>5</v>
      </c>
      <c r="L117" s="136">
        <f>(F117+G117+H117)*(I117+J117)</f>
        <v>258.36</v>
      </c>
      <c r="M117" s="4"/>
      <c r="N117" s="48">
        <f>F117*(I117+J117)</f>
        <v>258.36</v>
      </c>
      <c r="O117" s="48">
        <f>G117*(I117+J117)</f>
        <v>0</v>
      </c>
      <c r="P117" s="48">
        <f>H117*(I117+J117)</f>
        <v>0</v>
      </c>
    </row>
    <row r="118" spans="1:16" x14ac:dyDescent="0.2">
      <c r="A118" s="421" t="s">
        <v>80</v>
      </c>
      <c r="B118" s="92">
        <v>0</v>
      </c>
      <c r="C118" s="92">
        <v>0</v>
      </c>
      <c r="D118" s="92">
        <v>0</v>
      </c>
      <c r="E118" s="92">
        <v>0.1</v>
      </c>
      <c r="F118" s="135">
        <f>ROUND(B118*Costs!$B$10+C118*Costs!$B$11+D118*Costs!$B$12+E118*Costs!$B$13,2)</f>
        <v>2.9</v>
      </c>
      <c r="G118" s="32" t="str">
        <f>Costs!$B$62</f>
        <v xml:space="preserve"> </v>
      </c>
      <c r="H118" s="135">
        <f>Costs!$B$16</f>
        <v>0</v>
      </c>
      <c r="I118" s="92"/>
      <c r="J118" s="95">
        <f>SUM(J116:J117)</f>
        <v>8</v>
      </c>
      <c r="K118" s="94">
        <f>ROUND((I118+J118)*(B118+C118+D118+E118),2)</f>
        <v>0.8</v>
      </c>
      <c r="L118" s="136">
        <f>(F118+G118+H118)*(I118+J118)</f>
        <v>23.2</v>
      </c>
      <c r="M118" s="4"/>
      <c r="N118" s="48">
        <f>F118*(I118+J118)</f>
        <v>23.2</v>
      </c>
      <c r="O118" s="48">
        <f>G118*(I118+J118)</f>
        <v>0</v>
      </c>
      <c r="P118" s="48">
        <f>H118*(I118+J118)</f>
        <v>0</v>
      </c>
    </row>
    <row r="119" spans="1:16" x14ac:dyDescent="0.2">
      <c r="A119" s="461" t="s">
        <v>448</v>
      </c>
      <c r="B119" s="263"/>
      <c r="C119" s="263"/>
      <c r="D119" s="263"/>
      <c r="E119" s="263"/>
      <c r="F119" s="263"/>
      <c r="G119" s="263"/>
      <c r="H119" s="263"/>
      <c r="I119" s="263"/>
      <c r="J119" s="261"/>
      <c r="K119" s="259"/>
      <c r="L119" s="260"/>
    </row>
    <row r="120" spans="1:16" x14ac:dyDescent="0.2">
      <c r="A120" s="421" t="s">
        <v>425</v>
      </c>
      <c r="B120" s="92">
        <v>0</v>
      </c>
      <c r="C120" s="92">
        <v>0.25</v>
      </c>
      <c r="D120" s="92">
        <v>1</v>
      </c>
      <c r="E120" s="92">
        <v>0</v>
      </c>
      <c r="F120" s="135">
        <f>ROUND(B120*Costs!$B$10+C120*Costs!$B$11+D120*Costs!$B$12+E120*Costs!$B$13,2)</f>
        <v>64.59</v>
      </c>
      <c r="G120" s="32" t="str">
        <f>Costs!$B$62</f>
        <v xml:space="preserve"> </v>
      </c>
      <c r="H120" s="135">
        <f>Costs!$B$16</f>
        <v>0</v>
      </c>
      <c r="I120" s="92"/>
      <c r="J120" s="95">
        <f>'EX 3'!I184</f>
        <v>3</v>
      </c>
      <c r="K120" s="94">
        <f>ROUND((I120+J120)*(B120+C120+D120+E120),2)</f>
        <v>3.75</v>
      </c>
      <c r="L120" s="136">
        <f>(F120+G120+H120)*(I120+J120)</f>
        <v>193.77</v>
      </c>
      <c r="M120" s="4"/>
      <c r="N120" s="48">
        <f>F120*(I120+J120)</f>
        <v>193.77</v>
      </c>
      <c r="O120" s="48">
        <f>G120*(I120+J120)</f>
        <v>0</v>
      </c>
      <c r="P120" s="48">
        <f>H120*(I120+J120)</f>
        <v>0</v>
      </c>
    </row>
    <row r="121" spans="1:16" x14ac:dyDescent="0.2">
      <c r="A121" s="421" t="s">
        <v>426</v>
      </c>
      <c r="B121" s="92">
        <v>20</v>
      </c>
      <c r="C121" s="92">
        <v>1</v>
      </c>
      <c r="D121" s="92">
        <v>40</v>
      </c>
      <c r="E121" s="92">
        <v>0</v>
      </c>
      <c r="F121" s="135">
        <f>ROUND(B121*Costs!$B$10+C121*Costs!$B$11+D121*Costs!$B$12+E121*Costs!$B$13,2)</f>
        <v>3859.46</v>
      </c>
      <c r="G121" s="32" t="str">
        <f>Costs!$B$62</f>
        <v xml:space="preserve"> </v>
      </c>
      <c r="H121" s="135">
        <f>Costs!$B$16</f>
        <v>0</v>
      </c>
      <c r="I121" s="92"/>
      <c r="J121" s="95">
        <f>'EX 3'!I186</f>
        <v>12</v>
      </c>
      <c r="K121" s="94">
        <f>ROUND((I121+J121)*(B121+C121+D121+E121),2)</f>
        <v>732</v>
      </c>
      <c r="L121" s="136">
        <f>(F121+G121+H121)*(I121+J121)</f>
        <v>46313.520000000004</v>
      </c>
      <c r="M121" s="4"/>
      <c r="N121" s="48">
        <f>F121*(I121+J121)</f>
        <v>46313.520000000004</v>
      </c>
      <c r="O121" s="48">
        <f>G121*(I121+J121)</f>
        <v>0</v>
      </c>
      <c r="P121" s="48">
        <f>H121*(I121+J121)</f>
        <v>0</v>
      </c>
    </row>
    <row r="122" spans="1:16" x14ac:dyDescent="0.2">
      <c r="A122" s="421" t="s">
        <v>424</v>
      </c>
      <c r="B122" s="92">
        <v>0</v>
      </c>
      <c r="C122" s="92">
        <v>0.25</v>
      </c>
      <c r="D122" s="92">
        <v>1</v>
      </c>
      <c r="E122" s="92">
        <v>0</v>
      </c>
      <c r="F122" s="135">
        <f>ROUND(B122*Costs!$B$10+C122*Costs!$B$11+D122*Costs!$B$12+E122*Costs!$B$13,2)</f>
        <v>64.59</v>
      </c>
      <c r="G122" s="32" t="str">
        <f>Costs!$B$62</f>
        <v xml:space="preserve"> </v>
      </c>
      <c r="H122" s="135">
        <f>Costs!$B$16</f>
        <v>0</v>
      </c>
      <c r="I122" s="92"/>
      <c r="J122" s="95">
        <f>'EX 3'!I189</f>
        <v>12</v>
      </c>
      <c r="K122" s="94">
        <f>ROUND((I122+J122)*(B122+C122+D122+E122),2)</f>
        <v>15</v>
      </c>
      <c r="L122" s="136">
        <f>(F122+G122+H122)*(I122+J122)</f>
        <v>775.08</v>
      </c>
      <c r="M122" s="4"/>
      <c r="N122" s="48">
        <f>F122*(I122+J122)</f>
        <v>775.08</v>
      </c>
      <c r="O122" s="48">
        <f>G122*(I122+J122)</f>
        <v>0</v>
      </c>
      <c r="P122" s="48">
        <f>H122*(I122+J122)</f>
        <v>0</v>
      </c>
    </row>
    <row r="123" spans="1:16" x14ac:dyDescent="0.2">
      <c r="A123" s="421" t="s">
        <v>80</v>
      </c>
      <c r="B123" s="92">
        <v>0</v>
      </c>
      <c r="C123" s="92">
        <v>0</v>
      </c>
      <c r="D123" s="92">
        <v>0</v>
      </c>
      <c r="E123" s="92">
        <v>0.1</v>
      </c>
      <c r="F123" s="135">
        <f>ROUND(B123*Costs!$B$10+C123*Costs!$B$11+D123*Costs!$B$12+E123*Costs!$B$13,2)</f>
        <v>2.9</v>
      </c>
      <c r="G123" s="32" t="str">
        <f>Costs!$B$62</f>
        <v xml:space="preserve"> </v>
      </c>
      <c r="H123" s="135">
        <f>Costs!$B$16</f>
        <v>0</v>
      </c>
      <c r="I123" s="92"/>
      <c r="J123" s="95">
        <f>SUM(J120:J122)</f>
        <v>27</v>
      </c>
      <c r="K123" s="94">
        <f>ROUND((I123+J123)*(B123+C123+D123+E123),2)</f>
        <v>2.7</v>
      </c>
      <c r="L123" s="136">
        <f>(F123+G123+H123)*(I123+J123)</f>
        <v>78.3</v>
      </c>
      <c r="M123" s="4"/>
      <c r="N123" s="48">
        <f>F123*(I123+J123)</f>
        <v>78.3</v>
      </c>
      <c r="O123" s="48">
        <f>G123*(I123+J123)</f>
        <v>0</v>
      </c>
      <c r="P123" s="48">
        <f>H123*(I123+J123)</f>
        <v>0</v>
      </c>
    </row>
    <row r="124" spans="1:16" ht="30.6" x14ac:dyDescent="0.2">
      <c r="A124" s="421" t="s">
        <v>449</v>
      </c>
      <c r="B124" s="92">
        <v>0</v>
      </c>
      <c r="C124" s="92">
        <v>0.25</v>
      </c>
      <c r="D124" s="92">
        <v>1</v>
      </c>
      <c r="E124" s="92">
        <v>0</v>
      </c>
      <c r="F124" s="135">
        <f>ROUND(B124*Costs!$B$10+C124*Costs!$B$11+D124*Costs!$B$12+E124*Costs!$B$13,2)</f>
        <v>64.59</v>
      </c>
      <c r="G124" s="32" t="str">
        <f>Costs!$B$62</f>
        <v xml:space="preserve"> </v>
      </c>
      <c r="H124" s="135">
        <f>Costs!$B$16</f>
        <v>0</v>
      </c>
      <c r="I124" s="92"/>
      <c r="J124" s="95">
        <f>'EX 3'!I191</f>
        <v>1</v>
      </c>
      <c r="K124" s="94">
        <f>ROUND((I124+J124)*(B124+C124+D124+E124),2)</f>
        <v>1.25</v>
      </c>
      <c r="L124" s="136">
        <f>(F124+G124+H124)*(I124+J124)</f>
        <v>64.59</v>
      </c>
      <c r="M124" s="4"/>
      <c r="N124" s="48">
        <f>F124*(I124+J124)</f>
        <v>64.59</v>
      </c>
      <c r="O124" s="48">
        <f>G124*(I124+J124)</f>
        <v>0</v>
      </c>
      <c r="P124" s="48">
        <f>H124*(I124+J124)</f>
        <v>0</v>
      </c>
    </row>
    <row r="125" spans="1:16" x14ac:dyDescent="0.2">
      <c r="A125" s="461" t="s">
        <v>494</v>
      </c>
      <c r="B125" s="263"/>
      <c r="C125" s="263"/>
      <c r="D125" s="263"/>
      <c r="E125" s="263"/>
      <c r="F125" s="263"/>
      <c r="G125" s="263"/>
      <c r="H125" s="263"/>
      <c r="I125" s="263"/>
      <c r="J125" s="475"/>
      <c r="K125" s="259"/>
      <c r="L125" s="318" t="s">
        <v>240</v>
      </c>
      <c r="M125" s="4"/>
    </row>
    <row r="126" spans="1:16" x14ac:dyDescent="0.2">
      <c r="A126" s="421" t="s">
        <v>427</v>
      </c>
      <c r="B126" s="92">
        <v>0</v>
      </c>
      <c r="C126" s="92">
        <v>1</v>
      </c>
      <c r="D126" s="92">
        <v>6</v>
      </c>
      <c r="E126" s="92">
        <v>0</v>
      </c>
      <c r="F126" s="135">
        <f>ROUND(B126*Costs!$B$10+C126*Costs!$B$11+D126*Costs!$B$12+E126*Costs!$B$13,2)</f>
        <v>353.58</v>
      </c>
      <c r="G126" s="32" t="str">
        <f>Costs!$B$62</f>
        <v xml:space="preserve"> </v>
      </c>
      <c r="H126" s="135">
        <f>Costs!$B$16</f>
        <v>0</v>
      </c>
      <c r="I126" s="92"/>
      <c r="J126" s="95">
        <f>'EX 3'!I194</f>
        <v>3</v>
      </c>
      <c r="K126" s="94">
        <f>ROUND((I126+J126)*(B126+C126+D126+E126),2)</f>
        <v>21</v>
      </c>
      <c r="L126" s="136">
        <f>(F126+G126+H126)*(I126+J126)</f>
        <v>1060.74</v>
      </c>
      <c r="M126" s="4"/>
      <c r="N126" s="48">
        <f>F126*(I126+J126)</f>
        <v>1060.74</v>
      </c>
      <c r="O126" s="48">
        <f>G126*(I126+J126)</f>
        <v>0</v>
      </c>
      <c r="P126" s="48">
        <f>H126*(I126+J126)</f>
        <v>0</v>
      </c>
    </row>
    <row r="127" spans="1:16" ht="10.8" thickBot="1" x14ac:dyDescent="0.25">
      <c r="A127" s="424" t="s">
        <v>80</v>
      </c>
      <c r="B127" s="282">
        <v>0</v>
      </c>
      <c r="C127" s="282">
        <v>0</v>
      </c>
      <c r="D127" s="282">
        <v>0</v>
      </c>
      <c r="E127" s="282">
        <v>0.1</v>
      </c>
      <c r="F127" s="426">
        <f>ROUND(B127*Costs!$B$10+C127*Costs!$B$11+D127*Costs!$B$12+E127*Costs!$B$13,2)</f>
        <v>2.9</v>
      </c>
      <c r="G127" s="191" t="str">
        <f>Costs!$B$62</f>
        <v xml:space="preserve"> </v>
      </c>
      <c r="H127" s="426">
        <f>Costs!$B$16</f>
        <v>0</v>
      </c>
      <c r="I127" s="282"/>
      <c r="J127" s="283">
        <f>SUM(J126)</f>
        <v>3</v>
      </c>
      <c r="K127" s="285">
        <f>ROUND((I127+J127)*(B127+C127+D127+E127),2)</f>
        <v>0.3</v>
      </c>
      <c r="L127" s="441">
        <f>(F127+G127+H127)*(I127+J127)</f>
        <v>8.6999999999999993</v>
      </c>
      <c r="M127" s="4"/>
      <c r="N127" s="48">
        <f>F127*(I127+J127)</f>
        <v>8.6999999999999993</v>
      </c>
      <c r="O127" s="48">
        <f>G127*(I127+J127)</f>
        <v>0</v>
      </c>
      <c r="P127" s="48">
        <f>H127*(I127+J127)</f>
        <v>0</v>
      </c>
    </row>
    <row r="128" spans="1:16" ht="10.8" thickBot="1" x14ac:dyDescent="0.25">
      <c r="A128" s="430" t="s">
        <v>596</v>
      </c>
      <c r="B128" s="455" t="s">
        <v>597</v>
      </c>
      <c r="C128" s="455" t="s">
        <v>597</v>
      </c>
      <c r="D128" s="455" t="s">
        <v>597</v>
      </c>
      <c r="E128" s="455" t="s">
        <v>597</v>
      </c>
      <c r="F128" s="455" t="s">
        <v>597</v>
      </c>
      <c r="G128" s="455" t="s">
        <v>597</v>
      </c>
      <c r="H128" s="455" t="s">
        <v>597</v>
      </c>
      <c r="I128" s="455" t="s">
        <v>597</v>
      </c>
      <c r="J128" s="455" t="s">
        <v>597</v>
      </c>
      <c r="K128" s="304">
        <f>SUM(K113:K127)</f>
        <v>1025.8</v>
      </c>
      <c r="L128" s="294">
        <f>SUM(L113:L127)</f>
        <v>64214.1</v>
      </c>
      <c r="M128" s="4"/>
      <c r="N128" s="93">
        <f>SUM(N113:N127)</f>
        <v>64214.1</v>
      </c>
      <c r="O128" s="93">
        <f>SUM(O113:O127)</f>
        <v>0</v>
      </c>
      <c r="P128" s="93">
        <f>SUM(P113:P127)</f>
        <v>0</v>
      </c>
    </row>
    <row r="129" spans="1:16" x14ac:dyDescent="0.2">
      <c r="A129" s="495" t="s">
        <v>495</v>
      </c>
      <c r="B129" s="333"/>
      <c r="C129" s="333"/>
      <c r="D129" s="333"/>
      <c r="E129" s="333"/>
      <c r="F129" s="333"/>
      <c r="G129" s="333"/>
      <c r="H129" s="333"/>
      <c r="I129" s="333"/>
      <c r="J129" s="300"/>
      <c r="K129" s="337"/>
      <c r="L129" s="338"/>
    </row>
    <row r="130" spans="1:16" x14ac:dyDescent="0.2">
      <c r="A130" s="421" t="s">
        <v>428</v>
      </c>
      <c r="B130" s="92">
        <v>0</v>
      </c>
      <c r="C130" s="92">
        <v>1</v>
      </c>
      <c r="D130" s="92">
        <v>20</v>
      </c>
      <c r="E130" s="92">
        <v>0</v>
      </c>
      <c r="F130" s="135">
        <f>ROUND(B130*Costs!$B$10+C130*Costs!$B$11+D130*Costs!$B$12+E130*Costs!$B$13,2)</f>
        <v>1020.26</v>
      </c>
      <c r="G130" s="32" t="str">
        <f>Costs!$B$62</f>
        <v xml:space="preserve"> </v>
      </c>
      <c r="H130" s="135">
        <f>Costs!$B$16</f>
        <v>0</v>
      </c>
      <c r="I130" s="92"/>
      <c r="J130" s="95">
        <f>'EX 3'!I199</f>
        <v>0</v>
      </c>
      <c r="K130" s="94">
        <f>ROUND((I130+J130)*(B130+C130+D130+E130),2)</f>
        <v>0</v>
      </c>
      <c r="L130" s="136">
        <f>(F130+G130+H130)*(I130+J130)</f>
        <v>0</v>
      </c>
      <c r="M130" s="4"/>
      <c r="N130" s="48">
        <f>F130*(I130+J130)</f>
        <v>0</v>
      </c>
      <c r="O130" s="48">
        <f>G130*(I130+J130)</f>
        <v>0</v>
      </c>
      <c r="P130" s="48">
        <f>H130*(I130+J130)</f>
        <v>0</v>
      </c>
    </row>
    <row r="131" spans="1:16" ht="10.8" thickBot="1" x14ac:dyDescent="0.25">
      <c r="A131" s="424" t="s">
        <v>80</v>
      </c>
      <c r="B131" s="282">
        <v>0</v>
      </c>
      <c r="C131" s="282">
        <v>0</v>
      </c>
      <c r="D131" s="282">
        <v>0</v>
      </c>
      <c r="E131" s="282">
        <v>0.1</v>
      </c>
      <c r="F131" s="426">
        <f>ROUND(B131*Costs!$B$10+C131*Costs!$B$11+D131*Costs!$B$12+E131*Costs!$B$13,2)</f>
        <v>2.9</v>
      </c>
      <c r="G131" s="191" t="str">
        <f>Costs!$B$62</f>
        <v xml:space="preserve"> </v>
      </c>
      <c r="H131" s="426">
        <f>Costs!$B$16</f>
        <v>0</v>
      </c>
      <c r="I131" s="282"/>
      <c r="J131" s="283">
        <f>SUM(J130)</f>
        <v>0</v>
      </c>
      <c r="K131" s="285">
        <f>ROUND((I131+J131)*(B131+C131+D131+E131),2)</f>
        <v>0</v>
      </c>
      <c r="L131" s="441">
        <f>(F131+G131+H131)*(I131+J131)</f>
        <v>0</v>
      </c>
      <c r="M131" s="4"/>
      <c r="N131" s="48">
        <f>F131*(I131+J131)</f>
        <v>0</v>
      </c>
      <c r="O131" s="48">
        <f>G131*(I131+J131)</f>
        <v>0</v>
      </c>
      <c r="P131" s="48">
        <f>H131*(I131+J131)</f>
        <v>0</v>
      </c>
    </row>
    <row r="132" spans="1:16" ht="10.8" thickBot="1" x14ac:dyDescent="0.25">
      <c r="A132" s="430" t="s">
        <v>596</v>
      </c>
      <c r="B132" s="455" t="s">
        <v>597</v>
      </c>
      <c r="C132" s="455" t="s">
        <v>597</v>
      </c>
      <c r="D132" s="455" t="s">
        <v>597</v>
      </c>
      <c r="E132" s="455" t="s">
        <v>597</v>
      </c>
      <c r="F132" s="455" t="s">
        <v>597</v>
      </c>
      <c r="G132" s="455" t="s">
        <v>597</v>
      </c>
      <c r="H132" s="455" t="s">
        <v>597</v>
      </c>
      <c r="I132" s="455" t="s">
        <v>597</v>
      </c>
      <c r="J132" s="455" t="s">
        <v>597</v>
      </c>
      <c r="K132" s="304">
        <f>SUM(K130:K131)</f>
        <v>0</v>
      </c>
      <c r="L132" s="294">
        <f>SUM(L130:L131)</f>
        <v>0</v>
      </c>
      <c r="M132" s="4"/>
      <c r="N132" s="93">
        <f>SUM(N130:N131)</f>
        <v>0</v>
      </c>
      <c r="O132" s="93">
        <f>SUM(O130:O131)</f>
        <v>0</v>
      </c>
      <c r="P132" s="93">
        <f>SUM(P130:P131)</f>
        <v>0</v>
      </c>
    </row>
    <row r="133" spans="1:16" ht="10.8" thickBot="1" x14ac:dyDescent="0.25">
      <c r="A133" s="430" t="s">
        <v>567</v>
      </c>
      <c r="B133" s="455" t="s">
        <v>597</v>
      </c>
      <c r="C133" s="455" t="s">
        <v>597</v>
      </c>
      <c r="D133" s="455" t="s">
        <v>597</v>
      </c>
      <c r="E133" s="455" t="s">
        <v>597</v>
      </c>
      <c r="F133" s="455" t="s">
        <v>597</v>
      </c>
      <c r="G133" s="455" t="s">
        <v>597</v>
      </c>
      <c r="H133" s="455" t="s">
        <v>597</v>
      </c>
      <c r="I133" s="455" t="s">
        <v>597</v>
      </c>
      <c r="J133" s="455" t="s">
        <v>597</v>
      </c>
      <c r="K133" s="304">
        <f>K128+K132</f>
        <v>1025.8</v>
      </c>
      <c r="L133" s="294">
        <f>L128+L132</f>
        <v>64214.1</v>
      </c>
      <c r="M133" s="4"/>
      <c r="N133" s="93">
        <f>N128+N132</f>
        <v>64214.1</v>
      </c>
      <c r="O133" s="93">
        <f>O128+O132</f>
        <v>0</v>
      </c>
      <c r="P133" s="93">
        <f>P128+P132</f>
        <v>0</v>
      </c>
    </row>
    <row r="134" spans="1:16" x14ac:dyDescent="0.2">
      <c r="B134" s="39"/>
      <c r="C134" s="39"/>
      <c r="D134" s="39"/>
      <c r="E134" s="39"/>
      <c r="F134" s="39"/>
      <c r="G134" s="39"/>
      <c r="H134" s="39"/>
      <c r="I134" s="39"/>
      <c r="J134" s="7"/>
      <c r="L134" s="31"/>
      <c r="M134" s="2"/>
    </row>
    <row r="135" spans="1:16" x14ac:dyDescent="0.2">
      <c r="B135" s="39"/>
      <c r="C135" s="39"/>
      <c r="D135" s="39"/>
      <c r="E135" s="39"/>
      <c r="F135" s="39"/>
      <c r="G135" s="39"/>
      <c r="H135" s="39"/>
      <c r="I135" s="39"/>
      <c r="J135" s="7"/>
      <c r="L135" s="31"/>
      <c r="M135" s="2"/>
    </row>
    <row r="136" spans="1:16" x14ac:dyDescent="0.2">
      <c r="B136" s="39"/>
      <c r="C136" s="39"/>
      <c r="D136" s="39"/>
      <c r="E136" s="39"/>
      <c r="F136" s="39"/>
      <c r="G136" s="39"/>
      <c r="H136" s="39"/>
      <c r="I136" s="39"/>
      <c r="J136" s="7"/>
      <c r="L136" s="31"/>
      <c r="M136" s="2"/>
    </row>
    <row r="137" spans="1:16" x14ac:dyDescent="0.2">
      <c r="B137" s="39"/>
      <c r="C137" s="39"/>
      <c r="D137" s="39"/>
      <c r="E137" s="39"/>
      <c r="F137" s="39"/>
      <c r="G137" s="39"/>
      <c r="H137" s="39"/>
      <c r="I137" s="39"/>
      <c r="J137" s="7"/>
      <c r="L137" s="31"/>
      <c r="M137" s="2"/>
    </row>
    <row r="138" spans="1:16" x14ac:dyDescent="0.2">
      <c r="B138" s="39"/>
      <c r="C138" s="39"/>
      <c r="D138" s="39"/>
      <c r="E138" s="39"/>
      <c r="F138" s="39"/>
      <c r="G138" s="39"/>
      <c r="H138" s="39"/>
      <c r="I138" s="39"/>
      <c r="J138" s="7"/>
      <c r="L138" s="31"/>
      <c r="M138" s="2"/>
    </row>
    <row r="139" spans="1:16" x14ac:dyDescent="0.2">
      <c r="B139" s="39"/>
      <c r="C139" s="39"/>
      <c r="D139" s="39"/>
      <c r="E139" s="39"/>
      <c r="F139" s="39"/>
      <c r="G139" s="39"/>
      <c r="H139" s="39"/>
      <c r="I139" s="39"/>
      <c r="J139" s="7"/>
      <c r="L139" s="31"/>
      <c r="M139" s="2"/>
    </row>
    <row r="140" spans="1:16" x14ac:dyDescent="0.2">
      <c r="B140" s="39"/>
      <c r="C140" s="39"/>
      <c r="D140" s="39"/>
      <c r="E140" s="39"/>
      <c r="F140" s="39"/>
      <c r="G140" s="39"/>
      <c r="H140" s="39"/>
      <c r="I140" s="39"/>
      <c r="L140" s="31"/>
    </row>
    <row r="141" spans="1:16" x14ac:dyDescent="0.2">
      <c r="B141" s="39"/>
      <c r="C141" s="39"/>
      <c r="D141" s="39"/>
      <c r="E141" s="39"/>
      <c r="F141" s="39"/>
      <c r="G141" s="39"/>
      <c r="H141" s="39"/>
      <c r="I141" s="39"/>
      <c r="L141" s="31"/>
    </row>
    <row r="142" spans="1:16" x14ac:dyDescent="0.2">
      <c r="A142" s="11"/>
      <c r="B142" s="39"/>
      <c r="C142" s="39"/>
      <c r="D142" s="39"/>
      <c r="E142" s="39"/>
      <c r="F142" s="39"/>
      <c r="G142" s="39"/>
      <c r="H142" s="39"/>
      <c r="I142" s="39"/>
      <c r="L142" s="31"/>
    </row>
    <row r="143" spans="1:16" x14ac:dyDescent="0.2">
      <c r="B143" s="39"/>
      <c r="C143" s="39"/>
      <c r="D143" s="39"/>
      <c r="E143" s="39"/>
      <c r="F143" s="39"/>
      <c r="G143" s="39"/>
      <c r="H143" s="39"/>
      <c r="I143" s="39"/>
      <c r="L143" s="31"/>
    </row>
    <row r="144" spans="1:16" x14ac:dyDescent="0.2">
      <c r="B144" s="39"/>
      <c r="C144" s="39"/>
      <c r="D144" s="39"/>
      <c r="E144" s="39"/>
      <c r="F144" s="39"/>
      <c r="G144" s="39"/>
      <c r="H144" s="39"/>
      <c r="I144" s="39"/>
      <c r="L144" s="31"/>
    </row>
    <row r="145" spans="2:12" x14ac:dyDescent="0.2">
      <c r="B145" s="39"/>
      <c r="C145" s="39"/>
      <c r="D145" s="39"/>
      <c r="E145" s="39"/>
      <c r="F145" s="39"/>
      <c r="G145" s="39"/>
      <c r="H145" s="39"/>
      <c r="I145" s="39"/>
      <c r="L145" s="31"/>
    </row>
    <row r="146" spans="2:12" x14ac:dyDescent="0.2">
      <c r="B146" s="39"/>
      <c r="C146" s="39"/>
      <c r="D146" s="39"/>
      <c r="E146" s="39"/>
      <c r="F146" s="39"/>
      <c r="G146" s="39"/>
      <c r="H146" s="39"/>
      <c r="I146" s="39"/>
      <c r="L146" s="31"/>
    </row>
    <row r="147" spans="2:12" x14ac:dyDescent="0.2">
      <c r="B147" s="39"/>
      <c r="C147" s="39"/>
      <c r="D147" s="39"/>
      <c r="E147" s="39"/>
      <c r="F147" s="39"/>
      <c r="G147" s="39"/>
      <c r="H147" s="39"/>
      <c r="I147" s="39"/>
      <c r="L147" s="31"/>
    </row>
    <row r="148" spans="2:12" x14ac:dyDescent="0.2">
      <c r="B148" s="39"/>
      <c r="C148" s="39"/>
      <c r="D148" s="39"/>
      <c r="E148" s="39"/>
      <c r="F148" s="39"/>
      <c r="G148" s="39"/>
      <c r="H148" s="39"/>
      <c r="I148" s="39"/>
      <c r="L148" s="31"/>
    </row>
    <row r="149" spans="2:12" x14ac:dyDescent="0.2">
      <c r="B149" s="39"/>
      <c r="C149" s="39"/>
      <c r="D149" s="39"/>
      <c r="E149" s="39"/>
      <c r="F149" s="39"/>
      <c r="G149" s="39"/>
      <c r="H149" s="39"/>
      <c r="I149" s="39"/>
      <c r="L149" s="31"/>
    </row>
    <row r="150" spans="2:12" x14ac:dyDescent="0.2">
      <c r="B150" s="39"/>
      <c r="C150" s="39"/>
      <c r="D150" s="39"/>
      <c r="E150" s="39"/>
      <c r="F150" s="39"/>
      <c r="G150" s="39"/>
      <c r="H150" s="39"/>
      <c r="I150" s="39"/>
      <c r="L150" s="31"/>
    </row>
    <row r="151" spans="2:12" x14ac:dyDescent="0.2">
      <c r="B151" s="39"/>
      <c r="C151" s="39"/>
      <c r="D151" s="39"/>
      <c r="E151" s="39"/>
      <c r="F151" s="39"/>
      <c r="G151" s="39"/>
      <c r="H151" s="39"/>
      <c r="I151" s="39"/>
      <c r="L151" s="31"/>
    </row>
    <row r="152" spans="2:12" x14ac:dyDescent="0.2">
      <c r="B152" s="39"/>
      <c r="C152" s="39"/>
      <c r="D152" s="39"/>
      <c r="E152" s="39"/>
      <c r="F152" s="39"/>
      <c r="G152" s="39"/>
      <c r="H152" s="39"/>
      <c r="I152" s="39"/>
      <c r="L152" s="31"/>
    </row>
    <row r="153" spans="2:12" x14ac:dyDescent="0.2">
      <c r="B153" s="39"/>
      <c r="C153" s="39"/>
      <c r="D153" s="39"/>
      <c r="E153" s="39"/>
      <c r="F153" s="39"/>
      <c r="G153" s="39"/>
      <c r="H153" s="39"/>
      <c r="I153" s="39"/>
      <c r="L153" s="31"/>
    </row>
    <row r="154" spans="2:12" x14ac:dyDescent="0.2">
      <c r="B154" s="39"/>
      <c r="C154" s="39"/>
      <c r="D154" s="39"/>
      <c r="E154" s="39"/>
      <c r="F154" s="39"/>
      <c r="G154" s="39"/>
      <c r="H154" s="39"/>
      <c r="I154" s="39"/>
      <c r="L154" s="31"/>
    </row>
    <row r="155" spans="2:12" x14ac:dyDescent="0.2">
      <c r="B155" s="39"/>
      <c r="C155" s="39"/>
      <c r="D155" s="39"/>
      <c r="E155" s="39"/>
      <c r="F155" s="39"/>
      <c r="G155" s="39"/>
      <c r="H155" s="39"/>
      <c r="I155" s="39"/>
      <c r="L155" s="31"/>
    </row>
    <row r="156" spans="2:12" x14ac:dyDescent="0.2">
      <c r="B156" s="39"/>
      <c r="C156" s="39"/>
      <c r="D156" s="39"/>
      <c r="E156" s="39"/>
      <c r="F156" s="39"/>
      <c r="G156" s="39"/>
      <c r="H156" s="39"/>
      <c r="I156" s="39"/>
      <c r="L156" s="31"/>
    </row>
    <row r="157" spans="2:12" x14ac:dyDescent="0.2">
      <c r="B157" s="39"/>
      <c r="C157" s="39"/>
      <c r="D157" s="39"/>
      <c r="E157" s="39"/>
      <c r="F157" s="39"/>
      <c r="G157" s="39"/>
      <c r="H157" s="39"/>
      <c r="I157" s="39"/>
      <c r="L157" s="31"/>
    </row>
    <row r="158" spans="2:12" x14ac:dyDescent="0.2">
      <c r="B158" s="39"/>
      <c r="C158" s="39"/>
      <c r="D158" s="39"/>
      <c r="E158" s="39"/>
      <c r="F158" s="39"/>
      <c r="G158" s="39"/>
      <c r="H158" s="39"/>
      <c r="I158" s="39"/>
      <c r="L158" s="31"/>
    </row>
    <row r="159" spans="2:12" x14ac:dyDescent="0.2">
      <c r="B159" s="39"/>
      <c r="C159" s="39"/>
      <c r="D159" s="39"/>
      <c r="E159" s="39"/>
      <c r="F159" s="39"/>
      <c r="G159" s="39"/>
      <c r="H159" s="39"/>
      <c r="I159" s="39"/>
      <c r="L159" s="31"/>
    </row>
    <row r="160" spans="2:12" x14ac:dyDescent="0.2">
      <c r="B160" s="39"/>
      <c r="C160" s="39"/>
      <c r="D160" s="39"/>
      <c r="E160" s="39"/>
      <c r="F160" s="39"/>
      <c r="G160" s="39"/>
      <c r="H160" s="39"/>
      <c r="I160" s="39"/>
      <c r="L160" s="31"/>
    </row>
    <row r="161" spans="2:12" x14ac:dyDescent="0.2">
      <c r="B161" s="39"/>
      <c r="C161" s="39"/>
      <c r="D161" s="39"/>
      <c r="E161" s="39"/>
      <c r="F161" s="39"/>
      <c r="G161" s="39"/>
      <c r="H161" s="39"/>
      <c r="I161" s="39"/>
      <c r="L161" s="31"/>
    </row>
    <row r="162" spans="2:12" x14ac:dyDescent="0.2">
      <c r="B162" s="39"/>
      <c r="C162" s="39"/>
      <c r="D162" s="39"/>
      <c r="E162" s="39"/>
      <c r="F162" s="39"/>
      <c r="G162" s="39"/>
      <c r="H162" s="39"/>
      <c r="I162" s="39"/>
      <c r="L162" s="31"/>
    </row>
    <row r="163" spans="2:12" x14ac:dyDescent="0.2">
      <c r="B163" s="39"/>
      <c r="C163" s="39"/>
      <c r="D163" s="39"/>
      <c r="E163" s="39"/>
      <c r="F163" s="39"/>
      <c r="G163" s="39"/>
      <c r="H163" s="39"/>
      <c r="I163" s="39"/>
      <c r="L163" s="31"/>
    </row>
    <row r="164" spans="2:12" x14ac:dyDescent="0.2">
      <c r="B164" s="39"/>
      <c r="C164" s="39"/>
      <c r="D164" s="39"/>
      <c r="E164" s="39"/>
      <c r="F164" s="39"/>
      <c r="G164" s="39"/>
      <c r="H164" s="39"/>
      <c r="I164" s="39"/>
      <c r="L164" s="31"/>
    </row>
    <row r="165" spans="2:12" x14ac:dyDescent="0.2">
      <c r="B165" s="39"/>
      <c r="C165" s="39"/>
      <c r="D165" s="39"/>
      <c r="E165" s="39"/>
      <c r="F165" s="39"/>
      <c r="G165" s="39"/>
      <c r="H165" s="39"/>
      <c r="I165" s="39"/>
      <c r="L165" s="31"/>
    </row>
    <row r="166" spans="2:12" x14ac:dyDescent="0.2">
      <c r="B166" s="39"/>
      <c r="C166" s="39"/>
      <c r="D166" s="39"/>
      <c r="E166" s="39"/>
      <c r="F166" s="39"/>
      <c r="G166" s="39"/>
      <c r="H166" s="39"/>
      <c r="I166" s="39"/>
      <c r="L166" s="31"/>
    </row>
    <row r="167" spans="2:12" x14ac:dyDescent="0.2">
      <c r="B167" s="39"/>
      <c r="C167" s="39"/>
      <c r="D167" s="39"/>
      <c r="E167" s="39"/>
      <c r="F167" s="39"/>
      <c r="G167" s="39"/>
      <c r="H167" s="39"/>
      <c r="I167" s="39"/>
      <c r="L167" s="31"/>
    </row>
    <row r="168" spans="2:12" x14ac:dyDescent="0.2">
      <c r="B168" s="39"/>
      <c r="C168" s="39"/>
      <c r="D168" s="39"/>
      <c r="E168" s="39"/>
      <c r="F168" s="39"/>
      <c r="G168" s="39"/>
      <c r="H168" s="39"/>
      <c r="I168" s="39"/>
      <c r="L168" s="31"/>
    </row>
    <row r="169" spans="2:12" x14ac:dyDescent="0.2">
      <c r="B169" s="39"/>
      <c r="C169" s="39"/>
      <c r="D169" s="39"/>
      <c r="E169" s="39"/>
      <c r="F169" s="39"/>
      <c r="G169" s="39"/>
      <c r="H169" s="39"/>
      <c r="I169" s="39"/>
      <c r="L169" s="31"/>
    </row>
    <row r="170" spans="2:12" x14ac:dyDescent="0.2">
      <c r="B170" s="39"/>
      <c r="C170" s="39"/>
      <c r="D170" s="39"/>
      <c r="E170" s="39"/>
      <c r="F170" s="39"/>
      <c r="G170" s="39"/>
      <c r="H170" s="39"/>
      <c r="I170" s="39"/>
      <c r="L170" s="31"/>
    </row>
    <row r="171" spans="2:12" x14ac:dyDescent="0.2">
      <c r="B171" s="39"/>
      <c r="C171" s="39"/>
      <c r="D171" s="39"/>
      <c r="E171" s="39"/>
      <c r="F171" s="39"/>
      <c r="G171" s="39"/>
      <c r="H171" s="39"/>
      <c r="I171" s="39"/>
      <c r="L171" s="31"/>
    </row>
    <row r="172" spans="2:12" x14ac:dyDescent="0.2">
      <c r="B172" s="39"/>
      <c r="C172" s="39"/>
      <c r="D172" s="39"/>
      <c r="E172" s="39"/>
      <c r="F172" s="39"/>
      <c r="G172" s="39"/>
      <c r="H172" s="39"/>
      <c r="I172" s="39"/>
      <c r="L172" s="31"/>
    </row>
    <row r="173" spans="2:12" x14ac:dyDescent="0.2">
      <c r="B173" s="39"/>
      <c r="C173" s="39"/>
      <c r="D173" s="39"/>
      <c r="E173" s="39"/>
      <c r="F173" s="39"/>
      <c r="G173" s="39"/>
      <c r="H173" s="39"/>
      <c r="I173" s="39"/>
      <c r="L173" s="31"/>
    </row>
    <row r="174" spans="2:12" x14ac:dyDescent="0.2">
      <c r="B174" s="39"/>
      <c r="C174" s="39"/>
      <c r="D174" s="39"/>
      <c r="E174" s="39"/>
      <c r="F174" s="39"/>
      <c r="G174" s="39"/>
      <c r="H174" s="39"/>
      <c r="I174" s="39"/>
      <c r="L174" s="31"/>
    </row>
    <row r="175" spans="2:12" x14ac:dyDescent="0.2">
      <c r="B175" s="39"/>
      <c r="C175" s="39"/>
      <c r="D175" s="39"/>
      <c r="E175" s="39"/>
      <c r="F175" s="39"/>
      <c r="G175" s="39"/>
      <c r="H175" s="39"/>
      <c r="I175" s="39"/>
      <c r="L175" s="31"/>
    </row>
    <row r="176" spans="2:12" x14ac:dyDescent="0.2">
      <c r="B176" s="39"/>
      <c r="C176" s="39"/>
      <c r="D176" s="39"/>
      <c r="E176" s="39"/>
      <c r="F176" s="39"/>
      <c r="G176" s="39"/>
      <c r="H176" s="39"/>
      <c r="I176" s="39"/>
      <c r="L176" s="31"/>
    </row>
    <row r="177" spans="2:12" x14ac:dyDescent="0.2">
      <c r="B177" s="39"/>
      <c r="C177" s="39"/>
      <c r="D177" s="39"/>
      <c r="E177" s="39"/>
      <c r="F177" s="39"/>
      <c r="G177" s="39"/>
      <c r="H177" s="39"/>
      <c r="I177" s="39"/>
      <c r="L177" s="31"/>
    </row>
    <row r="178" spans="2:12" x14ac:dyDescent="0.2">
      <c r="B178" s="39"/>
      <c r="C178" s="39"/>
      <c r="D178" s="39"/>
      <c r="E178" s="39"/>
      <c r="F178" s="39"/>
      <c r="G178" s="39"/>
      <c r="H178" s="39"/>
      <c r="I178" s="39"/>
      <c r="L178" s="31"/>
    </row>
    <row r="179" spans="2:12" x14ac:dyDescent="0.2">
      <c r="B179" s="39"/>
      <c r="C179" s="39"/>
      <c r="D179" s="39"/>
      <c r="E179" s="39"/>
      <c r="F179" s="39"/>
      <c r="G179" s="39"/>
      <c r="H179" s="39"/>
      <c r="I179" s="39"/>
      <c r="L179" s="31"/>
    </row>
    <row r="180" spans="2:12" x14ac:dyDescent="0.2">
      <c r="B180" s="39"/>
      <c r="C180" s="39"/>
      <c r="D180" s="39"/>
      <c r="E180" s="39"/>
      <c r="F180" s="39"/>
      <c r="G180" s="39"/>
      <c r="H180" s="39"/>
      <c r="I180" s="39"/>
      <c r="L180" s="31"/>
    </row>
    <row r="181" spans="2:12" x14ac:dyDescent="0.2">
      <c r="B181" s="39"/>
      <c r="C181" s="39"/>
      <c r="D181" s="39"/>
      <c r="E181" s="39"/>
      <c r="F181" s="39"/>
      <c r="G181" s="39"/>
      <c r="H181" s="39"/>
      <c r="I181" s="39"/>
      <c r="L181" s="31"/>
    </row>
    <row r="182" spans="2:12" x14ac:dyDescent="0.2">
      <c r="B182" s="39"/>
      <c r="C182" s="39"/>
      <c r="D182" s="39"/>
      <c r="E182" s="39"/>
      <c r="F182" s="39"/>
      <c r="G182" s="39"/>
      <c r="H182" s="39"/>
      <c r="I182" s="39"/>
      <c r="L182" s="31"/>
    </row>
    <row r="183" spans="2:12" x14ac:dyDescent="0.2">
      <c r="B183" s="39"/>
      <c r="C183" s="39"/>
      <c r="D183" s="39"/>
      <c r="E183" s="39"/>
      <c r="F183" s="39"/>
      <c r="G183" s="39"/>
      <c r="H183" s="39"/>
      <c r="I183" s="39"/>
      <c r="L183" s="31"/>
    </row>
    <row r="184" spans="2:12" x14ac:dyDescent="0.2">
      <c r="B184" s="39"/>
      <c r="C184" s="39"/>
      <c r="D184" s="39"/>
      <c r="E184" s="39"/>
      <c r="F184" s="39"/>
      <c r="G184" s="39"/>
      <c r="H184" s="39"/>
      <c r="I184" s="39"/>
      <c r="L184" s="31"/>
    </row>
    <row r="185" spans="2:12" x14ac:dyDescent="0.2">
      <c r="B185" s="39"/>
      <c r="C185" s="39"/>
      <c r="D185" s="39"/>
      <c r="E185" s="39"/>
      <c r="F185" s="39"/>
      <c r="G185" s="39"/>
      <c r="H185" s="39"/>
      <c r="I185" s="39"/>
      <c r="L185" s="31"/>
    </row>
    <row r="186" spans="2:12" x14ac:dyDescent="0.2">
      <c r="B186" s="39"/>
      <c r="C186" s="39"/>
      <c r="D186" s="39"/>
      <c r="E186" s="39"/>
      <c r="F186" s="39"/>
      <c r="G186" s="39"/>
      <c r="H186" s="39"/>
      <c r="I186" s="39"/>
      <c r="L186" s="31"/>
    </row>
    <row r="187" spans="2:12" x14ac:dyDescent="0.2">
      <c r="B187" s="39"/>
      <c r="C187" s="39"/>
      <c r="D187" s="39"/>
      <c r="E187" s="39"/>
      <c r="F187" s="39"/>
      <c r="G187" s="39"/>
      <c r="H187" s="39"/>
      <c r="I187" s="39"/>
      <c r="L187" s="31"/>
    </row>
    <row r="188" spans="2:12" x14ac:dyDescent="0.2">
      <c r="B188" s="39"/>
      <c r="C188" s="39"/>
      <c r="D188" s="39"/>
      <c r="E188" s="39"/>
      <c r="F188" s="39"/>
      <c r="G188" s="39"/>
      <c r="H188" s="39"/>
      <c r="I188" s="39"/>
      <c r="L188" s="31"/>
    </row>
    <row r="189" spans="2:12" x14ac:dyDescent="0.2">
      <c r="B189" s="39"/>
      <c r="C189" s="39"/>
      <c r="D189" s="39"/>
      <c r="E189" s="39"/>
      <c r="F189" s="39"/>
      <c r="G189" s="39"/>
      <c r="H189" s="39"/>
      <c r="I189" s="39"/>
      <c r="L189" s="31"/>
    </row>
    <row r="190" spans="2:12" x14ac:dyDescent="0.2">
      <c r="B190" s="39"/>
      <c r="C190" s="39"/>
      <c r="D190" s="39"/>
      <c r="E190" s="39"/>
      <c r="F190" s="39"/>
      <c r="G190" s="39"/>
      <c r="H190" s="39"/>
      <c r="I190" s="39"/>
      <c r="L190" s="31"/>
    </row>
    <row r="191" spans="2:12" x14ac:dyDescent="0.2">
      <c r="B191" s="39"/>
      <c r="C191" s="39"/>
      <c r="D191" s="39"/>
      <c r="E191" s="39"/>
      <c r="F191" s="39"/>
      <c r="G191" s="39"/>
      <c r="H191" s="39"/>
      <c r="I191" s="39"/>
      <c r="L191" s="31"/>
    </row>
    <row r="192" spans="2:12" x14ac:dyDescent="0.2">
      <c r="B192" s="39"/>
      <c r="C192" s="39"/>
      <c r="D192" s="39"/>
      <c r="E192" s="39"/>
      <c r="F192" s="39"/>
      <c r="G192" s="39"/>
      <c r="H192" s="39"/>
      <c r="I192" s="39"/>
      <c r="L192" s="31"/>
    </row>
    <row r="193" spans="2:12" x14ac:dyDescent="0.2">
      <c r="B193" s="39"/>
      <c r="C193" s="39"/>
      <c r="D193" s="39"/>
      <c r="E193" s="39"/>
      <c r="F193" s="39"/>
      <c r="G193" s="39"/>
      <c r="H193" s="39"/>
      <c r="I193" s="39"/>
      <c r="L193" s="31"/>
    </row>
    <row r="194" spans="2:12" x14ac:dyDescent="0.2">
      <c r="B194" s="39"/>
      <c r="C194" s="39"/>
      <c r="D194" s="39"/>
      <c r="E194" s="39"/>
      <c r="F194" s="39"/>
      <c r="G194" s="39"/>
      <c r="H194" s="39"/>
      <c r="I194" s="39"/>
      <c r="L194" s="31"/>
    </row>
    <row r="195" spans="2:12" x14ac:dyDescent="0.2">
      <c r="B195" s="39"/>
      <c r="C195" s="39"/>
      <c r="D195" s="39"/>
      <c r="E195" s="39"/>
      <c r="F195" s="39"/>
      <c r="G195" s="39"/>
      <c r="H195" s="39"/>
      <c r="I195" s="39"/>
      <c r="L195" s="31"/>
    </row>
    <row r="196" spans="2:12" x14ac:dyDescent="0.2">
      <c r="B196" s="39"/>
      <c r="C196" s="39"/>
      <c r="D196" s="39"/>
      <c r="E196" s="39"/>
      <c r="F196" s="39"/>
      <c r="G196" s="39"/>
      <c r="H196" s="39"/>
      <c r="I196" s="39"/>
      <c r="L196" s="31"/>
    </row>
    <row r="197" spans="2:12" x14ac:dyDescent="0.2">
      <c r="B197" s="39"/>
      <c r="C197" s="39"/>
      <c r="D197" s="39"/>
      <c r="E197" s="39"/>
      <c r="F197" s="39"/>
      <c r="G197" s="39"/>
      <c r="H197" s="39"/>
      <c r="I197" s="39"/>
      <c r="L197" s="31"/>
    </row>
    <row r="198" spans="2:12" x14ac:dyDescent="0.2">
      <c r="B198" s="39"/>
      <c r="C198" s="39"/>
      <c r="D198" s="39"/>
      <c r="E198" s="39"/>
      <c r="F198" s="39"/>
      <c r="G198" s="39"/>
      <c r="H198" s="39"/>
      <c r="I198" s="39"/>
      <c r="L198" s="31"/>
    </row>
    <row r="199" spans="2:12" x14ac:dyDescent="0.2">
      <c r="B199" s="39"/>
      <c r="C199" s="39"/>
      <c r="D199" s="39"/>
      <c r="E199" s="39"/>
      <c r="F199" s="39"/>
      <c r="G199" s="39"/>
      <c r="H199" s="39"/>
      <c r="I199" s="39"/>
      <c r="L199" s="31"/>
    </row>
    <row r="200" spans="2:12" x14ac:dyDescent="0.2">
      <c r="B200" s="39"/>
      <c r="C200" s="39"/>
      <c r="D200" s="39"/>
      <c r="E200" s="39"/>
      <c r="F200" s="39"/>
      <c r="G200" s="39"/>
      <c r="H200" s="39"/>
      <c r="I200" s="39"/>
      <c r="L200" s="31"/>
    </row>
    <row r="201" spans="2:12" x14ac:dyDescent="0.2">
      <c r="B201" s="39"/>
      <c r="C201" s="39"/>
      <c r="D201" s="39"/>
      <c r="E201" s="39"/>
      <c r="F201" s="39"/>
      <c r="G201" s="39"/>
      <c r="H201" s="39"/>
      <c r="I201" s="39"/>
      <c r="L201" s="31"/>
    </row>
    <row r="202" spans="2:12" x14ac:dyDescent="0.2">
      <c r="B202" s="39"/>
      <c r="C202" s="39"/>
      <c r="D202" s="39"/>
      <c r="E202" s="39"/>
      <c r="F202" s="39"/>
      <c r="G202" s="39"/>
      <c r="H202" s="39"/>
      <c r="I202" s="39"/>
      <c r="L202" s="31"/>
    </row>
    <row r="203" spans="2:12" x14ac:dyDescent="0.2">
      <c r="B203" s="39"/>
      <c r="C203" s="39"/>
      <c r="D203" s="39"/>
      <c r="E203" s="39"/>
      <c r="F203" s="39"/>
      <c r="G203" s="39"/>
      <c r="H203" s="39"/>
      <c r="I203" s="39"/>
      <c r="L203" s="31"/>
    </row>
    <row r="204" spans="2:12" x14ac:dyDescent="0.2">
      <c r="B204" s="39"/>
      <c r="C204" s="39"/>
      <c r="D204" s="39"/>
      <c r="E204" s="39"/>
      <c r="F204" s="39"/>
      <c r="G204" s="39"/>
      <c r="H204" s="39"/>
      <c r="I204" s="39"/>
      <c r="L204" s="31"/>
    </row>
    <row r="205" spans="2:12" x14ac:dyDescent="0.2">
      <c r="B205" s="39"/>
      <c r="C205" s="39"/>
      <c r="D205" s="39"/>
      <c r="E205" s="39"/>
      <c r="F205" s="39"/>
      <c r="G205" s="39"/>
      <c r="H205" s="39"/>
      <c r="I205" s="39"/>
      <c r="L205" s="31"/>
    </row>
    <row r="206" spans="2:12" x14ac:dyDescent="0.2">
      <c r="B206" s="39"/>
      <c r="C206" s="39"/>
      <c r="D206" s="39"/>
      <c r="E206" s="39"/>
      <c r="F206" s="39"/>
      <c r="G206" s="39"/>
      <c r="H206" s="39"/>
      <c r="I206" s="39"/>
      <c r="L206" s="31"/>
    </row>
    <row r="207" spans="2:12" x14ac:dyDescent="0.2">
      <c r="B207" s="39"/>
      <c r="C207" s="39"/>
      <c r="D207" s="39"/>
      <c r="E207" s="39"/>
      <c r="F207" s="39"/>
      <c r="G207" s="39"/>
      <c r="H207" s="39"/>
      <c r="I207" s="39"/>
      <c r="L207" s="31"/>
    </row>
    <row r="208" spans="2:12" x14ac:dyDescent="0.2">
      <c r="B208" s="39"/>
      <c r="C208" s="39"/>
      <c r="D208" s="39"/>
      <c r="E208" s="39"/>
      <c r="F208" s="39"/>
      <c r="G208" s="39"/>
      <c r="H208" s="39"/>
      <c r="I208" s="39"/>
      <c r="L208" s="31"/>
    </row>
    <row r="209" spans="2:12" x14ac:dyDescent="0.2">
      <c r="B209" s="39"/>
      <c r="C209" s="39"/>
      <c r="D209" s="39"/>
      <c r="E209" s="39"/>
      <c r="F209" s="39"/>
      <c r="G209" s="39"/>
      <c r="H209" s="39"/>
      <c r="I209" s="39"/>
      <c r="L209" s="31"/>
    </row>
    <row r="210" spans="2:12" x14ac:dyDescent="0.2">
      <c r="B210" s="39"/>
      <c r="C210" s="39"/>
      <c r="D210" s="39"/>
      <c r="E210" s="39"/>
      <c r="F210" s="39"/>
      <c r="G210" s="39"/>
      <c r="H210" s="39"/>
      <c r="I210" s="39"/>
      <c r="L210" s="31"/>
    </row>
    <row r="211" spans="2:12" x14ac:dyDescent="0.2">
      <c r="B211" s="39"/>
      <c r="C211" s="39"/>
      <c r="D211" s="39"/>
      <c r="E211" s="39"/>
      <c r="F211" s="39"/>
      <c r="G211" s="39"/>
      <c r="H211" s="39"/>
      <c r="I211" s="39"/>
      <c r="L211" s="31"/>
    </row>
    <row r="212" spans="2:12" x14ac:dyDescent="0.2">
      <c r="B212" s="39"/>
      <c r="C212" s="39"/>
      <c r="D212" s="39"/>
      <c r="E212" s="39"/>
      <c r="F212" s="39"/>
      <c r="G212" s="39"/>
      <c r="H212" s="39"/>
      <c r="I212" s="39"/>
      <c r="L212" s="31"/>
    </row>
    <row r="213" spans="2:12" x14ac:dyDescent="0.2">
      <c r="B213" s="39"/>
      <c r="C213" s="39"/>
      <c r="D213" s="39"/>
      <c r="E213" s="39"/>
      <c r="F213" s="39"/>
      <c r="G213" s="39"/>
      <c r="H213" s="39"/>
      <c r="I213" s="39"/>
      <c r="L213" s="31"/>
    </row>
    <row r="214" spans="2:12" x14ac:dyDescent="0.2">
      <c r="B214" s="39"/>
      <c r="C214" s="39"/>
      <c r="D214" s="39"/>
      <c r="E214" s="39"/>
      <c r="F214" s="39"/>
      <c r="G214" s="39"/>
      <c r="H214" s="39"/>
      <c r="I214" s="39"/>
      <c r="L214" s="31"/>
    </row>
    <row r="215" spans="2:12" x14ac:dyDescent="0.2">
      <c r="B215" s="39"/>
      <c r="C215" s="39"/>
      <c r="D215" s="39"/>
      <c r="E215" s="39"/>
      <c r="F215" s="39"/>
      <c r="G215" s="39"/>
      <c r="H215" s="39"/>
      <c r="I215" s="39"/>
      <c r="L215" s="31"/>
    </row>
    <row r="216" spans="2:12" x14ac:dyDescent="0.2">
      <c r="B216" s="39"/>
      <c r="C216" s="39"/>
      <c r="D216" s="39"/>
      <c r="E216" s="39"/>
      <c r="F216" s="39"/>
      <c r="G216" s="39"/>
      <c r="H216" s="39"/>
      <c r="I216" s="39"/>
      <c r="L216" s="31"/>
    </row>
    <row r="217" spans="2:12" x14ac:dyDescent="0.2">
      <c r="B217" s="39"/>
      <c r="C217" s="39"/>
      <c r="D217" s="39"/>
      <c r="E217" s="39"/>
      <c r="F217" s="39"/>
      <c r="G217" s="39"/>
      <c r="H217" s="39"/>
      <c r="I217" s="39"/>
      <c r="L217" s="31"/>
    </row>
    <row r="218" spans="2:12" x14ac:dyDescent="0.2">
      <c r="B218" s="39"/>
      <c r="C218" s="39"/>
      <c r="D218" s="39"/>
      <c r="E218" s="39"/>
      <c r="F218" s="39"/>
      <c r="G218" s="39"/>
      <c r="H218" s="39"/>
      <c r="I218" s="39"/>
      <c r="L218" s="31"/>
    </row>
    <row r="219" spans="2:12" x14ac:dyDescent="0.2">
      <c r="B219" s="39"/>
      <c r="C219" s="39"/>
      <c r="D219" s="39"/>
      <c r="E219" s="39"/>
      <c r="F219" s="39"/>
      <c r="G219" s="39"/>
      <c r="H219" s="39"/>
      <c r="I219" s="39"/>
      <c r="L219" s="31"/>
    </row>
    <row r="220" spans="2:12" x14ac:dyDescent="0.2">
      <c r="B220" s="39"/>
      <c r="C220" s="39"/>
      <c r="D220" s="39"/>
      <c r="E220" s="39"/>
      <c r="F220" s="39"/>
      <c r="G220" s="39"/>
      <c r="H220" s="39"/>
      <c r="I220" s="39"/>
      <c r="L220" s="31"/>
    </row>
    <row r="221" spans="2:12" x14ac:dyDescent="0.2">
      <c r="B221" s="39"/>
      <c r="C221" s="39"/>
      <c r="D221" s="39"/>
      <c r="E221" s="39"/>
      <c r="F221" s="39"/>
      <c r="G221" s="39"/>
      <c r="H221" s="39"/>
      <c r="I221" s="39"/>
      <c r="L221" s="31"/>
    </row>
    <row r="222" spans="2:12" x14ac:dyDescent="0.2">
      <c r="B222" s="39"/>
      <c r="C222" s="39"/>
      <c r="D222" s="39"/>
      <c r="E222" s="39"/>
      <c r="F222" s="39"/>
      <c r="G222" s="39"/>
      <c r="H222" s="39"/>
      <c r="I222" s="39"/>
      <c r="L222" s="31"/>
    </row>
    <row r="223" spans="2:12" x14ac:dyDescent="0.2">
      <c r="B223" s="39"/>
      <c r="C223" s="39"/>
      <c r="D223" s="39"/>
      <c r="E223" s="39"/>
      <c r="F223" s="39"/>
      <c r="G223" s="39"/>
      <c r="H223" s="39"/>
      <c r="I223" s="39"/>
      <c r="L223" s="31"/>
    </row>
    <row r="224" spans="2:12" x14ac:dyDescent="0.2">
      <c r="B224" s="39"/>
      <c r="C224" s="39"/>
      <c r="D224" s="39"/>
      <c r="E224" s="39"/>
      <c r="F224" s="39"/>
      <c r="G224" s="39"/>
      <c r="H224" s="39"/>
      <c r="I224" s="39"/>
      <c r="L224" s="31"/>
    </row>
    <row r="225" spans="2:12" x14ac:dyDescent="0.2">
      <c r="B225" s="39"/>
      <c r="C225" s="39"/>
      <c r="D225" s="39"/>
      <c r="E225" s="39"/>
      <c r="F225" s="39"/>
      <c r="G225" s="39"/>
      <c r="H225" s="39"/>
      <c r="I225" s="39"/>
      <c r="L225" s="31"/>
    </row>
    <row r="226" spans="2:12" x14ac:dyDescent="0.2">
      <c r="B226" s="39"/>
      <c r="C226" s="39"/>
      <c r="D226" s="39"/>
      <c r="E226" s="39"/>
      <c r="F226" s="39"/>
      <c r="G226" s="39"/>
      <c r="H226" s="39"/>
      <c r="I226" s="39"/>
      <c r="L226" s="31"/>
    </row>
    <row r="227" spans="2:12" x14ac:dyDescent="0.2">
      <c r="B227" s="39"/>
      <c r="C227" s="39"/>
      <c r="D227" s="39"/>
      <c r="E227" s="39"/>
      <c r="F227" s="39"/>
      <c r="G227" s="39"/>
      <c r="H227" s="39"/>
      <c r="I227" s="39"/>
      <c r="L227" s="31"/>
    </row>
    <row r="228" spans="2:12" x14ac:dyDescent="0.2">
      <c r="B228" s="39"/>
      <c r="C228" s="39"/>
      <c r="D228" s="39"/>
      <c r="E228" s="39"/>
      <c r="F228" s="39"/>
      <c r="G228" s="39"/>
      <c r="H228" s="39"/>
      <c r="I228" s="39"/>
      <c r="L228" s="31"/>
    </row>
    <row r="229" spans="2:12" x14ac:dyDescent="0.2">
      <c r="B229" s="39"/>
      <c r="C229" s="39"/>
      <c r="D229" s="39"/>
      <c r="E229" s="39"/>
      <c r="F229" s="39"/>
      <c r="G229" s="39"/>
      <c r="H229" s="39"/>
      <c r="I229" s="39"/>
      <c r="L229" s="31"/>
    </row>
    <row r="230" spans="2:12" x14ac:dyDescent="0.2">
      <c r="B230" s="39"/>
      <c r="C230" s="39"/>
      <c r="D230" s="39"/>
      <c r="E230" s="39"/>
      <c r="F230" s="39"/>
      <c r="G230" s="39"/>
      <c r="H230" s="39"/>
      <c r="I230" s="39"/>
      <c r="L230" s="31"/>
    </row>
    <row r="231" spans="2:12" x14ac:dyDescent="0.2">
      <c r="B231" s="39"/>
      <c r="C231" s="39"/>
      <c r="D231" s="39"/>
      <c r="E231" s="39"/>
      <c r="F231" s="39"/>
      <c r="G231" s="39"/>
      <c r="H231" s="39"/>
      <c r="I231" s="39"/>
      <c r="L231" s="31"/>
    </row>
    <row r="232" spans="2:12" x14ac:dyDescent="0.2">
      <c r="B232" s="39"/>
      <c r="C232" s="39"/>
      <c r="D232" s="39"/>
      <c r="E232" s="39"/>
      <c r="F232" s="39"/>
      <c r="G232" s="39"/>
      <c r="H232" s="39"/>
      <c r="I232" s="39"/>
      <c r="L232" s="31"/>
    </row>
    <row r="233" spans="2:12" x14ac:dyDescent="0.2">
      <c r="B233" s="39"/>
      <c r="C233" s="39"/>
      <c r="D233" s="39"/>
      <c r="E233" s="39"/>
      <c r="F233" s="39"/>
      <c r="G233" s="39"/>
      <c r="H233" s="39"/>
      <c r="I233" s="39"/>
      <c r="L233" s="31"/>
    </row>
    <row r="234" spans="2:12" x14ac:dyDescent="0.2">
      <c r="B234" s="39"/>
      <c r="C234" s="39"/>
      <c r="D234" s="39"/>
      <c r="E234" s="39"/>
      <c r="F234" s="39"/>
      <c r="G234" s="39"/>
      <c r="H234" s="39"/>
      <c r="I234" s="39"/>
      <c r="L234" s="31"/>
    </row>
    <row r="235" spans="2:12" x14ac:dyDescent="0.2">
      <c r="B235" s="39"/>
      <c r="C235" s="39"/>
      <c r="D235" s="39"/>
      <c r="E235" s="39"/>
      <c r="F235" s="39"/>
      <c r="G235" s="39"/>
      <c r="H235" s="39"/>
      <c r="I235" s="39"/>
      <c r="L235" s="31"/>
    </row>
    <row r="236" spans="2:12" x14ac:dyDescent="0.2">
      <c r="B236" s="39"/>
      <c r="C236" s="39"/>
      <c r="D236" s="39"/>
      <c r="E236" s="39"/>
      <c r="F236" s="39"/>
      <c r="G236" s="39"/>
      <c r="H236" s="39"/>
      <c r="I236" s="39"/>
      <c r="L236" s="31"/>
    </row>
    <row r="237" spans="2:12" x14ac:dyDescent="0.2">
      <c r="B237" s="39"/>
      <c r="C237" s="39"/>
      <c r="D237" s="39"/>
      <c r="E237" s="39"/>
      <c r="F237" s="39"/>
      <c r="G237" s="39"/>
      <c r="H237" s="39"/>
      <c r="I237" s="39"/>
      <c r="L237" s="31"/>
    </row>
    <row r="238" spans="2:12" x14ac:dyDescent="0.2">
      <c r="B238" s="39"/>
      <c r="C238" s="39"/>
      <c r="D238" s="39"/>
      <c r="E238" s="39"/>
      <c r="F238" s="39"/>
      <c r="G238" s="39"/>
      <c r="H238" s="39"/>
      <c r="I238" s="39"/>
      <c r="L238" s="31"/>
    </row>
    <row r="239" spans="2:12" x14ac:dyDescent="0.2">
      <c r="B239" s="39"/>
      <c r="C239" s="39"/>
      <c r="D239" s="39"/>
      <c r="E239" s="39"/>
      <c r="F239" s="39"/>
      <c r="G239" s="39"/>
      <c r="H239" s="39"/>
      <c r="I239" s="39"/>
      <c r="L239" s="31"/>
    </row>
    <row r="240" spans="2:12" x14ac:dyDescent="0.2">
      <c r="B240" s="39"/>
      <c r="C240" s="39"/>
      <c r="D240" s="39"/>
      <c r="E240" s="39"/>
      <c r="F240" s="39"/>
      <c r="G240" s="39"/>
      <c r="H240" s="39"/>
      <c r="I240" s="39"/>
      <c r="L240" s="31"/>
    </row>
    <row r="241" spans="2:12" x14ac:dyDescent="0.2">
      <c r="B241" s="39"/>
      <c r="C241" s="39"/>
      <c r="D241" s="39"/>
      <c r="E241" s="39"/>
      <c r="F241" s="39"/>
      <c r="G241" s="39"/>
      <c r="H241" s="39"/>
      <c r="I241" s="39"/>
      <c r="L241" s="31"/>
    </row>
    <row r="242" spans="2:12" x14ac:dyDescent="0.2">
      <c r="B242" s="39"/>
      <c r="C242" s="39"/>
      <c r="D242" s="39"/>
      <c r="E242" s="39"/>
      <c r="F242" s="39"/>
      <c r="G242" s="39"/>
      <c r="H242" s="39"/>
      <c r="I242" s="39"/>
      <c r="L242" s="31"/>
    </row>
    <row r="243" spans="2:12" x14ac:dyDescent="0.2">
      <c r="B243" s="39"/>
      <c r="C243" s="39"/>
      <c r="D243" s="39"/>
      <c r="E243" s="39"/>
      <c r="F243" s="39"/>
      <c r="G243" s="39"/>
      <c r="H243" s="39"/>
      <c r="I243" s="39"/>
      <c r="L243" s="31"/>
    </row>
    <row r="244" spans="2:12" x14ac:dyDescent="0.2">
      <c r="B244" s="39"/>
      <c r="C244" s="39"/>
      <c r="D244" s="39"/>
      <c r="E244" s="39"/>
      <c r="F244" s="39"/>
      <c r="G244" s="39"/>
      <c r="H244" s="39"/>
      <c r="I244" s="39"/>
      <c r="L244" s="31"/>
    </row>
    <row r="245" spans="2:12" x14ac:dyDescent="0.2">
      <c r="B245" s="39"/>
      <c r="C245" s="39"/>
      <c r="D245" s="39"/>
      <c r="E245" s="39"/>
      <c r="F245" s="39"/>
      <c r="G245" s="39"/>
      <c r="H245" s="39"/>
      <c r="I245" s="39"/>
      <c r="L245" s="31"/>
    </row>
    <row r="246" spans="2:12" x14ac:dyDescent="0.2">
      <c r="B246" s="39"/>
      <c r="C246" s="39"/>
      <c r="D246" s="39"/>
      <c r="E246" s="39"/>
      <c r="F246" s="39"/>
      <c r="G246" s="39"/>
      <c r="H246" s="39"/>
      <c r="I246" s="39"/>
      <c r="L246" s="31"/>
    </row>
    <row r="247" spans="2:12" x14ac:dyDescent="0.2">
      <c r="B247" s="39"/>
      <c r="C247" s="39"/>
      <c r="D247" s="39"/>
      <c r="E247" s="39"/>
      <c r="F247" s="39"/>
      <c r="G247" s="39"/>
      <c r="H247" s="39"/>
      <c r="I247" s="39"/>
      <c r="L247" s="31"/>
    </row>
    <row r="248" spans="2:12" x14ac:dyDescent="0.2">
      <c r="B248" s="39"/>
      <c r="C248" s="39"/>
      <c r="D248" s="39"/>
      <c r="E248" s="39"/>
      <c r="F248" s="39"/>
      <c r="G248" s="39"/>
      <c r="H248" s="39"/>
      <c r="I248" s="39"/>
      <c r="L248" s="31"/>
    </row>
    <row r="249" spans="2:12" x14ac:dyDescent="0.2">
      <c r="B249" s="39"/>
      <c r="C249" s="39"/>
      <c r="D249" s="39"/>
      <c r="E249" s="39"/>
      <c r="F249" s="39"/>
      <c r="G249" s="39"/>
      <c r="H249" s="39"/>
      <c r="I249" s="39"/>
      <c r="L249" s="31"/>
    </row>
    <row r="250" spans="2:12" x14ac:dyDescent="0.2">
      <c r="B250" s="39"/>
      <c r="C250" s="39"/>
      <c r="D250" s="39"/>
      <c r="E250" s="39"/>
      <c r="F250" s="39"/>
      <c r="G250" s="39"/>
      <c r="H250" s="39"/>
      <c r="I250" s="39"/>
      <c r="L250" s="31"/>
    </row>
    <row r="251" spans="2:12" x14ac:dyDescent="0.2">
      <c r="B251" s="39"/>
      <c r="C251" s="39"/>
      <c r="D251" s="39"/>
      <c r="E251" s="39"/>
      <c r="F251" s="39"/>
      <c r="G251" s="39"/>
      <c r="H251" s="39"/>
      <c r="I251" s="39"/>
      <c r="L251" s="31"/>
    </row>
    <row r="252" spans="2:12" x14ac:dyDescent="0.2">
      <c r="B252" s="39"/>
      <c r="C252" s="39"/>
      <c r="D252" s="39"/>
      <c r="E252" s="39"/>
      <c r="F252" s="39"/>
      <c r="G252" s="39"/>
      <c r="H252" s="39"/>
      <c r="I252" s="39"/>
      <c r="L252" s="31"/>
    </row>
    <row r="253" spans="2:12" x14ac:dyDescent="0.2">
      <c r="B253" s="39"/>
      <c r="C253" s="39"/>
      <c r="D253" s="39"/>
      <c r="E253" s="39"/>
      <c r="F253" s="39"/>
      <c r="G253" s="39"/>
      <c r="H253" s="39"/>
      <c r="I253" s="39"/>
      <c r="L253" s="31"/>
    </row>
    <row r="254" spans="2:12" x14ac:dyDescent="0.2">
      <c r="B254" s="39"/>
      <c r="C254" s="39"/>
      <c r="D254" s="39"/>
      <c r="E254" s="39"/>
      <c r="F254" s="39"/>
      <c r="G254" s="39"/>
      <c r="H254" s="39"/>
      <c r="I254" s="39"/>
      <c r="L254" s="31"/>
    </row>
    <row r="255" spans="2:12" x14ac:dyDescent="0.2">
      <c r="B255" s="39"/>
      <c r="C255" s="39"/>
      <c r="D255" s="39"/>
      <c r="E255" s="39"/>
      <c r="F255" s="39"/>
      <c r="G255" s="39"/>
      <c r="H255" s="39"/>
      <c r="I255" s="39"/>
      <c r="L255" s="31"/>
    </row>
    <row r="256" spans="2:12" x14ac:dyDescent="0.2">
      <c r="L256" s="31"/>
    </row>
    <row r="257" spans="12:12" x14ac:dyDescent="0.2">
      <c r="L257" s="31"/>
    </row>
    <row r="258" spans="12:12" x14ac:dyDescent="0.2">
      <c r="L258" s="31"/>
    </row>
    <row r="259" spans="12:12" x14ac:dyDescent="0.2">
      <c r="L259" s="31"/>
    </row>
    <row r="260" spans="12:12" x14ac:dyDescent="0.2">
      <c r="L260" s="31"/>
    </row>
    <row r="261" spans="12:12" x14ac:dyDescent="0.2">
      <c r="L261" s="31"/>
    </row>
    <row r="262" spans="12:12" x14ac:dyDescent="0.2">
      <c r="L262" s="31"/>
    </row>
    <row r="263" spans="12:12" x14ac:dyDescent="0.2">
      <c r="L263" s="31"/>
    </row>
    <row r="264" spans="12:12" x14ac:dyDescent="0.2">
      <c r="L264" s="31"/>
    </row>
    <row r="265" spans="12:12" x14ac:dyDescent="0.2">
      <c r="L265" s="31"/>
    </row>
    <row r="266" spans="12:12" x14ac:dyDescent="0.2">
      <c r="L266" s="31"/>
    </row>
    <row r="267" spans="12:12" x14ac:dyDescent="0.2">
      <c r="L267" s="31"/>
    </row>
    <row r="268" spans="12:12" x14ac:dyDescent="0.2">
      <c r="L268" s="31"/>
    </row>
    <row r="269" spans="12:12" x14ac:dyDescent="0.2">
      <c r="L269" s="31"/>
    </row>
    <row r="270" spans="12:12" x14ac:dyDescent="0.2">
      <c r="L270" s="31"/>
    </row>
    <row r="271" spans="12:12" x14ac:dyDescent="0.2">
      <c r="L271" s="31"/>
    </row>
    <row r="272" spans="12:12" x14ac:dyDescent="0.2">
      <c r="L272" s="31"/>
    </row>
    <row r="273" spans="12:12" x14ac:dyDescent="0.2">
      <c r="L273" s="31"/>
    </row>
    <row r="274" spans="12:12" x14ac:dyDescent="0.2">
      <c r="L274" s="31"/>
    </row>
    <row r="275" spans="12:12" x14ac:dyDescent="0.2">
      <c r="L275" s="31"/>
    </row>
    <row r="276" spans="12:12" x14ac:dyDescent="0.2">
      <c r="L276" s="31"/>
    </row>
    <row r="277" spans="12:12" x14ac:dyDescent="0.2">
      <c r="L277" s="31"/>
    </row>
    <row r="278" spans="12:12" x14ac:dyDescent="0.2">
      <c r="L278" s="31"/>
    </row>
    <row r="279" spans="12:12" x14ac:dyDescent="0.2">
      <c r="L279" s="31"/>
    </row>
    <row r="280" spans="12:12" x14ac:dyDescent="0.2">
      <c r="L280" s="31"/>
    </row>
    <row r="281" spans="12:12" x14ac:dyDescent="0.2">
      <c r="L281" s="31"/>
    </row>
    <row r="282" spans="12:12" x14ac:dyDescent="0.2">
      <c r="L282" s="31"/>
    </row>
    <row r="283" spans="12:12" x14ac:dyDescent="0.2">
      <c r="L283" s="31"/>
    </row>
    <row r="284" spans="12:12" x14ac:dyDescent="0.2">
      <c r="L284" s="31"/>
    </row>
    <row r="285" spans="12:12" x14ac:dyDescent="0.2">
      <c r="L285" s="31"/>
    </row>
    <row r="286" spans="12:12" x14ac:dyDescent="0.2">
      <c r="L286" s="31"/>
    </row>
    <row r="287" spans="12:12" x14ac:dyDescent="0.2">
      <c r="L287" s="31"/>
    </row>
    <row r="288" spans="12:12" x14ac:dyDescent="0.2">
      <c r="L288" s="31"/>
    </row>
    <row r="289" spans="12:12" x14ac:dyDescent="0.2">
      <c r="L289" s="31"/>
    </row>
    <row r="290" spans="12:12" x14ac:dyDescent="0.2">
      <c r="L290" s="31"/>
    </row>
    <row r="291" spans="12:12" x14ac:dyDescent="0.2">
      <c r="L291" s="31"/>
    </row>
    <row r="292" spans="12:12" x14ac:dyDescent="0.2">
      <c r="L292" s="31"/>
    </row>
    <row r="293" spans="12:12" x14ac:dyDescent="0.2">
      <c r="L293" s="31"/>
    </row>
    <row r="294" spans="12:12" x14ac:dyDescent="0.2">
      <c r="L294" s="31"/>
    </row>
    <row r="295" spans="12:12" x14ac:dyDescent="0.2">
      <c r="L295" s="31"/>
    </row>
    <row r="296" spans="12:12" x14ac:dyDescent="0.2">
      <c r="L296" s="31"/>
    </row>
    <row r="297" spans="12:12" x14ac:dyDescent="0.2">
      <c r="L297" s="31"/>
    </row>
    <row r="298" spans="12:12" x14ac:dyDescent="0.2">
      <c r="L298" s="31"/>
    </row>
    <row r="299" spans="12:12" x14ac:dyDescent="0.2">
      <c r="L299" s="31"/>
    </row>
    <row r="300" spans="12:12" x14ac:dyDescent="0.2">
      <c r="L300" s="31"/>
    </row>
    <row r="301" spans="12:12" x14ac:dyDescent="0.2">
      <c r="L301" s="31"/>
    </row>
    <row r="302" spans="12:12" x14ac:dyDescent="0.2">
      <c r="L302" s="31"/>
    </row>
    <row r="303" spans="12:12" x14ac:dyDescent="0.2">
      <c r="L303" s="31"/>
    </row>
    <row r="304" spans="12:12" x14ac:dyDescent="0.2">
      <c r="L304" s="31"/>
    </row>
    <row r="305" spans="12:12" x14ac:dyDescent="0.2">
      <c r="L305" s="31"/>
    </row>
    <row r="306" spans="12:12" x14ac:dyDescent="0.2">
      <c r="L306" s="31"/>
    </row>
    <row r="307" spans="12:12" x14ac:dyDescent="0.2">
      <c r="L307" s="31"/>
    </row>
    <row r="308" spans="12:12" x14ac:dyDescent="0.2">
      <c r="L308" s="31"/>
    </row>
    <row r="309" spans="12:12" x14ac:dyDescent="0.2">
      <c r="L309" s="31"/>
    </row>
  </sheetData>
  <phoneticPr fontId="8" type="noConversion"/>
  <printOptions horizontalCentered="1" gridLinesSet="0"/>
  <pageMargins left="0.1" right="0.1" top="0.5" bottom="0.75" header="0.5" footer="0.5"/>
  <pageSetup scale="88" orientation="landscape" r:id="rId1"/>
  <headerFooter alignWithMargins="0">
    <oddFooter>Page &amp;P of &amp;N</oddFooter>
  </headerFooter>
  <rowBreaks count="3" manualBreakCount="3">
    <brk id="36" max="16383" man="1"/>
    <brk id="97" max="16383" man="1"/>
    <brk id="222" max="655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0C8A-4E00-4519-A116-7336C66699F3}">
  <sheetPr codeName="Sheet12"/>
  <dimension ref="A2:B77"/>
  <sheetViews>
    <sheetView topLeftCell="A12" zoomScaleNormal="100" workbookViewId="0">
      <selection activeCell="A69" sqref="A69:IV77"/>
    </sheetView>
  </sheetViews>
  <sheetFormatPr defaultRowHeight="10.199999999999999" x14ac:dyDescent="0.2"/>
  <cols>
    <col min="1" max="1" width="55.85546875" customWidth="1"/>
    <col min="2" max="2" width="14.7109375" customWidth="1"/>
  </cols>
  <sheetData>
    <row r="2" spans="1:2" ht="13.2" x14ac:dyDescent="0.25">
      <c r="A2" s="138" t="s">
        <v>46</v>
      </c>
      <c r="B2" s="91" t="s">
        <v>84</v>
      </c>
    </row>
    <row r="3" spans="1:2" x14ac:dyDescent="0.2">
      <c r="A3" s="91" t="s">
        <v>569</v>
      </c>
      <c r="B3" s="32">
        <v>164.9</v>
      </c>
    </row>
    <row r="4" spans="1:2" x14ac:dyDescent="0.2">
      <c r="A4" s="91" t="s">
        <v>47</v>
      </c>
      <c r="B4" s="32">
        <v>97.45</v>
      </c>
    </row>
    <row r="5" spans="1:2" x14ac:dyDescent="0.2">
      <c r="A5" s="91" t="s">
        <v>571</v>
      </c>
      <c r="B5" s="32">
        <v>72.61</v>
      </c>
    </row>
    <row r="6" spans="1:2" x14ac:dyDescent="0.2">
      <c r="A6" s="91" t="s">
        <v>572</v>
      </c>
      <c r="B6" s="32">
        <v>43.67</v>
      </c>
    </row>
    <row r="7" spans="1:2" x14ac:dyDescent="0.2">
      <c r="A7" s="91" t="s">
        <v>48</v>
      </c>
      <c r="B7" s="91"/>
    </row>
    <row r="9" spans="1:2" ht="13.2" x14ac:dyDescent="0.25">
      <c r="A9" s="138" t="s">
        <v>49</v>
      </c>
      <c r="B9" s="91" t="s">
        <v>84</v>
      </c>
    </row>
    <row r="10" spans="1:2" x14ac:dyDescent="0.2">
      <c r="A10" s="91" t="s">
        <v>569</v>
      </c>
      <c r="B10" s="140">
        <v>94.34</v>
      </c>
    </row>
    <row r="11" spans="1:2" x14ac:dyDescent="0.2">
      <c r="A11" s="91" t="s">
        <v>47</v>
      </c>
      <c r="B11" s="140">
        <v>67.86</v>
      </c>
    </row>
    <row r="12" spans="1:2" x14ac:dyDescent="0.2">
      <c r="A12" s="91" t="s">
        <v>571</v>
      </c>
      <c r="B12" s="140">
        <v>47.62</v>
      </c>
    </row>
    <row r="13" spans="1:2" x14ac:dyDescent="0.2">
      <c r="A13" s="91" t="s">
        <v>572</v>
      </c>
      <c r="B13" s="140">
        <v>28.96</v>
      </c>
    </row>
    <row r="15" spans="1:2" ht="11.4" customHeight="1" x14ac:dyDescent="0.25">
      <c r="A15" s="138" t="s">
        <v>50</v>
      </c>
      <c r="B15" s="91" t="s">
        <v>84</v>
      </c>
    </row>
    <row r="16" spans="1:2" ht="10.35" customHeight="1" x14ac:dyDescent="0.2">
      <c r="A16" s="142" t="s">
        <v>240</v>
      </c>
      <c r="B16" s="139"/>
    </row>
    <row r="17" spans="1:2" ht="10.35" customHeight="1" x14ac:dyDescent="0.2">
      <c r="A17" s="143" t="s">
        <v>575</v>
      </c>
      <c r="B17" s="139">
        <v>1.5</v>
      </c>
    </row>
    <row r="18" spans="1:2" ht="10.35" customHeight="1" x14ac:dyDescent="0.2">
      <c r="A18" s="144" t="s">
        <v>575</v>
      </c>
      <c r="B18" s="139">
        <v>1.2</v>
      </c>
    </row>
    <row r="19" spans="1:2" x14ac:dyDescent="0.2">
      <c r="A19" s="91" t="s">
        <v>51</v>
      </c>
      <c r="B19" s="139">
        <v>4.4000000000000004</v>
      </c>
    </row>
    <row r="20" spans="1:2" x14ac:dyDescent="0.2">
      <c r="A20" s="91" t="s">
        <v>52</v>
      </c>
      <c r="B20" s="139">
        <v>0.15</v>
      </c>
    </row>
    <row r="21" spans="1:2" x14ac:dyDescent="0.2">
      <c r="A21" s="91" t="s">
        <v>53</v>
      </c>
      <c r="B21" s="139">
        <v>1400</v>
      </c>
    </row>
    <row r="22" spans="1:2" x14ac:dyDescent="0.2">
      <c r="A22" s="91" t="s">
        <v>54</v>
      </c>
      <c r="B22" s="139">
        <v>1800</v>
      </c>
    </row>
    <row r="23" spans="1:2" x14ac:dyDescent="0.2">
      <c r="A23" s="91" t="s">
        <v>55</v>
      </c>
      <c r="B23" s="139">
        <v>1.5</v>
      </c>
    </row>
    <row r="24" spans="1:2" x14ac:dyDescent="0.2">
      <c r="A24" s="91" t="s">
        <v>56</v>
      </c>
      <c r="B24" s="139">
        <v>600</v>
      </c>
    </row>
    <row r="25" spans="1:2" x14ac:dyDescent="0.2">
      <c r="A25" s="91" t="s">
        <v>57</v>
      </c>
      <c r="B25" s="139">
        <v>600</v>
      </c>
    </row>
    <row r="26" spans="1:2" x14ac:dyDescent="0.2">
      <c r="A26" s="91" t="s">
        <v>58</v>
      </c>
      <c r="B26" s="139">
        <v>1000</v>
      </c>
    </row>
    <row r="27" spans="1:2" x14ac:dyDescent="0.2">
      <c r="A27" s="91" t="s">
        <v>59</v>
      </c>
      <c r="B27" s="139">
        <v>2200</v>
      </c>
    </row>
    <row r="28" spans="1:2" x14ac:dyDescent="0.2">
      <c r="A28" s="91" t="s">
        <v>60</v>
      </c>
      <c r="B28" s="139">
        <v>200</v>
      </c>
    </row>
    <row r="29" spans="1:2" x14ac:dyDescent="0.2">
      <c r="A29" s="91" t="s">
        <v>87</v>
      </c>
      <c r="B29" s="139">
        <v>32700</v>
      </c>
    </row>
    <row r="30" spans="1:2" x14ac:dyDescent="0.2">
      <c r="A30" s="91" t="s">
        <v>61</v>
      </c>
      <c r="B30" s="139">
        <v>37200</v>
      </c>
    </row>
    <row r="31" spans="1:2" x14ac:dyDescent="0.2">
      <c r="A31" s="91" t="s">
        <v>140</v>
      </c>
      <c r="B31" s="139">
        <v>500</v>
      </c>
    </row>
    <row r="32" spans="1:2" x14ac:dyDescent="0.2">
      <c r="A32" s="91" t="s">
        <v>88</v>
      </c>
      <c r="B32" s="139">
        <v>26000</v>
      </c>
    </row>
    <row r="33" spans="1:2" x14ac:dyDescent="0.2">
      <c r="A33" s="91" t="s">
        <v>89</v>
      </c>
      <c r="B33" s="139">
        <v>13000</v>
      </c>
    </row>
    <row r="34" spans="1:2" x14ac:dyDescent="0.2">
      <c r="A34" s="91" t="s">
        <v>90</v>
      </c>
      <c r="B34" s="139">
        <v>32300</v>
      </c>
    </row>
    <row r="35" spans="1:2" x14ac:dyDescent="0.2">
      <c r="A35" s="91" t="s">
        <v>62</v>
      </c>
      <c r="B35" s="139">
        <v>28000</v>
      </c>
    </row>
    <row r="36" spans="1:2" x14ac:dyDescent="0.2">
      <c r="A36" s="91" t="s">
        <v>90</v>
      </c>
      <c r="B36" s="139">
        <v>25000</v>
      </c>
    </row>
    <row r="37" spans="1:2" x14ac:dyDescent="0.2">
      <c r="A37" s="91" t="s">
        <v>91</v>
      </c>
      <c r="B37" s="139">
        <v>12400</v>
      </c>
    </row>
    <row r="38" spans="1:2" x14ac:dyDescent="0.2">
      <c r="A38" s="91" t="s">
        <v>92</v>
      </c>
      <c r="B38" s="139">
        <v>9200</v>
      </c>
    </row>
    <row r="39" spans="1:2" x14ac:dyDescent="0.2">
      <c r="A39" s="91" t="s">
        <v>63</v>
      </c>
      <c r="B39" s="139">
        <v>3700</v>
      </c>
    </row>
    <row r="40" spans="1:2" x14ac:dyDescent="0.2">
      <c r="A40" s="91" t="s">
        <v>64</v>
      </c>
      <c r="B40" s="139">
        <v>14800</v>
      </c>
    </row>
    <row r="41" spans="1:2" x14ac:dyDescent="0.2">
      <c r="A41" s="91" t="s">
        <v>65</v>
      </c>
      <c r="B41" s="139">
        <v>5000</v>
      </c>
    </row>
    <row r="42" spans="1:2" x14ac:dyDescent="0.2">
      <c r="A42" s="91" t="s">
        <v>66</v>
      </c>
      <c r="B42" s="139">
        <v>1200</v>
      </c>
    </row>
    <row r="43" spans="1:2" x14ac:dyDescent="0.2">
      <c r="A43" s="91" t="s">
        <v>67</v>
      </c>
      <c r="B43" s="139">
        <v>3700</v>
      </c>
    </row>
    <row r="44" spans="1:2" x14ac:dyDescent="0.2">
      <c r="A44" s="91" t="s">
        <v>68</v>
      </c>
      <c r="B44" s="139">
        <v>1200</v>
      </c>
    </row>
    <row r="45" spans="1:2" x14ac:dyDescent="0.2">
      <c r="A45" s="91" t="s">
        <v>69</v>
      </c>
      <c r="B45" s="139">
        <v>5000</v>
      </c>
    </row>
    <row r="46" spans="1:2" x14ac:dyDescent="0.2">
      <c r="A46" s="91" t="s">
        <v>70</v>
      </c>
      <c r="B46" s="139">
        <v>2500</v>
      </c>
    </row>
    <row r="47" spans="1:2" x14ac:dyDescent="0.2">
      <c r="A47" s="91" t="s">
        <v>71</v>
      </c>
      <c r="B47" s="139">
        <v>14800</v>
      </c>
    </row>
    <row r="48" spans="1:2" x14ac:dyDescent="0.2">
      <c r="A48" s="91" t="s">
        <v>72</v>
      </c>
      <c r="B48" s="139">
        <v>3700</v>
      </c>
    </row>
    <row r="49" spans="1:2" x14ac:dyDescent="0.2">
      <c r="A49" s="91" t="s">
        <v>73</v>
      </c>
      <c r="B49" s="139">
        <v>6000</v>
      </c>
    </row>
    <row r="50" spans="1:2" x14ac:dyDescent="0.2">
      <c r="A50" s="91" t="s">
        <v>74</v>
      </c>
      <c r="B50" s="139">
        <v>2000</v>
      </c>
    </row>
    <row r="51" spans="1:2" x14ac:dyDescent="0.2">
      <c r="A51" s="91" t="s">
        <v>75</v>
      </c>
      <c r="B51" s="139">
        <v>30</v>
      </c>
    </row>
    <row r="52" spans="1:2" x14ac:dyDescent="0.2">
      <c r="A52" s="91" t="s">
        <v>76</v>
      </c>
      <c r="B52" s="139">
        <v>37000</v>
      </c>
    </row>
    <row r="53" spans="1:2" x14ac:dyDescent="0.2">
      <c r="A53" s="91" t="s">
        <v>77</v>
      </c>
      <c r="B53" s="139">
        <v>527000</v>
      </c>
    </row>
    <row r="54" spans="1:2" x14ac:dyDescent="0.2">
      <c r="A54" s="405" t="s">
        <v>123</v>
      </c>
      <c r="B54" s="139">
        <v>100</v>
      </c>
    </row>
    <row r="55" spans="1:2" x14ac:dyDescent="0.2">
      <c r="A55" s="405" t="s">
        <v>122</v>
      </c>
      <c r="B55" s="139">
        <v>159500</v>
      </c>
    </row>
    <row r="56" spans="1:2" x14ac:dyDescent="0.2">
      <c r="A56" s="91" t="s">
        <v>78</v>
      </c>
      <c r="B56" s="139">
        <v>3700</v>
      </c>
    </row>
    <row r="57" spans="1:2" x14ac:dyDescent="0.2">
      <c r="A57" s="91" t="s">
        <v>79</v>
      </c>
      <c r="B57" s="139">
        <v>3700</v>
      </c>
    </row>
    <row r="58" spans="1:2" x14ac:dyDescent="0.2">
      <c r="A58" s="91" t="s">
        <v>83</v>
      </c>
      <c r="B58" s="139">
        <v>30800</v>
      </c>
    </row>
    <row r="59" spans="1:2" x14ac:dyDescent="0.2">
      <c r="B59" s="137"/>
    </row>
    <row r="61" spans="1:2" ht="13.2" x14ac:dyDescent="0.25">
      <c r="A61" s="138" t="s">
        <v>708</v>
      </c>
      <c r="B61" s="91" t="s">
        <v>84</v>
      </c>
    </row>
    <row r="62" spans="1:2" x14ac:dyDescent="0.2">
      <c r="A62" s="91" t="s">
        <v>240</v>
      </c>
      <c r="B62" s="139" t="s">
        <v>240</v>
      </c>
    </row>
    <row r="63" spans="1:2" x14ac:dyDescent="0.2">
      <c r="A63" s="91" t="s">
        <v>707</v>
      </c>
      <c r="B63" s="139">
        <f>(B64+B65)/6.5</f>
        <v>30769.23076923077</v>
      </c>
    </row>
    <row r="64" spans="1:2" x14ac:dyDescent="0.2">
      <c r="A64" s="405" t="s">
        <v>120</v>
      </c>
      <c r="B64" s="139">
        <v>30000</v>
      </c>
    </row>
    <row r="65" spans="1:2" x14ac:dyDescent="0.2">
      <c r="A65" s="405" t="s">
        <v>121</v>
      </c>
      <c r="B65" s="139">
        <v>170000</v>
      </c>
    </row>
    <row r="66" spans="1:2" x14ac:dyDescent="0.2">
      <c r="A66" s="91" t="s">
        <v>85</v>
      </c>
      <c r="B66" s="98">
        <v>650</v>
      </c>
    </row>
    <row r="67" spans="1:2" x14ac:dyDescent="0.2">
      <c r="A67" s="91" t="s">
        <v>86</v>
      </c>
      <c r="B67" s="98">
        <v>21.67</v>
      </c>
    </row>
    <row r="69" spans="1:2" hidden="1" x14ac:dyDescent="0.2"/>
    <row r="70" spans="1:2" hidden="1" x14ac:dyDescent="0.2"/>
    <row r="71" spans="1:2" hidden="1" x14ac:dyDescent="0.2"/>
    <row r="72" spans="1:2" ht="13.2" hidden="1" x14ac:dyDescent="0.25">
      <c r="A72" s="138"/>
    </row>
    <row r="73" spans="1:2" ht="13.2" hidden="1" x14ac:dyDescent="0.25">
      <c r="A73" s="141"/>
    </row>
    <row r="74" spans="1:2" hidden="1" x14ac:dyDescent="0.2"/>
    <row r="75" spans="1:2" ht="13.2" hidden="1" x14ac:dyDescent="0.25">
      <c r="A75" s="138"/>
    </row>
    <row r="76" spans="1:2" hidden="1" x14ac:dyDescent="0.2">
      <c r="A76" s="91"/>
    </row>
    <row r="77" spans="1:2" hidden="1" x14ac:dyDescent="0.2"/>
  </sheetData>
  <phoneticPr fontId="8" type="noConversion"/>
  <printOptions horizontalCentered="1"/>
  <pageMargins left="0.1" right="0.1" top="0.5" bottom="0.5" header="0.5" footer="0.5"/>
  <pageSetup scale="88" orientation="landscape" r:id="rId1"/>
  <headerFooter alignWithMargins="0">
    <oddHeader>&amp;F</oddHead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BC76-423E-4CEB-A180-91B135DCB564}">
  <sheetPr syncVertical="1" syncRef="D1" transitionEvaluation="1" transitionEntry="1" codeName="Sheet4"/>
  <dimension ref="A2:AM428"/>
  <sheetViews>
    <sheetView showGridLines="0" zoomScaleNormal="100" workbookViewId="0">
      <pane xSplit="3" topLeftCell="D1" activePane="topRight" state="frozen"/>
      <selection pane="topRight" activeCell="A311" sqref="A311:A314"/>
    </sheetView>
  </sheetViews>
  <sheetFormatPr defaultColWidth="9.7109375" defaultRowHeight="10.199999999999999" x14ac:dyDescent="0.2"/>
  <cols>
    <col min="1" max="1" width="40.140625" style="14" customWidth="1"/>
    <col min="2" max="2" width="9.85546875" style="14" customWidth="1"/>
    <col min="3" max="3" width="9.42578125" style="14" customWidth="1"/>
    <col min="4" max="4" width="9.7109375" style="14" customWidth="1"/>
    <col min="5" max="5" width="7.7109375" style="14" customWidth="1"/>
    <col min="6" max="6" width="10.7109375" style="27" customWidth="1"/>
    <col min="7" max="7" width="9.42578125" style="14" customWidth="1"/>
    <col min="8" max="8" width="11.85546875" style="34" customWidth="1"/>
    <col min="9" max="9" width="8.85546875" style="14" customWidth="1"/>
    <col min="10" max="10" width="9.7109375" style="14" customWidth="1"/>
    <col min="11" max="11" width="12.140625" style="65" customWidth="1"/>
    <col min="12" max="12" width="18.28515625" style="34" customWidth="1"/>
    <col min="13" max="13" width="18.28515625" style="34" hidden="1" customWidth="1"/>
    <col min="14" max="14" width="16.7109375" style="159" hidden="1" customWidth="1"/>
    <col min="15" max="15" width="11.7109375" style="160" hidden="1" customWidth="1"/>
    <col min="16" max="17" width="12.140625" style="160" hidden="1" customWidth="1"/>
    <col min="18" max="18" width="14.42578125" style="160" hidden="1" customWidth="1"/>
    <col min="19" max="20" width="16.7109375" style="159" hidden="1" customWidth="1"/>
    <col min="21" max="21" width="9.7109375" style="160" hidden="1" customWidth="1"/>
    <col min="22" max="22" width="12.7109375" style="160" hidden="1" customWidth="1"/>
    <col min="23" max="23" width="0" style="160" hidden="1" customWidth="1"/>
    <col min="24" max="24" width="14.140625" style="408" hidden="1" customWidth="1"/>
    <col min="25" max="25" width="13.140625" style="408" hidden="1" customWidth="1"/>
    <col min="26" max="26" width="8.28515625" style="408" hidden="1" customWidth="1"/>
    <col min="27" max="27" width="9.7109375" style="408" hidden="1" customWidth="1"/>
    <col min="28" max="28" width="9.7109375" style="160" hidden="1" customWidth="1"/>
    <col min="29" max="29" width="0" style="160" hidden="1" customWidth="1"/>
    <col min="30" max="30" width="0.85546875" style="160" hidden="1" customWidth="1"/>
    <col min="31" max="31" width="10.7109375" style="160" hidden="1" customWidth="1"/>
    <col min="32" max="32" width="9.7109375" style="160" hidden="1" customWidth="1"/>
    <col min="33" max="33" width="10.7109375" style="160" hidden="1" customWidth="1"/>
    <col min="34" max="38" width="0" style="160" hidden="1" customWidth="1"/>
    <col min="39" max="39" width="10.42578125" style="160" hidden="1" customWidth="1"/>
    <col min="40" max="42" width="0" style="160" hidden="1" customWidth="1"/>
    <col min="43" max="16384" width="9.7109375" style="160"/>
  </cols>
  <sheetData>
    <row r="2" spans="1:32" ht="18" x14ac:dyDescent="0.35">
      <c r="A2" s="568" t="s">
        <v>690</v>
      </c>
    </row>
    <row r="3" spans="1:32" ht="18" x14ac:dyDescent="0.35">
      <c r="A3" s="568" t="s">
        <v>599</v>
      </c>
    </row>
    <row r="4" spans="1:32" ht="18" x14ac:dyDescent="0.35">
      <c r="A4" s="568" t="s">
        <v>600</v>
      </c>
      <c r="K4" s="64"/>
    </row>
    <row r="5" spans="1:32" ht="18" x14ac:dyDescent="0.35">
      <c r="A5" s="568" t="s">
        <v>601</v>
      </c>
      <c r="K5" s="64"/>
    </row>
    <row r="6" spans="1:32" x14ac:dyDescent="0.2">
      <c r="I6" s="20"/>
      <c r="K6" s="64"/>
    </row>
    <row r="7" spans="1:32" x14ac:dyDescent="0.2">
      <c r="I7" s="564" t="s">
        <v>602</v>
      </c>
      <c r="J7" s="565"/>
      <c r="K7" s="566"/>
      <c r="L7" s="36"/>
      <c r="P7" s="161"/>
      <c r="Q7" s="161"/>
      <c r="R7" s="161"/>
    </row>
    <row r="8" spans="1:32" x14ac:dyDescent="0.2">
      <c r="B8" s="57" t="s">
        <v>576</v>
      </c>
      <c r="C8" s="58"/>
      <c r="D8" s="58"/>
      <c r="E8" s="58"/>
      <c r="F8" s="61"/>
      <c r="G8" s="58"/>
      <c r="H8" s="60"/>
      <c r="I8" s="560" t="s">
        <v>593</v>
      </c>
      <c r="J8" s="561"/>
      <c r="K8" s="562" t="s">
        <v>577</v>
      </c>
      <c r="L8" s="563"/>
      <c r="M8" s="60" t="s">
        <v>240</v>
      </c>
      <c r="P8" s="161"/>
      <c r="Q8" s="161"/>
      <c r="R8" s="161"/>
    </row>
    <row r="9" spans="1:32" x14ac:dyDescent="0.2">
      <c r="B9" s="54"/>
      <c r="C9" s="51"/>
      <c r="D9" s="51"/>
      <c r="E9" s="51"/>
      <c r="F9" s="52"/>
      <c r="G9" s="51"/>
      <c r="H9" s="53"/>
      <c r="I9" s="55"/>
      <c r="J9" s="56"/>
      <c r="K9" s="67"/>
      <c r="L9" s="56"/>
      <c r="M9" s="33"/>
      <c r="N9" s="162"/>
      <c r="P9" s="162"/>
      <c r="Q9" s="162"/>
      <c r="R9" s="162"/>
      <c r="S9" s="163"/>
      <c r="T9" s="163"/>
    </row>
    <row r="10" spans="1:32" x14ac:dyDescent="0.2">
      <c r="B10" s="19" t="s">
        <v>569</v>
      </c>
      <c r="C10" s="19" t="s">
        <v>570</v>
      </c>
      <c r="D10" s="19" t="s">
        <v>571</v>
      </c>
      <c r="E10" s="19" t="s">
        <v>572</v>
      </c>
      <c r="F10" s="28" t="s">
        <v>578</v>
      </c>
      <c r="G10" s="19" t="s">
        <v>579</v>
      </c>
      <c r="K10" s="68" t="s">
        <v>580</v>
      </c>
      <c r="L10" s="35" t="s">
        <v>580</v>
      </c>
      <c r="M10" s="35"/>
      <c r="N10" s="163" t="s">
        <v>603</v>
      </c>
      <c r="S10" s="163"/>
      <c r="T10" s="163"/>
      <c r="U10" s="164" t="s">
        <v>581</v>
      </c>
      <c r="W10" s="164" t="s">
        <v>573</v>
      </c>
      <c r="X10" s="409" t="s">
        <v>517</v>
      </c>
      <c r="Y10" s="409" t="s">
        <v>518</v>
      </c>
      <c r="Z10" s="409" t="s">
        <v>517</v>
      </c>
      <c r="AA10" s="409" t="s">
        <v>518</v>
      </c>
    </row>
    <row r="11" spans="1:32" x14ac:dyDescent="0.2">
      <c r="B11" s="10">
        <f>Costs!$B$3</f>
        <v>164.9</v>
      </c>
      <c r="C11" s="10">
        <f>Costs!$B$4</f>
        <v>97.45</v>
      </c>
      <c r="D11" s="10">
        <f>Costs!$B$5</f>
        <v>72.61</v>
      </c>
      <c r="E11" s="10">
        <f>Costs!$B$6</f>
        <v>43.67</v>
      </c>
      <c r="F11" s="28" t="s">
        <v>583</v>
      </c>
      <c r="G11" s="19" t="s">
        <v>584</v>
      </c>
      <c r="H11" s="35" t="s">
        <v>585</v>
      </c>
      <c r="J11" s="19" t="s">
        <v>604</v>
      </c>
      <c r="K11" s="68" t="s">
        <v>582</v>
      </c>
      <c r="L11" s="35" t="s">
        <v>583</v>
      </c>
      <c r="M11" s="35"/>
      <c r="N11" s="163" t="s">
        <v>605</v>
      </c>
      <c r="R11" s="160" t="s">
        <v>578</v>
      </c>
      <c r="S11" s="163" t="s">
        <v>280</v>
      </c>
      <c r="T11" s="163" t="s">
        <v>586</v>
      </c>
      <c r="U11" s="164" t="s">
        <v>587</v>
      </c>
      <c r="AE11" s="567" t="s">
        <v>236</v>
      </c>
      <c r="AF11" s="567"/>
    </row>
    <row r="12" spans="1:32" x14ac:dyDescent="0.2">
      <c r="A12" s="20" t="s">
        <v>588</v>
      </c>
      <c r="B12" s="19" t="s">
        <v>590</v>
      </c>
      <c r="C12" s="19" t="s">
        <v>590</v>
      </c>
      <c r="D12" s="19" t="s">
        <v>590</v>
      </c>
      <c r="E12" s="19" t="s">
        <v>590</v>
      </c>
      <c r="F12" s="28" t="s">
        <v>607</v>
      </c>
      <c r="G12" s="19" t="s">
        <v>592</v>
      </c>
      <c r="H12" s="35" t="s">
        <v>592</v>
      </c>
      <c r="I12" s="19" t="s">
        <v>574</v>
      </c>
      <c r="J12" s="19" t="s">
        <v>606</v>
      </c>
      <c r="K12" s="68" t="s">
        <v>591</v>
      </c>
      <c r="L12" s="35" t="s">
        <v>591</v>
      </c>
      <c r="M12" s="35"/>
      <c r="N12" s="163" t="s">
        <v>607</v>
      </c>
      <c r="O12" s="164" t="s">
        <v>589</v>
      </c>
      <c r="P12" s="164" t="s">
        <v>594</v>
      </c>
      <c r="Q12" s="164"/>
      <c r="R12" s="164" t="s">
        <v>592</v>
      </c>
      <c r="S12" s="163"/>
      <c r="T12" s="163" t="s">
        <v>592</v>
      </c>
      <c r="U12" s="164" t="s">
        <v>595</v>
      </c>
    </row>
    <row r="13" spans="1:32" x14ac:dyDescent="0.2">
      <c r="A13" s="148" t="s">
        <v>279</v>
      </c>
      <c r="B13" s="149"/>
      <c r="C13" s="150"/>
      <c r="D13" s="151"/>
      <c r="E13" s="150"/>
      <c r="F13" s="152"/>
      <c r="G13" s="150"/>
      <c r="H13" s="153"/>
      <c r="I13" s="154"/>
      <c r="J13" s="154"/>
      <c r="K13" s="155"/>
      <c r="L13" s="156"/>
      <c r="M13" s="554"/>
      <c r="N13" s="165"/>
      <c r="S13" s="166"/>
      <c r="T13" s="166"/>
      <c r="U13" s="164" t="s">
        <v>608</v>
      </c>
      <c r="V13" s="164" t="s">
        <v>609</v>
      </c>
      <c r="X13" s="410" t="s">
        <v>608</v>
      </c>
      <c r="Y13" s="410" t="s">
        <v>608</v>
      </c>
      <c r="Z13" s="410" t="s">
        <v>609</v>
      </c>
      <c r="AA13" s="410" t="s">
        <v>609</v>
      </c>
      <c r="AB13" s="407"/>
      <c r="AE13" s="171" t="s">
        <v>234</v>
      </c>
      <c r="AF13" s="171" t="s">
        <v>235</v>
      </c>
    </row>
    <row r="14" spans="1:32" x14ac:dyDescent="0.2">
      <c r="A14" s="146" t="s">
        <v>610</v>
      </c>
      <c r="B14" s="85">
        <v>0</v>
      </c>
      <c r="C14" s="85">
        <v>0.25</v>
      </c>
      <c r="D14" s="85">
        <v>0.75</v>
      </c>
      <c r="E14" s="85">
        <v>0</v>
      </c>
      <c r="F14" s="32">
        <f>ROUND(Costs!$B$3*B14+Costs!$B$4*C14+Costs!$B$5*D14+Costs!$B$6*E14,2)</f>
        <v>78.819999999999993</v>
      </c>
      <c r="G14" s="32" t="str">
        <f>Costs!$B$62</f>
        <v xml:space="preserve"> </v>
      </c>
      <c r="H14" s="32">
        <f>Costs!$B$16</f>
        <v>0</v>
      </c>
      <c r="I14" s="86">
        <f>ROUND((O14*(Universe!C$6)),0)</f>
        <v>2</v>
      </c>
      <c r="J14" s="86">
        <f>ROUND(P14*Universe!$C$2,0)</f>
        <v>0</v>
      </c>
      <c r="K14" s="87">
        <f>ROUND((B14+C14+D14+E14)*(I14+J14),2)</f>
        <v>2</v>
      </c>
      <c r="L14" s="32">
        <f>(I14+J14)*SUM(F14:H14)</f>
        <v>157.63999999999999</v>
      </c>
      <c r="M14" s="555"/>
      <c r="N14" s="165">
        <f>L14/(I14+J14)</f>
        <v>78.819999999999993</v>
      </c>
      <c r="O14" s="167">
        <v>0.06</v>
      </c>
      <c r="P14" s="167">
        <v>0.06</v>
      </c>
      <c r="Q14" s="167">
        <f>SUM(R14:T14)</f>
        <v>157.63999999999999</v>
      </c>
      <c r="R14" s="168">
        <f>F14*(I14+J14)</f>
        <v>157.63999999999999</v>
      </c>
      <c r="S14" s="168">
        <f>G14*(I14+J14)</f>
        <v>0</v>
      </c>
      <c r="T14" s="168">
        <f>H14*(I14+J14)</f>
        <v>0</v>
      </c>
      <c r="U14" s="188">
        <f>ROUND(((I14)*($B14+$C14+$D14+$E14))/(Universe!$C$6),2)</f>
        <v>0.06</v>
      </c>
      <c r="V14" s="188" t="e">
        <f>ROUND(((J14)*($B14+$C14+$D14+$E14))/(Universe!$C$2),2)</f>
        <v>#DIV/0!</v>
      </c>
      <c r="W14" s="167">
        <v>2</v>
      </c>
      <c r="X14" s="408">
        <f>IF(W14=1,U14,0)</f>
        <v>0</v>
      </c>
      <c r="Y14" s="408">
        <f>IF(W14=2,U14,0)</f>
        <v>0.06</v>
      </c>
      <c r="Z14" s="408">
        <f>IF(W14=1,V14,0)</f>
        <v>0</v>
      </c>
      <c r="AA14" s="408" t="e">
        <f>IF(W14=2,V14,0)</f>
        <v>#DIV/0!</v>
      </c>
    </row>
    <row r="15" spans="1:32" x14ac:dyDescent="0.2">
      <c r="A15" s="146" t="s">
        <v>611</v>
      </c>
      <c r="B15" s="85">
        <v>0</v>
      </c>
      <c r="C15" s="85">
        <v>0</v>
      </c>
      <c r="D15" s="85">
        <v>0.75</v>
      </c>
      <c r="E15" s="85">
        <v>0.25</v>
      </c>
      <c r="F15" s="32">
        <f>ROUND(Costs!$B$3*B15+Costs!$B$4*C15+Costs!$B$5*D15+Costs!$B$6*E15,2)</f>
        <v>65.38</v>
      </c>
      <c r="G15" s="32" t="str">
        <f>Costs!$B$62</f>
        <v xml:space="preserve"> </v>
      </c>
      <c r="H15" s="32">
        <f>Costs!$B$16</f>
        <v>0</v>
      </c>
      <c r="I15" s="86">
        <f>ROUND((O15*(Universe!C$6)),0)</f>
        <v>2</v>
      </c>
      <c r="J15" s="86">
        <f>ROUND(P15*Universe!$C$2,0)</f>
        <v>0</v>
      </c>
      <c r="K15" s="87">
        <f>ROUND((B15+C15+D15+E15)*(I15+J15),2)</f>
        <v>2</v>
      </c>
      <c r="L15" s="32">
        <f>(I15+J15)*SUM(F15:H15)</f>
        <v>130.76</v>
      </c>
      <c r="M15" s="555"/>
      <c r="N15" s="165">
        <f>L15/(I15+J15)</f>
        <v>65.38</v>
      </c>
      <c r="O15" s="167">
        <v>0.06</v>
      </c>
      <c r="P15" s="167">
        <v>0.06</v>
      </c>
      <c r="Q15" s="167">
        <f t="shared" ref="Q15:Q62" si="0">SUM(R15:T15)</f>
        <v>130.76</v>
      </c>
      <c r="R15" s="168">
        <f>F15*(I15+J15)</f>
        <v>130.76</v>
      </c>
      <c r="S15" s="168">
        <f>G15*(I15+J15)</f>
        <v>0</v>
      </c>
      <c r="T15" s="168">
        <f>H15*(I15+J15)</f>
        <v>0</v>
      </c>
      <c r="U15" s="188">
        <f>ROUND(((I15)*($B15+$C15+$D15+$E15))/(Universe!$C$6),2)</f>
        <v>0.06</v>
      </c>
      <c r="V15" s="188" t="e">
        <f>ROUND(((J15)*($B15+$C15+$D15+$E15))/(Universe!$C$2),2)</f>
        <v>#DIV/0!</v>
      </c>
      <c r="W15" s="167">
        <v>1</v>
      </c>
      <c r="X15" s="408">
        <f>IF(W15=1,U15,0)</f>
        <v>0.06</v>
      </c>
      <c r="Y15" s="408">
        <f>IF(W15=2,U15,0)</f>
        <v>0</v>
      </c>
      <c r="Z15" s="408" t="e">
        <f>IF(W15=1,V15,0)</f>
        <v>#DIV/0!</v>
      </c>
      <c r="AA15" s="408">
        <f>IF(W15=2,V15,0)</f>
        <v>0</v>
      </c>
    </row>
    <row r="16" spans="1:32" ht="10.8" thickBot="1" x14ac:dyDescent="0.25">
      <c r="A16" s="189" t="s">
        <v>531</v>
      </c>
      <c r="B16" s="190">
        <v>0</v>
      </c>
      <c r="C16" s="190">
        <v>0.25</v>
      </c>
      <c r="D16" s="190">
        <v>0.5</v>
      </c>
      <c r="E16" s="190">
        <v>0.25</v>
      </c>
      <c r="F16" s="191">
        <f>ROUND(Costs!$B$3*B16+Costs!$B$4*C16+Costs!$B$5*D16+Costs!$B$6*E16,2)</f>
        <v>71.59</v>
      </c>
      <c r="G16" s="191" t="str">
        <f>Costs!$B$62</f>
        <v xml:space="preserve"> </v>
      </c>
      <c r="H16" s="191">
        <f>Costs!$B$16</f>
        <v>0</v>
      </c>
      <c r="I16" s="192">
        <f>ROUND((O16*(Universe!C$6)),0)</f>
        <v>2</v>
      </c>
      <c r="J16" s="192">
        <f>ROUND(P16*Universe!$C$2,0)</f>
        <v>0</v>
      </c>
      <c r="K16" s="193">
        <f>ROUND((B16+C16+D16+E16)*(I16+J16),2)</f>
        <v>2</v>
      </c>
      <c r="L16" s="191">
        <f>(I16+J16)*SUM(F16:H16)</f>
        <v>143.18</v>
      </c>
      <c r="M16" s="555"/>
      <c r="N16" s="165">
        <f>L16/(I16+J16)</f>
        <v>71.59</v>
      </c>
      <c r="O16" s="167">
        <v>0.06</v>
      </c>
      <c r="P16" s="167">
        <v>0.06</v>
      </c>
      <c r="Q16" s="167">
        <f t="shared" si="0"/>
        <v>143.18</v>
      </c>
      <c r="R16" s="168">
        <f>F16*(I16+J16)</f>
        <v>143.18</v>
      </c>
      <c r="S16" s="168">
        <f>G16*(I16+J16)</f>
        <v>0</v>
      </c>
      <c r="T16" s="168">
        <f>H16*(I16+J16)</f>
        <v>0</v>
      </c>
      <c r="U16" s="188">
        <f>ROUND(((I16)*($B16+$C16+$D16+$E16))/(Universe!$C$6),2)</f>
        <v>0.06</v>
      </c>
      <c r="V16" s="188" t="e">
        <f>ROUND(((J16)*($B16+$C16+$D16+$E16))/(Universe!$C$2),2)</f>
        <v>#DIV/0!</v>
      </c>
      <c r="W16" s="167">
        <v>1</v>
      </c>
      <c r="X16" s="408">
        <f>IF(W16=1,U16,0)</f>
        <v>0.06</v>
      </c>
      <c r="Y16" s="408">
        <f>IF(W16=2,U16,0)</f>
        <v>0</v>
      </c>
      <c r="Z16" s="408" t="e">
        <f>IF(W16=1,V16,0)</f>
        <v>#DIV/0!</v>
      </c>
      <c r="AA16" s="408">
        <f>IF(W16=2,V16,0)</f>
        <v>0</v>
      </c>
      <c r="AE16" s="171">
        <f>I16</f>
        <v>2</v>
      </c>
      <c r="AF16" s="171">
        <f>J16</f>
        <v>0</v>
      </c>
    </row>
    <row r="17" spans="1:32" ht="10.8" thickBot="1" x14ac:dyDescent="0.25">
      <c r="A17" s="200" t="s">
        <v>596</v>
      </c>
      <c r="B17" s="201" t="s">
        <v>597</v>
      </c>
      <c r="C17" s="201" t="s">
        <v>597</v>
      </c>
      <c r="D17" s="201" t="s">
        <v>597</v>
      </c>
      <c r="E17" s="201" t="s">
        <v>597</v>
      </c>
      <c r="F17" s="201" t="s">
        <v>597</v>
      </c>
      <c r="G17" s="201" t="s">
        <v>597</v>
      </c>
      <c r="H17" s="201" t="s">
        <v>597</v>
      </c>
      <c r="I17" s="202" t="s">
        <v>597</v>
      </c>
      <c r="J17" s="202" t="s">
        <v>597</v>
      </c>
      <c r="K17" s="203">
        <f>SUM(K14:K16)</f>
        <v>6</v>
      </c>
      <c r="L17" s="204">
        <f>SUM(L14:L16)</f>
        <v>431.58</v>
      </c>
      <c r="M17" s="555"/>
      <c r="N17" s="169" t="s">
        <v>597</v>
      </c>
      <c r="Q17" s="167"/>
      <c r="R17" s="204">
        <f>SUM(R14:R16)</f>
        <v>431.58</v>
      </c>
      <c r="S17" s="204">
        <f>SUM(S14:S16)</f>
        <v>0</v>
      </c>
      <c r="T17" s="204">
        <f>SUM(T14:T16)</f>
        <v>0</v>
      </c>
      <c r="U17" s="188"/>
      <c r="V17" s="166"/>
      <c r="X17" s="203">
        <f>SUM(X14:X16)</f>
        <v>0.12</v>
      </c>
      <c r="Y17" s="203">
        <f>SUM(Y14:Y16)</f>
        <v>0.06</v>
      </c>
      <c r="Z17" s="203" t="e">
        <f>SUM(Z14:Z16)</f>
        <v>#DIV/0!</v>
      </c>
      <c r="AA17" s="203" t="e">
        <f>SUM(AA14:AA16)</f>
        <v>#DIV/0!</v>
      </c>
    </row>
    <row r="18" spans="1:32" x14ac:dyDescent="0.2">
      <c r="A18" s="194" t="s">
        <v>612</v>
      </c>
      <c r="B18" s="195"/>
      <c r="C18" s="195"/>
      <c r="D18" s="195"/>
      <c r="E18" s="195"/>
      <c r="F18" s="196"/>
      <c r="G18" s="196"/>
      <c r="H18" s="196"/>
      <c r="I18" s="197"/>
      <c r="J18" s="197"/>
      <c r="K18" s="198"/>
      <c r="L18" s="199"/>
      <c r="M18" s="554"/>
      <c r="N18" s="165"/>
      <c r="Q18" s="167">
        <f t="shared" si="0"/>
        <v>0</v>
      </c>
      <c r="S18" s="166"/>
      <c r="T18" s="166"/>
      <c r="U18" s="188"/>
      <c r="V18" s="166"/>
    </row>
    <row r="19" spans="1:32" x14ac:dyDescent="0.2">
      <c r="A19" s="146" t="s">
        <v>610</v>
      </c>
      <c r="B19" s="85">
        <v>0</v>
      </c>
      <c r="C19" s="85">
        <v>0.1</v>
      </c>
      <c r="D19" s="85">
        <v>0.25</v>
      </c>
      <c r="E19" s="85">
        <v>0</v>
      </c>
      <c r="F19" s="32">
        <f>ROUND(Costs!$B$3*B19+Costs!$B$4*C19+Costs!$B$5*D19+Costs!$B$6*E19,2)</f>
        <v>27.9</v>
      </c>
      <c r="G19" s="32" t="str">
        <f>Costs!$B$62</f>
        <v xml:space="preserve"> </v>
      </c>
      <c r="H19" s="32">
        <f>Costs!$B$16</f>
        <v>0</v>
      </c>
      <c r="I19" s="86">
        <f>ROUND((O19*(Universe!C$6)),0)</f>
        <v>5</v>
      </c>
      <c r="J19" s="86">
        <f>ROUND(P19*Universe!$C$2,0)</f>
        <v>0</v>
      </c>
      <c r="K19" s="87">
        <f>ROUND((B19+C19+D19+E19)*(I19+J19),2)</f>
        <v>1.75</v>
      </c>
      <c r="L19" s="32">
        <f>(I19+J19)*SUM(F19:H19)</f>
        <v>139.5</v>
      </c>
      <c r="M19" s="555"/>
      <c r="N19" s="165">
        <f>L19/(I19+J19)</f>
        <v>27.9</v>
      </c>
      <c r="O19" s="167">
        <v>0.15</v>
      </c>
      <c r="P19" s="167">
        <v>0.15</v>
      </c>
      <c r="Q19" s="167">
        <f t="shared" si="0"/>
        <v>139.5</v>
      </c>
      <c r="R19" s="168">
        <f>F19*(I19+J19)</f>
        <v>139.5</v>
      </c>
      <c r="S19" s="168">
        <f>G19*(I19+J19)</f>
        <v>0</v>
      </c>
      <c r="T19" s="168">
        <f>H19*(I19+J19)</f>
        <v>0</v>
      </c>
      <c r="U19" s="188">
        <f>ROUND(((I19)*($B19+$C19+$D19+$E19))/(Universe!$C$6),2)</f>
        <v>0.05</v>
      </c>
      <c r="V19" s="188" t="e">
        <f>ROUND(((J19)*($B19+$C19+$D19+$E19))/(Universe!$C$2),2)</f>
        <v>#DIV/0!</v>
      </c>
      <c r="W19" s="167">
        <v>2</v>
      </c>
      <c r="X19" s="408">
        <f>IF(W19=1,U19,0)</f>
        <v>0</v>
      </c>
      <c r="Y19" s="408">
        <f>IF(W19=2,U19,0)</f>
        <v>0.05</v>
      </c>
      <c r="Z19" s="408">
        <f>IF(W19=1,V19,0)</f>
        <v>0</v>
      </c>
      <c r="AA19" s="408" t="e">
        <f>IF(W19=2,V19,0)</f>
        <v>#DIV/0!</v>
      </c>
    </row>
    <row r="20" spans="1:32" ht="21" thickBot="1" x14ac:dyDescent="0.25">
      <c r="A20" s="189" t="s">
        <v>284</v>
      </c>
      <c r="B20" s="190">
        <v>0</v>
      </c>
      <c r="C20" s="190">
        <f>0.25/2</f>
        <v>0.125</v>
      </c>
      <c r="D20" s="190">
        <v>0.25</v>
      </c>
      <c r="E20" s="190">
        <f>0.25/2</f>
        <v>0.125</v>
      </c>
      <c r="F20" s="191">
        <f>ROUND(Costs!$B$3*B20+Costs!$B$4*C20+Costs!$B$5*D20+Costs!$B$6*E20,2)</f>
        <v>35.79</v>
      </c>
      <c r="G20" s="191" t="str">
        <f>Costs!$B$62</f>
        <v xml:space="preserve"> </v>
      </c>
      <c r="H20" s="191">
        <f>Costs!$B$19</f>
        <v>4.4000000000000004</v>
      </c>
      <c r="I20" s="192">
        <f>ROUND((O20*(Universe!C$6)),0)*55</f>
        <v>275</v>
      </c>
      <c r="J20" s="192">
        <f>ROUND(P20*Universe!$C$2,0)*55</f>
        <v>0</v>
      </c>
      <c r="K20" s="193">
        <f>ROUND((B20+C20+D20+E20)*(I20+J20),2)</f>
        <v>137.5</v>
      </c>
      <c r="L20" s="191">
        <f>(I20+J20)*SUM(F20:H20)</f>
        <v>11052.25</v>
      </c>
      <c r="M20" s="555"/>
      <c r="N20" s="165">
        <f>L20/(I20+J20)</f>
        <v>40.19</v>
      </c>
      <c r="O20" s="167">
        <v>0.15</v>
      </c>
      <c r="P20" s="167">
        <v>0.15</v>
      </c>
      <c r="Q20" s="167">
        <f t="shared" si="0"/>
        <v>11052.25</v>
      </c>
      <c r="R20" s="168">
        <f>F20*(I20+J20)</f>
        <v>9842.25</v>
      </c>
      <c r="S20" s="168">
        <f>G20*(I20+J20)</f>
        <v>0</v>
      </c>
      <c r="T20" s="168">
        <f>H20*(I20+J20)</f>
        <v>1210</v>
      </c>
      <c r="U20" s="188">
        <f>ROUND(((I20)*($B20+$C20+$D20+$E20))/(Universe!$C$6),2)</f>
        <v>3.82</v>
      </c>
      <c r="V20" s="188" t="e">
        <f>ROUND(((J20)*($B20+$C20+$D20+$E20))/(Universe!$C$2),2)</f>
        <v>#DIV/0!</v>
      </c>
      <c r="W20" s="167">
        <v>1</v>
      </c>
      <c r="X20" s="408">
        <f>IF(W20=1,U20,0)</f>
        <v>3.82</v>
      </c>
      <c r="Y20" s="408">
        <f>IF(W20=2,U20,0)</f>
        <v>0</v>
      </c>
      <c r="Z20" s="408" t="e">
        <f>IF(W20=1,V20,0)</f>
        <v>#DIV/0!</v>
      </c>
      <c r="AA20" s="408">
        <f>IF(W20=2,V20,0)</f>
        <v>0</v>
      </c>
      <c r="AE20" s="171">
        <f>I20</f>
        <v>275</v>
      </c>
      <c r="AF20" s="171">
        <f>J20</f>
        <v>0</v>
      </c>
    </row>
    <row r="21" spans="1:32" ht="10.8" thickBot="1" x14ac:dyDescent="0.25">
      <c r="A21" s="200" t="s">
        <v>596</v>
      </c>
      <c r="B21" s="201" t="s">
        <v>597</v>
      </c>
      <c r="C21" s="201" t="s">
        <v>597</v>
      </c>
      <c r="D21" s="201" t="s">
        <v>597</v>
      </c>
      <c r="E21" s="201" t="s">
        <v>597</v>
      </c>
      <c r="F21" s="201" t="s">
        <v>597</v>
      </c>
      <c r="G21" s="201" t="s">
        <v>597</v>
      </c>
      <c r="H21" s="201" t="s">
        <v>597</v>
      </c>
      <c r="I21" s="202" t="s">
        <v>597</v>
      </c>
      <c r="J21" s="202" t="s">
        <v>597</v>
      </c>
      <c r="K21" s="203">
        <f>SUM(K19:K20)</f>
        <v>139.25</v>
      </c>
      <c r="L21" s="204">
        <f>SUM(L19:L20)</f>
        <v>11191.75</v>
      </c>
      <c r="M21" s="555"/>
      <c r="N21" s="169" t="s">
        <v>597</v>
      </c>
      <c r="P21" s="118"/>
      <c r="Q21" s="167"/>
      <c r="R21" s="203">
        <f>SUM(R19:R20)</f>
        <v>9981.75</v>
      </c>
      <c r="S21" s="203">
        <f>SUM(S19:S20)</f>
        <v>0</v>
      </c>
      <c r="T21" s="203">
        <f>SUM(T19:T20)</f>
        <v>1210</v>
      </c>
      <c r="U21" s="188"/>
      <c r="V21" s="166"/>
      <c r="X21" s="203">
        <f>SUM(X19:X20)</f>
        <v>3.82</v>
      </c>
      <c r="Y21" s="203">
        <f>SUM(Y19:Y20)</f>
        <v>0.05</v>
      </c>
      <c r="Z21" s="203" t="e">
        <f>SUM(Z19:Z20)</f>
        <v>#DIV/0!</v>
      </c>
      <c r="AA21" s="203" t="e">
        <f>SUM(AA19:AA20)</f>
        <v>#DIV/0!</v>
      </c>
    </row>
    <row r="22" spans="1:32" x14ac:dyDescent="0.2">
      <c r="A22" s="194" t="s">
        <v>613</v>
      </c>
      <c r="B22" s="195"/>
      <c r="C22" s="195"/>
      <c r="D22" s="195"/>
      <c r="E22" s="195"/>
      <c r="F22" s="196"/>
      <c r="G22" s="196"/>
      <c r="H22" s="196"/>
      <c r="I22" s="197"/>
      <c r="J22" s="197"/>
      <c r="K22" s="198"/>
      <c r="L22" s="199"/>
      <c r="M22" s="554"/>
      <c r="N22" s="165"/>
      <c r="Q22" s="167">
        <f t="shared" si="0"/>
        <v>0</v>
      </c>
      <c r="S22" s="166"/>
      <c r="T22" s="166"/>
      <c r="U22" s="188"/>
      <c r="V22" s="166"/>
    </row>
    <row r="23" spans="1:32" x14ac:dyDescent="0.2">
      <c r="A23" s="146" t="s">
        <v>610</v>
      </c>
      <c r="B23" s="85">
        <v>0</v>
      </c>
      <c r="C23" s="85">
        <v>0.1</v>
      </c>
      <c r="D23" s="85">
        <v>0.25</v>
      </c>
      <c r="E23" s="85">
        <v>0</v>
      </c>
      <c r="F23" s="32">
        <f>ROUND(Costs!$B$3*B23+Costs!$B$4*C23+Costs!$B$5*D23+Costs!$B$6*E23,2)</f>
        <v>27.9</v>
      </c>
      <c r="G23" s="32" t="str">
        <f>Costs!$B$62</f>
        <v xml:space="preserve"> </v>
      </c>
      <c r="H23" s="32">
        <f>Costs!$B$16</f>
        <v>0</v>
      </c>
      <c r="I23" s="86">
        <f>ROUND((O23*(Universe!C$6)),0)</f>
        <v>0</v>
      </c>
      <c r="J23" s="86">
        <f>ROUND((P23*Universe!C$2),0)</f>
        <v>0</v>
      </c>
      <c r="K23" s="87">
        <f>ROUND((B23+C23+D23+E23)*(I23+J23),2)</f>
        <v>0</v>
      </c>
      <c r="L23" s="32">
        <f>(I23+J23)*SUM(F23:H23)</f>
        <v>0</v>
      </c>
      <c r="M23" s="555"/>
      <c r="N23" s="165" t="e">
        <f>L23/(I23+J23)</f>
        <v>#DIV/0!</v>
      </c>
      <c r="O23" s="167">
        <v>0.01</v>
      </c>
      <c r="P23" s="167">
        <v>0.01</v>
      </c>
      <c r="Q23" s="167">
        <f t="shared" si="0"/>
        <v>0</v>
      </c>
      <c r="R23" s="168">
        <f>F23*(I23+J23)</f>
        <v>0</v>
      </c>
      <c r="S23" s="168">
        <f>G23*(I23+J23)</f>
        <v>0</v>
      </c>
      <c r="T23" s="168">
        <f>H23*(I23+J23)</f>
        <v>0</v>
      </c>
      <c r="U23" s="188">
        <f>ROUND(((I23)*($B23+$C23+$D23+$E23))/(Universe!$C$6),2)</f>
        <v>0</v>
      </c>
      <c r="V23" s="188" t="e">
        <f>ROUND(((J23)*($B23+$C23+$D23+$E23))/(Universe!$C$2),2)</f>
        <v>#DIV/0!</v>
      </c>
      <c r="W23" s="167">
        <v>2</v>
      </c>
      <c r="X23" s="408">
        <f>IF(W23=1,U23,0)</f>
        <v>0</v>
      </c>
      <c r="Y23" s="408">
        <f>IF(W23=2,U23,0)</f>
        <v>0</v>
      </c>
      <c r="Z23" s="408">
        <f>IF(W23=1,V23,0)</f>
        <v>0</v>
      </c>
      <c r="AA23" s="408" t="e">
        <f>IF(W23=2,V23,0)</f>
        <v>#DIV/0!</v>
      </c>
    </row>
    <row r="24" spans="1:32" ht="10.8" thickBot="1" x14ac:dyDescent="0.25">
      <c r="A24" s="189" t="s">
        <v>614</v>
      </c>
      <c r="B24" s="190">
        <v>0</v>
      </c>
      <c r="C24" s="190">
        <v>0</v>
      </c>
      <c r="D24" s="190">
        <v>0.5</v>
      </c>
      <c r="E24" s="190">
        <v>0.13</v>
      </c>
      <c r="F24" s="191">
        <f>ROUND(Costs!$B$3*B24+Costs!$B$4*C24+Costs!$B$5*D24+Costs!$B$6*E24,2)</f>
        <v>41.98</v>
      </c>
      <c r="G24" s="191" t="str">
        <f>Costs!$B$62</f>
        <v xml:space="preserve"> </v>
      </c>
      <c r="H24" s="191">
        <f>Costs!$B$19</f>
        <v>4.4000000000000004</v>
      </c>
      <c r="I24" s="192">
        <f>ROUND((O24*(Universe!C$6)),0)</f>
        <v>0</v>
      </c>
      <c r="J24" s="192">
        <f>ROUND((P24*Universe!C$2),0)</f>
        <v>0</v>
      </c>
      <c r="K24" s="193">
        <f>ROUND((B24+C24+D24+E24)*(I24+J24),2)</f>
        <v>0</v>
      </c>
      <c r="L24" s="191">
        <f>(I24+J24)*SUM(F24:H24)</f>
        <v>0</v>
      </c>
      <c r="M24" s="555"/>
      <c r="N24" s="165" t="e">
        <f>L24/(I24+J24)</f>
        <v>#DIV/0!</v>
      </c>
      <c r="O24" s="167">
        <v>0.01</v>
      </c>
      <c r="P24" s="167">
        <v>0.01</v>
      </c>
      <c r="Q24" s="167">
        <f t="shared" si="0"/>
        <v>0</v>
      </c>
      <c r="R24" s="168">
        <f>F24*(I24+J24)</f>
        <v>0</v>
      </c>
      <c r="S24" s="168">
        <f>G24*(I24+J24)</f>
        <v>0</v>
      </c>
      <c r="T24" s="168">
        <f>H24*(I24+J24)</f>
        <v>0</v>
      </c>
      <c r="U24" s="188">
        <f>ROUND(((I24)*($B24+$C24+$D24+$E24))/(Universe!$C$6),2)</f>
        <v>0</v>
      </c>
      <c r="V24" s="188" t="e">
        <f>ROUND(((J24)*($B24+$C24+$D24+$E24))/(Universe!$C$2),2)</f>
        <v>#DIV/0!</v>
      </c>
      <c r="W24" s="167">
        <v>1</v>
      </c>
      <c r="X24" s="408">
        <f>IF(W24=1,U24,0)</f>
        <v>0</v>
      </c>
      <c r="Y24" s="408">
        <f>IF(W24=2,U24,0)</f>
        <v>0</v>
      </c>
      <c r="Z24" s="408" t="e">
        <f>IF(W24=1,V24,0)</f>
        <v>#DIV/0!</v>
      </c>
      <c r="AA24" s="408">
        <f>IF(W24=2,V24,0)</f>
        <v>0</v>
      </c>
      <c r="AE24" s="171">
        <f>I24</f>
        <v>0</v>
      </c>
      <c r="AF24" s="171">
        <f>J24</f>
        <v>0</v>
      </c>
    </row>
    <row r="25" spans="1:32" ht="10.8" thickBot="1" x14ac:dyDescent="0.25">
      <c r="A25" s="200" t="s">
        <v>596</v>
      </c>
      <c r="B25" s="201" t="s">
        <v>597</v>
      </c>
      <c r="C25" s="201" t="s">
        <v>597</v>
      </c>
      <c r="D25" s="201" t="s">
        <v>597</v>
      </c>
      <c r="E25" s="201" t="s">
        <v>597</v>
      </c>
      <c r="F25" s="201" t="s">
        <v>597</v>
      </c>
      <c r="G25" s="201" t="s">
        <v>597</v>
      </c>
      <c r="H25" s="201" t="s">
        <v>597</v>
      </c>
      <c r="I25" s="202" t="s">
        <v>597</v>
      </c>
      <c r="J25" s="202" t="s">
        <v>597</v>
      </c>
      <c r="K25" s="203">
        <f>SUM(K23:K24)</f>
        <v>0</v>
      </c>
      <c r="L25" s="204">
        <f>SUM(L23:L24)</f>
        <v>0</v>
      </c>
      <c r="M25" s="555"/>
      <c r="N25" s="169" t="s">
        <v>597</v>
      </c>
      <c r="Q25" s="167"/>
      <c r="R25" s="203">
        <f>SUM(R23:R24)</f>
        <v>0</v>
      </c>
      <c r="S25" s="203">
        <f>SUM(S23:S24)</f>
        <v>0</v>
      </c>
      <c r="T25" s="203">
        <f>SUM(T23:T24)</f>
        <v>0</v>
      </c>
      <c r="U25" s="188"/>
      <c r="V25" s="166"/>
      <c r="X25" s="203">
        <f>SUM(X23:X24)</f>
        <v>0</v>
      </c>
      <c r="Y25" s="203">
        <f>SUM(Y23:Y24)</f>
        <v>0</v>
      </c>
      <c r="Z25" s="203" t="e">
        <f>SUM(Z23:Z24)</f>
        <v>#DIV/0!</v>
      </c>
      <c r="AA25" s="203" t="e">
        <f>SUM(AA23:AA24)</f>
        <v>#DIV/0!</v>
      </c>
    </row>
    <row r="26" spans="1:32" x14ac:dyDescent="0.2">
      <c r="A26" s="194" t="s">
        <v>615</v>
      </c>
      <c r="B26" s="195"/>
      <c r="C26" s="195"/>
      <c r="D26" s="195"/>
      <c r="E26" s="195"/>
      <c r="F26" s="196"/>
      <c r="G26" s="196"/>
      <c r="H26" s="196"/>
      <c r="I26" s="205"/>
      <c r="J26" s="205"/>
      <c r="K26" s="198"/>
      <c r="L26" s="199"/>
      <c r="M26" s="554"/>
      <c r="N26" s="165"/>
      <c r="Q26" s="167">
        <f t="shared" si="0"/>
        <v>0</v>
      </c>
      <c r="S26" s="166"/>
      <c r="T26" s="166"/>
      <c r="U26" s="188"/>
      <c r="V26" s="166"/>
    </row>
    <row r="27" spans="1:32" x14ac:dyDescent="0.2">
      <c r="A27" s="175" t="s">
        <v>616</v>
      </c>
      <c r="B27" s="176"/>
      <c r="C27" s="177"/>
      <c r="D27" s="177"/>
      <c r="E27" s="177"/>
      <c r="F27" s="178"/>
      <c r="G27" s="178"/>
      <c r="H27" s="178"/>
      <c r="I27" s="179"/>
      <c r="J27" s="179"/>
      <c r="K27" s="180"/>
      <c r="L27" s="181"/>
      <c r="M27" s="415"/>
      <c r="N27" s="165"/>
      <c r="Q27" s="167">
        <f t="shared" si="0"/>
        <v>0</v>
      </c>
      <c r="S27" s="166"/>
      <c r="T27" s="166"/>
      <c r="U27" s="188"/>
      <c r="V27" s="166"/>
    </row>
    <row r="28" spans="1:32" x14ac:dyDescent="0.2">
      <c r="A28" s="182" t="s">
        <v>610</v>
      </c>
      <c r="B28" s="85">
        <v>0</v>
      </c>
      <c r="C28" s="89">
        <v>0.25</v>
      </c>
      <c r="D28" s="89">
        <v>0.75</v>
      </c>
      <c r="E28" s="89">
        <v>0</v>
      </c>
      <c r="F28" s="32">
        <f>ROUND(Costs!$B$3*B28+Costs!$B$4*C28+Costs!$B$5*D28+Costs!$B$6*E28,2)</f>
        <v>78.819999999999993</v>
      </c>
      <c r="G28" s="32" t="str">
        <f>Costs!$B$62</f>
        <v xml:space="preserve"> </v>
      </c>
      <c r="H28" s="32">
        <f>Costs!$B$16</f>
        <v>0</v>
      </c>
      <c r="I28" s="86">
        <f>ROUND((O28*(Universe!C$6)),0)</f>
        <v>31</v>
      </c>
      <c r="J28" s="86">
        <f>ROUND((P28*Universe!C$2),0)</f>
        <v>0</v>
      </c>
      <c r="K28" s="87">
        <f>ROUND((B28+C28+D28+E28)*(I28+J28),2)</f>
        <v>31</v>
      </c>
      <c r="L28" s="32">
        <f>(I28+J28)*SUM(F28:H28)</f>
        <v>2443.4199999999996</v>
      </c>
      <c r="M28" s="555"/>
      <c r="N28" s="165">
        <f>L28/(I28+J28)</f>
        <v>78.819999999999993</v>
      </c>
      <c r="O28" s="167">
        <f>1-O32</f>
        <v>0.85</v>
      </c>
      <c r="P28" s="167">
        <f>1-P32</f>
        <v>0.85</v>
      </c>
      <c r="Q28" s="167">
        <f t="shared" si="0"/>
        <v>2443.4199999999996</v>
      </c>
      <c r="R28" s="168">
        <f>F28*(I28+J28)</f>
        <v>2443.4199999999996</v>
      </c>
      <c r="S28" s="168">
        <f>G28*(I28+J28)</f>
        <v>0</v>
      </c>
      <c r="T28" s="168">
        <f>H28*(I28+J28)</f>
        <v>0</v>
      </c>
      <c r="U28" s="188">
        <f>ROUND(((I28)*($B28+$C28+$D28+$E28))/(Universe!$C$6),2)</f>
        <v>0.86</v>
      </c>
      <c r="V28" s="188" t="e">
        <f>ROUND(((J28)*($B28+$C28+$D28+$E28))/(Universe!$C$2),2)</f>
        <v>#DIV/0!</v>
      </c>
      <c r="W28" s="167">
        <v>2</v>
      </c>
      <c r="X28" s="408">
        <f>IF(W28=1,U28,0)</f>
        <v>0</v>
      </c>
      <c r="Y28" s="408">
        <f>IF(W28=2,U28,0)</f>
        <v>0.86</v>
      </c>
      <c r="Z28" s="408">
        <f>IF(W28=1,V28,0)</f>
        <v>0</v>
      </c>
      <c r="AA28" s="408" t="e">
        <f>IF(W28=2,V28,0)</f>
        <v>#DIV/0!</v>
      </c>
    </row>
    <row r="29" spans="1:32" x14ac:dyDescent="0.2">
      <c r="A29" s="182" t="s">
        <v>530</v>
      </c>
      <c r="B29" s="85">
        <v>0</v>
      </c>
      <c r="C29" s="89">
        <v>0</v>
      </c>
      <c r="D29" s="376">
        <v>0.25</v>
      </c>
      <c r="E29" s="376">
        <v>0.5</v>
      </c>
      <c r="F29" s="32">
        <f>ROUND(Costs!$B$3*B29+Costs!$B$4*C29+Costs!$B$5*D29+Costs!$B$6*E29,2)</f>
        <v>39.99</v>
      </c>
      <c r="G29" s="32" t="str">
        <f>Costs!$B$62</f>
        <v xml:space="preserve"> </v>
      </c>
      <c r="H29" s="32">
        <f>Costs!$B$16</f>
        <v>0</v>
      </c>
      <c r="I29" s="86">
        <f>I28*4</f>
        <v>124</v>
      </c>
      <c r="J29" s="86">
        <f>J28*4</f>
        <v>0</v>
      </c>
      <c r="K29" s="87">
        <f>ROUND((B29+C29+D29+E29)*(I29+J29),2)</f>
        <v>93</v>
      </c>
      <c r="L29" s="32">
        <f>(I29+J29)*SUM(F29:H29)</f>
        <v>4958.76</v>
      </c>
      <c r="M29" s="555"/>
      <c r="N29" s="165">
        <f>IF(I29=0,0,L29/(J29+I29))</f>
        <v>39.99</v>
      </c>
      <c r="Q29" s="167">
        <f t="shared" si="0"/>
        <v>4958.76</v>
      </c>
      <c r="R29" s="168">
        <f>F29*(I29+J29)</f>
        <v>4958.76</v>
      </c>
      <c r="S29" s="168">
        <f>G29*(I29+J29)</f>
        <v>0</v>
      </c>
      <c r="T29" s="168">
        <f>H29*(I29+J29)</f>
        <v>0</v>
      </c>
      <c r="U29" s="188">
        <f>ROUND(((I29)*($B29+$C29+$D29+$E29))/(Universe!$C$6),2)</f>
        <v>2.58</v>
      </c>
      <c r="V29" s="188" t="e">
        <f>ROUND(((J29)*($B29+$C29+$D29+$E29))/(Universe!$C$2),2)</f>
        <v>#DIV/0!</v>
      </c>
      <c r="W29" s="167">
        <v>2</v>
      </c>
      <c r="X29" s="408">
        <f>IF(W29=1,U29,0)</f>
        <v>0</v>
      </c>
      <c r="Y29" s="408">
        <f>IF(W29=2,U29,0)</f>
        <v>2.58</v>
      </c>
      <c r="Z29" s="408">
        <f>IF(W29=1,V29,0)</f>
        <v>0</v>
      </c>
      <c r="AA29" s="408" t="e">
        <f>IF(W29=2,V29,0)</f>
        <v>#DIV/0!</v>
      </c>
    </row>
    <row r="30" spans="1:32" ht="20.399999999999999" x14ac:dyDescent="0.2">
      <c r="A30" s="182" t="s">
        <v>529</v>
      </c>
      <c r="B30" s="85">
        <v>0</v>
      </c>
      <c r="C30" s="89">
        <v>0</v>
      </c>
      <c r="D30" s="376">
        <v>1</v>
      </c>
      <c r="E30" s="376">
        <v>0</v>
      </c>
      <c r="F30" s="32">
        <f>ROUND(Costs!$B$3*B30+Costs!$B$4*C30+Costs!$B$5*D30+Costs!$B$6*E30,2)</f>
        <v>72.61</v>
      </c>
      <c r="G30" s="32" t="str">
        <f>Costs!$B$62</f>
        <v xml:space="preserve"> </v>
      </c>
      <c r="H30" s="32">
        <f>Costs!$B$22</f>
        <v>1800</v>
      </c>
      <c r="I30" s="86">
        <f>I29</f>
        <v>124</v>
      </c>
      <c r="J30" s="86">
        <f>J29</f>
        <v>0</v>
      </c>
      <c r="K30" s="87">
        <f>ROUND((B30+C30+D30+E30)*(I30+J30),2)</f>
        <v>124</v>
      </c>
      <c r="L30" s="32">
        <f>(I30+J30)*SUM(F30:H30)</f>
        <v>232203.63999999998</v>
      </c>
      <c r="M30" s="555"/>
      <c r="N30" s="165">
        <f>IF(I30=0,0,L30/(J30+I30))</f>
        <v>1872.61</v>
      </c>
      <c r="P30" s="170"/>
      <c r="Q30" s="167">
        <f t="shared" si="0"/>
        <v>232203.64</v>
      </c>
      <c r="R30" s="168">
        <f>F30*(I30+J30)</f>
        <v>9003.64</v>
      </c>
      <c r="S30" s="168">
        <f>G30*(I30+J30)</f>
        <v>0</v>
      </c>
      <c r="T30" s="168">
        <f>H30*(I30+J30)</f>
        <v>223200</v>
      </c>
      <c r="U30" s="188">
        <f>ROUND(((I30)*($B30+$C30+$D30+$E30))/(Universe!$C$6),2)</f>
        <v>3.44</v>
      </c>
      <c r="V30" s="188" t="e">
        <f>ROUND(((J30)*($B30+$C30+$D30+$E30))/(Universe!$C$2),2)</f>
        <v>#DIV/0!</v>
      </c>
      <c r="W30" s="167">
        <v>2</v>
      </c>
      <c r="X30" s="408">
        <f>IF(W30=1,U30,0)</f>
        <v>0</v>
      </c>
      <c r="Y30" s="408">
        <f>IF(W30=2,U30,0)</f>
        <v>3.44</v>
      </c>
      <c r="Z30" s="408">
        <f>IF(W30=1,V30,0)</f>
        <v>0</v>
      </c>
      <c r="AA30" s="408" t="e">
        <f>IF(W30=2,V30,0)</f>
        <v>#DIV/0!</v>
      </c>
    </row>
    <row r="31" spans="1:32" x14ac:dyDescent="0.2">
      <c r="A31" s="175" t="s">
        <v>617</v>
      </c>
      <c r="B31" s="176"/>
      <c r="C31" s="177"/>
      <c r="D31" s="497"/>
      <c r="E31" s="497"/>
      <c r="F31" s="178"/>
      <c r="G31" s="178"/>
      <c r="H31" s="178"/>
      <c r="I31" s="179"/>
      <c r="J31" s="179"/>
      <c r="K31" s="180"/>
      <c r="L31" s="181"/>
      <c r="M31" s="415"/>
      <c r="N31" s="165"/>
      <c r="Q31" s="167">
        <f t="shared" si="0"/>
        <v>0</v>
      </c>
      <c r="S31" s="166"/>
      <c r="T31" s="166"/>
      <c r="U31" s="188"/>
      <c r="V31" s="166"/>
    </row>
    <row r="32" spans="1:32" x14ac:dyDescent="0.2">
      <c r="A32" s="182" t="s">
        <v>610</v>
      </c>
      <c r="B32" s="85">
        <v>0</v>
      </c>
      <c r="C32" s="89">
        <v>0.25</v>
      </c>
      <c r="D32" s="376">
        <v>0.75</v>
      </c>
      <c r="E32" s="376">
        <v>0</v>
      </c>
      <c r="F32" s="32">
        <f>ROUND(Costs!$B$3*B32+Costs!$B$4*C32+Costs!$B$5*D32+Costs!$B$6*E32,2)</f>
        <v>78.819999999999993</v>
      </c>
      <c r="G32" s="32" t="str">
        <f>Costs!$B$62</f>
        <v xml:space="preserve"> </v>
      </c>
      <c r="H32" s="32">
        <f>Costs!$B$16</f>
        <v>0</v>
      </c>
      <c r="I32" s="86">
        <v>0</v>
      </c>
      <c r="J32" s="86">
        <v>0</v>
      </c>
      <c r="K32" s="87">
        <f>ROUND((B32+C32+D32+E32)*(I32+J32),2)</f>
        <v>0</v>
      </c>
      <c r="L32" s="32">
        <f>(I32+J32)*SUM(F32:H32)</f>
        <v>0</v>
      </c>
      <c r="M32" s="555"/>
      <c r="N32" s="165" t="e">
        <f>L32/(I32+J32)</f>
        <v>#DIV/0!</v>
      </c>
      <c r="O32" s="167">
        <v>0.15</v>
      </c>
      <c r="P32" s="167">
        <v>0.15</v>
      </c>
      <c r="Q32" s="167">
        <f t="shared" si="0"/>
        <v>0</v>
      </c>
      <c r="R32" s="168">
        <f>F32*(I32+J32)</f>
        <v>0</v>
      </c>
      <c r="S32" s="168">
        <f>G32*(I32+J32)</f>
        <v>0</v>
      </c>
      <c r="T32" s="168">
        <f>H32*(I32+J32)</f>
        <v>0</v>
      </c>
      <c r="U32" s="188">
        <f>ROUND(((I32)*($B32+$C32+$D32+$E32))/(Universe!$C$6),2)</f>
        <v>0</v>
      </c>
      <c r="V32" s="188" t="e">
        <f>ROUND(((J32)*($B32+$C32+$D32+$E32))/(Universe!$C$2),2)</f>
        <v>#DIV/0!</v>
      </c>
      <c r="W32" s="167">
        <v>2</v>
      </c>
      <c r="X32" s="408">
        <f>IF(W32=1,U32,0)</f>
        <v>0</v>
      </c>
      <c r="Y32" s="408">
        <f>IF(W32=2,U32,0)</f>
        <v>0</v>
      </c>
      <c r="Z32" s="408">
        <f>IF(W32=1,V32,0)</f>
        <v>0</v>
      </c>
      <c r="AA32" s="408" t="e">
        <f>IF(W32=2,V32,0)</f>
        <v>#DIV/0!</v>
      </c>
    </row>
    <row r="33" spans="1:27" x14ac:dyDescent="0.2">
      <c r="A33" s="182" t="s">
        <v>528</v>
      </c>
      <c r="B33" s="85">
        <v>0</v>
      </c>
      <c r="C33" s="89">
        <v>0</v>
      </c>
      <c r="D33" s="376">
        <v>0.25</v>
      </c>
      <c r="E33" s="376">
        <v>0.5</v>
      </c>
      <c r="F33" s="32">
        <f>ROUND(Costs!$B$3*B33+Costs!$B$4*C33+Costs!$B$5*D33+Costs!$B$6*E33,2)</f>
        <v>39.99</v>
      </c>
      <c r="G33" s="32" t="str">
        <f>Costs!$B$62</f>
        <v xml:space="preserve"> </v>
      </c>
      <c r="H33" s="32">
        <f>Costs!$B$16</f>
        <v>0</v>
      </c>
      <c r="I33" s="86">
        <f>I32*50</f>
        <v>0</v>
      </c>
      <c r="J33" s="86">
        <f>J32*50</f>
        <v>0</v>
      </c>
      <c r="K33" s="87">
        <f>ROUND((B33+C33+D33+E33)*(I33+J33),2)</f>
        <v>0</v>
      </c>
      <c r="L33" s="32">
        <f>(I33+J33)*SUM(F33:H33)</f>
        <v>0</v>
      </c>
      <c r="M33" s="555"/>
      <c r="N33" s="165">
        <f>IF(I33=0,0,L33/(J33+I33))</f>
        <v>0</v>
      </c>
      <c r="Q33" s="167">
        <f t="shared" si="0"/>
        <v>0</v>
      </c>
      <c r="R33" s="168">
        <f>F33*(I33+J33)</f>
        <v>0</v>
      </c>
      <c r="S33" s="168">
        <f>G33*(I33+J33)</f>
        <v>0</v>
      </c>
      <c r="T33" s="168">
        <f>H33*(I33+J33)</f>
        <v>0</v>
      </c>
      <c r="U33" s="188">
        <f>ROUND(((I33)*($B33+$C33+$D33+$E33))/(Universe!$C$6),2)</f>
        <v>0</v>
      </c>
      <c r="V33" s="188" t="e">
        <f>ROUND(((J33)*($B33+$C33+$D33+$E33))/(Universe!$C$2),2)</f>
        <v>#DIV/0!</v>
      </c>
      <c r="W33" s="167">
        <v>2</v>
      </c>
      <c r="X33" s="408">
        <f>IF(W33=1,U33,0)</f>
        <v>0</v>
      </c>
      <c r="Y33" s="408">
        <f>IF(W33=2,U33,0)</f>
        <v>0</v>
      </c>
      <c r="Z33" s="408">
        <f>IF(W33=1,V33,0)</f>
        <v>0</v>
      </c>
      <c r="AA33" s="408" t="e">
        <f>IF(W33=2,V33,0)</f>
        <v>#DIV/0!</v>
      </c>
    </row>
    <row r="34" spans="1:27" ht="10.8" thickBot="1" x14ac:dyDescent="0.25">
      <c r="A34" s="206" t="s">
        <v>527</v>
      </c>
      <c r="B34" s="190">
        <v>0</v>
      </c>
      <c r="C34" s="207">
        <v>0</v>
      </c>
      <c r="D34" s="380">
        <v>1</v>
      </c>
      <c r="E34" s="380">
        <v>0</v>
      </c>
      <c r="F34" s="191">
        <f>ROUND(Costs!$B$3*B34+Costs!$B$4*C34+Costs!$B$5*D34+Costs!$B$6*E34,2)</f>
        <v>72.61</v>
      </c>
      <c r="G34" s="191" t="str">
        <f>Costs!$B$62</f>
        <v xml:space="preserve"> </v>
      </c>
      <c r="H34" s="191">
        <f>Costs!$B$22</f>
        <v>1800</v>
      </c>
      <c r="I34" s="192">
        <f>I33</f>
        <v>0</v>
      </c>
      <c r="J34" s="192">
        <f>J33</f>
        <v>0</v>
      </c>
      <c r="K34" s="193">
        <f>ROUND((B34+C34+D34+E34)*(I34+J34),2)</f>
        <v>0</v>
      </c>
      <c r="L34" s="191">
        <f>(I34+J34)*SUM(F34:H34)</f>
        <v>0</v>
      </c>
      <c r="M34" s="555"/>
      <c r="N34" s="165">
        <f>IF(I34=0,0,L34/(J34+I34))</f>
        <v>0</v>
      </c>
      <c r="P34" s="170"/>
      <c r="Q34" s="167">
        <f t="shared" si="0"/>
        <v>0</v>
      </c>
      <c r="R34" s="168">
        <f>F34*(I34+J34)</f>
        <v>0</v>
      </c>
      <c r="S34" s="168">
        <f>G34*(I34+J34)</f>
        <v>0</v>
      </c>
      <c r="T34" s="168">
        <f>H34*(I34+J34)</f>
        <v>0</v>
      </c>
      <c r="U34" s="188">
        <f>ROUND(((I34)*($B34+$C34+$D34+$E34))/(Universe!$C$6),2)</f>
        <v>0</v>
      </c>
      <c r="V34" s="188" t="e">
        <f>ROUND(((J34)*($B34+$C34+$D34+$E34))/(Universe!$C$2),2)</f>
        <v>#DIV/0!</v>
      </c>
      <c r="W34" s="167">
        <v>2</v>
      </c>
      <c r="X34" s="408">
        <f>IF(W34=1,U34,0)</f>
        <v>0</v>
      </c>
      <c r="Y34" s="408">
        <f>IF(W34=2,U34,0)</f>
        <v>0</v>
      </c>
      <c r="Z34" s="408">
        <f>IF(W34=1,V34,0)</f>
        <v>0</v>
      </c>
      <c r="AA34" s="408" t="e">
        <f>IF(W34=2,V34,0)</f>
        <v>#DIV/0!</v>
      </c>
    </row>
    <row r="35" spans="1:27" ht="10.8" thickBot="1" x14ac:dyDescent="0.25">
      <c r="A35" s="200" t="s">
        <v>596</v>
      </c>
      <c r="B35" s="201" t="s">
        <v>597</v>
      </c>
      <c r="C35" s="201" t="s">
        <v>597</v>
      </c>
      <c r="D35" s="201" t="s">
        <v>597</v>
      </c>
      <c r="E35" s="201" t="s">
        <v>597</v>
      </c>
      <c r="F35" s="201" t="s">
        <v>597</v>
      </c>
      <c r="G35" s="201" t="s">
        <v>597</v>
      </c>
      <c r="H35" s="201" t="s">
        <v>597</v>
      </c>
      <c r="I35" s="202" t="s">
        <v>597</v>
      </c>
      <c r="J35" s="202" t="s">
        <v>597</v>
      </c>
      <c r="K35" s="203">
        <f>SUM(K28:K34)</f>
        <v>248</v>
      </c>
      <c r="L35" s="204">
        <f>SUM(L28:L34)</f>
        <v>239605.81999999998</v>
      </c>
      <c r="M35" s="555"/>
      <c r="N35" s="169" t="s">
        <v>597</v>
      </c>
      <c r="P35" s="171"/>
      <c r="Q35" s="167"/>
      <c r="R35" s="203">
        <f>SUM(R28:R34)</f>
        <v>16405.82</v>
      </c>
      <c r="S35" s="203">
        <f>SUM(S33:S34)</f>
        <v>0</v>
      </c>
      <c r="T35" s="203">
        <f>SUM(T28:T34)</f>
        <v>223200</v>
      </c>
      <c r="U35" s="188"/>
      <c r="V35" s="166"/>
      <c r="X35" s="203">
        <f>SUM(X33:X34)</f>
        <v>0</v>
      </c>
      <c r="Y35" s="203">
        <f>SUM(Y33:Y34)</f>
        <v>0</v>
      </c>
      <c r="Z35" s="203">
        <f>SUM(Z33:Z34)</f>
        <v>0</v>
      </c>
      <c r="AA35" s="203" t="e">
        <f>SUM(AA33:AA34)</f>
        <v>#DIV/0!</v>
      </c>
    </row>
    <row r="36" spans="1:27" x14ac:dyDescent="0.2">
      <c r="A36" s="194" t="s">
        <v>618</v>
      </c>
      <c r="B36" s="195"/>
      <c r="C36" s="208"/>
      <c r="D36" s="208"/>
      <c r="E36" s="208"/>
      <c r="F36" s="209"/>
      <c r="G36" s="208"/>
      <c r="H36" s="196"/>
      <c r="I36" s="205"/>
      <c r="J36" s="205"/>
      <c r="K36" s="198"/>
      <c r="L36" s="199"/>
      <c r="M36" s="554"/>
      <c r="N36" s="165"/>
      <c r="Q36" s="167">
        <f t="shared" si="0"/>
        <v>0</v>
      </c>
      <c r="S36" s="166"/>
      <c r="T36" s="166"/>
      <c r="U36" s="188"/>
      <c r="V36" s="166"/>
    </row>
    <row r="37" spans="1:27" x14ac:dyDescent="0.2">
      <c r="A37" s="84" t="s">
        <v>610</v>
      </c>
      <c r="B37" s="85">
        <v>0</v>
      </c>
      <c r="C37" s="89">
        <v>0.25</v>
      </c>
      <c r="D37" s="89">
        <v>0.75</v>
      </c>
      <c r="E37" s="89">
        <v>0</v>
      </c>
      <c r="F37" s="32">
        <f>ROUND(Costs!$B$3*B37+Costs!$B$4*C37+Costs!$B$5*D37+Costs!$B$6*E37,2)</f>
        <v>78.819999999999993</v>
      </c>
      <c r="G37" s="32" t="str">
        <f>Costs!$B$62</f>
        <v xml:space="preserve"> </v>
      </c>
      <c r="H37" s="32">
        <f>Costs!$B$16</f>
        <v>0</v>
      </c>
      <c r="I37" s="86">
        <f>ROUND((O37*(Universe!C$6)),0)</f>
        <v>0</v>
      </c>
      <c r="J37" s="86">
        <f>ROUND((P37*Universe!C$2),0)</f>
        <v>0</v>
      </c>
      <c r="K37" s="87">
        <f t="shared" ref="K37:K42" si="1">ROUND((B37+C37+D37+E37)*(I37+J37),2)</f>
        <v>0</v>
      </c>
      <c r="L37" s="32">
        <f t="shared" ref="L37:L42" si="2">(I37+J37)*SUM(F37:H37)</f>
        <v>0</v>
      </c>
      <c r="M37" s="555"/>
      <c r="N37" s="165" t="e">
        <f>L37/(I37+J37)</f>
        <v>#DIV/0!</v>
      </c>
      <c r="O37" s="167">
        <v>0</v>
      </c>
      <c r="P37" s="167">
        <v>0</v>
      </c>
      <c r="Q37" s="167">
        <f t="shared" si="0"/>
        <v>0</v>
      </c>
      <c r="R37" s="168">
        <f t="shared" ref="R37:R42" si="3">F37*(I37+J37)</f>
        <v>0</v>
      </c>
      <c r="S37" s="168">
        <f t="shared" ref="S37:S42" si="4">G37*(I37+J37)</f>
        <v>0</v>
      </c>
      <c r="T37" s="168">
        <f t="shared" ref="T37:T42" si="5">H37*(I37+J37)</f>
        <v>0</v>
      </c>
      <c r="U37" s="188">
        <f>ROUND(((I37)*($B37+$C37+$D37+$E37))/(Universe!$C$6),2)</f>
        <v>0</v>
      </c>
      <c r="V37" s="188" t="e">
        <f>ROUND(((J37)*($B37+$C37+$D37+$E37))/(Universe!$C$2),2)</f>
        <v>#DIV/0!</v>
      </c>
      <c r="W37" s="167">
        <v>2</v>
      </c>
      <c r="X37" s="408">
        <f t="shared" ref="X37:X42" si="6">IF(W37=1,U37,0)</f>
        <v>0</v>
      </c>
      <c r="Y37" s="408">
        <f t="shared" ref="Y37:Y42" si="7">IF(W37=2,U37,0)</f>
        <v>0</v>
      </c>
      <c r="Z37" s="408">
        <f t="shared" ref="Z37:Z42" si="8">IF(W37=1,V37,0)</f>
        <v>0</v>
      </c>
      <c r="AA37" s="408" t="e">
        <f t="shared" ref="AA37:AA42" si="9">IF(W37=2,V37,0)</f>
        <v>#DIV/0!</v>
      </c>
    </row>
    <row r="38" spans="1:27" x14ac:dyDescent="0.2">
      <c r="A38" s="84" t="s">
        <v>619</v>
      </c>
      <c r="B38" s="85">
        <v>0</v>
      </c>
      <c r="C38" s="89">
        <v>0</v>
      </c>
      <c r="D38" s="89">
        <v>10</v>
      </c>
      <c r="E38" s="89">
        <v>0</v>
      </c>
      <c r="F38" s="32">
        <f>ROUND(Costs!$B$3*B38+Costs!$B$4*C38+Costs!$B$5*D38+Costs!$B$6*E38,2)</f>
        <v>726.1</v>
      </c>
      <c r="G38" s="32" t="str">
        <f>Costs!$B$62</f>
        <v xml:space="preserve"> </v>
      </c>
      <c r="H38" s="32">
        <f>Costs!$B$16</f>
        <v>0</v>
      </c>
      <c r="I38" s="86">
        <f>ROUND((O38*(Universe!C$6)),0)</f>
        <v>0</v>
      </c>
      <c r="J38" s="86">
        <f>ROUND((P38*Universe!C$2),0)</f>
        <v>0</v>
      </c>
      <c r="K38" s="87">
        <f t="shared" si="1"/>
        <v>0</v>
      </c>
      <c r="L38" s="32">
        <f t="shared" si="2"/>
        <v>0</v>
      </c>
      <c r="M38" s="555"/>
      <c r="N38" s="165">
        <v>0</v>
      </c>
      <c r="O38" s="167">
        <v>0</v>
      </c>
      <c r="P38" s="167">
        <v>0</v>
      </c>
      <c r="Q38" s="167">
        <f t="shared" si="0"/>
        <v>0</v>
      </c>
      <c r="R38" s="168">
        <f t="shared" si="3"/>
        <v>0</v>
      </c>
      <c r="S38" s="168">
        <f t="shared" si="4"/>
        <v>0</v>
      </c>
      <c r="T38" s="168">
        <f t="shared" si="5"/>
        <v>0</v>
      </c>
      <c r="U38" s="188">
        <f>ROUND(((I38)*($B38+$C38+$D38+$E38))/(Universe!$C$6),2)</f>
        <v>0</v>
      </c>
      <c r="V38" s="188" t="e">
        <f>ROUND(((J38)*($B38+$C38+$D38+$E38))/(Universe!$C$2),2)</f>
        <v>#DIV/0!</v>
      </c>
      <c r="W38" s="167">
        <v>2</v>
      </c>
      <c r="X38" s="408">
        <f t="shared" si="6"/>
        <v>0</v>
      </c>
      <c r="Y38" s="408">
        <f t="shared" si="7"/>
        <v>0</v>
      </c>
      <c r="Z38" s="408">
        <f t="shared" si="8"/>
        <v>0</v>
      </c>
      <c r="AA38" s="408" t="e">
        <f t="shared" si="9"/>
        <v>#DIV/0!</v>
      </c>
    </row>
    <row r="39" spans="1:27" x14ac:dyDescent="0.2">
      <c r="A39" s="84" t="s">
        <v>620</v>
      </c>
      <c r="B39" s="85">
        <v>0</v>
      </c>
      <c r="C39" s="89">
        <v>10</v>
      </c>
      <c r="D39" s="89">
        <v>60</v>
      </c>
      <c r="E39" s="89">
        <v>0.5</v>
      </c>
      <c r="F39" s="32">
        <f>ROUND(Costs!$B$3*B39+Costs!$B$4*C39+Costs!$B$5*D39+Costs!$B$6*E39,2)</f>
        <v>5352.94</v>
      </c>
      <c r="G39" s="32" t="str">
        <f>Costs!$B$62</f>
        <v xml:space="preserve"> </v>
      </c>
      <c r="H39" s="32">
        <f>Costs!$B$16</f>
        <v>0</v>
      </c>
      <c r="I39" s="86">
        <f>ROUND((O39*(Universe!C$6)),0)</f>
        <v>0</v>
      </c>
      <c r="J39" s="86">
        <f>ROUND((P39*Universe!C$2),0)</f>
        <v>0</v>
      </c>
      <c r="K39" s="87">
        <f t="shared" si="1"/>
        <v>0</v>
      </c>
      <c r="L39" s="32">
        <f t="shared" si="2"/>
        <v>0</v>
      </c>
      <c r="M39" s="555"/>
      <c r="N39" s="165">
        <f>IF(I39=0,0,L39/(N39+I39))</f>
        <v>0</v>
      </c>
      <c r="O39" s="167">
        <v>0</v>
      </c>
      <c r="P39" s="167">
        <v>0</v>
      </c>
      <c r="Q39" s="167">
        <f t="shared" si="0"/>
        <v>0</v>
      </c>
      <c r="R39" s="168">
        <f t="shared" si="3"/>
        <v>0</v>
      </c>
      <c r="S39" s="168">
        <f t="shared" si="4"/>
        <v>0</v>
      </c>
      <c r="T39" s="168">
        <f t="shared" si="5"/>
        <v>0</v>
      </c>
      <c r="U39" s="188">
        <f>ROUND(((I39)*($B39+$C39+$D39+$E39))/(Universe!$C$6),2)</f>
        <v>0</v>
      </c>
      <c r="V39" s="188" t="e">
        <f>ROUND(((J39)*($B39+$C39+$D39+$E39))/(Universe!$C$2),2)</f>
        <v>#DIV/0!</v>
      </c>
      <c r="W39" s="167">
        <v>2</v>
      </c>
      <c r="X39" s="408">
        <f t="shared" si="6"/>
        <v>0</v>
      </c>
      <c r="Y39" s="408">
        <f t="shared" si="7"/>
        <v>0</v>
      </c>
      <c r="Z39" s="408">
        <f t="shared" si="8"/>
        <v>0</v>
      </c>
      <c r="AA39" s="408" t="e">
        <f t="shared" si="9"/>
        <v>#DIV/0!</v>
      </c>
    </row>
    <row r="40" spans="1:27" x14ac:dyDescent="0.2">
      <c r="A40" s="84" t="s">
        <v>621</v>
      </c>
      <c r="B40" s="85">
        <v>0</v>
      </c>
      <c r="C40" s="89">
        <v>0</v>
      </c>
      <c r="D40" s="89">
        <v>0</v>
      </c>
      <c r="E40" s="89">
        <v>1</v>
      </c>
      <c r="F40" s="32">
        <f>ROUND(Costs!$B$3*B40+Costs!$B$4*C40+Costs!$B$5*D40+Costs!$B$6*E40,2)</f>
        <v>43.67</v>
      </c>
      <c r="G40" s="32" t="str">
        <f>Costs!$B$62</f>
        <v xml:space="preserve"> </v>
      </c>
      <c r="H40" s="32">
        <f>Costs!$B$17</f>
        <v>1.5</v>
      </c>
      <c r="I40" s="86">
        <f>ROUND((O40*(Universe!C$6)),0)</f>
        <v>31</v>
      </c>
      <c r="J40" s="86">
        <f>ROUND((P40*Universe!C$2),0)</f>
        <v>0</v>
      </c>
      <c r="K40" s="87">
        <f t="shared" si="1"/>
        <v>31</v>
      </c>
      <c r="L40" s="32">
        <f t="shared" si="2"/>
        <v>1400.27</v>
      </c>
      <c r="M40" s="555"/>
      <c r="N40" s="165">
        <f>L40/(I40+J40)</f>
        <v>45.17</v>
      </c>
      <c r="O40" s="167">
        <v>0.85</v>
      </c>
      <c r="P40" s="167">
        <v>0.85</v>
      </c>
      <c r="Q40" s="167">
        <f t="shared" si="0"/>
        <v>1400.27</v>
      </c>
      <c r="R40" s="168">
        <f t="shared" si="3"/>
        <v>1353.77</v>
      </c>
      <c r="S40" s="168">
        <f t="shared" si="4"/>
        <v>0</v>
      </c>
      <c r="T40" s="168">
        <f t="shared" si="5"/>
        <v>46.5</v>
      </c>
      <c r="U40" s="188">
        <f>ROUND(((I40)*($B40+$C40+$D40+$E40))/(Universe!$C$6),2)</f>
        <v>0.86</v>
      </c>
      <c r="V40" s="188" t="e">
        <f>ROUND(((J40)*($B40+$C40+$D40+$E40))/(Universe!$C$2),2)</f>
        <v>#DIV/0!</v>
      </c>
      <c r="W40" s="167">
        <v>2</v>
      </c>
      <c r="X40" s="408">
        <f t="shared" si="6"/>
        <v>0</v>
      </c>
      <c r="Y40" s="408">
        <f t="shared" si="7"/>
        <v>0.86</v>
      </c>
      <c r="Z40" s="408">
        <f t="shared" si="8"/>
        <v>0</v>
      </c>
      <c r="AA40" s="408" t="e">
        <f t="shared" si="9"/>
        <v>#DIV/0!</v>
      </c>
    </row>
    <row r="41" spans="1:27" x14ac:dyDescent="0.2">
      <c r="A41" s="210" t="s">
        <v>622</v>
      </c>
      <c r="B41" s="190">
        <v>0</v>
      </c>
      <c r="C41" s="207">
        <v>10</v>
      </c>
      <c r="D41" s="207">
        <v>80</v>
      </c>
      <c r="E41" s="207">
        <v>0.5</v>
      </c>
      <c r="F41" s="191">
        <f>ROUND(Costs!$B$3*B41+Costs!$B$4*C41+Costs!$B$5*D41+Costs!$B$6*E41,2)</f>
        <v>6805.14</v>
      </c>
      <c r="G41" s="191" t="str">
        <f>Costs!$B$62</f>
        <v xml:space="preserve"> </v>
      </c>
      <c r="H41" s="191">
        <f>Costs!$B$16</f>
        <v>0</v>
      </c>
      <c r="I41" s="192">
        <f>ROUND((O41*(Universe!C$6)),0)</f>
        <v>7</v>
      </c>
      <c r="J41" s="192">
        <f>ROUND((P41*Universe!C$2),0)</f>
        <v>0</v>
      </c>
      <c r="K41" s="193">
        <f t="shared" si="1"/>
        <v>633.5</v>
      </c>
      <c r="L41" s="191">
        <f t="shared" si="2"/>
        <v>47635.98</v>
      </c>
      <c r="M41" s="555"/>
      <c r="N41" s="165">
        <f>L41/(I41+J41)</f>
        <v>6805.14</v>
      </c>
      <c r="O41" s="167">
        <v>0.2</v>
      </c>
      <c r="P41" s="167">
        <v>0.2</v>
      </c>
      <c r="Q41" s="167">
        <f t="shared" si="0"/>
        <v>47635.98</v>
      </c>
      <c r="R41" s="168">
        <f t="shared" si="3"/>
        <v>47635.98</v>
      </c>
      <c r="S41" s="168">
        <f t="shared" si="4"/>
        <v>0</v>
      </c>
      <c r="T41" s="168">
        <f t="shared" si="5"/>
        <v>0</v>
      </c>
      <c r="U41" s="188">
        <f>ROUND(((I41)*($B41+$C41+$D41+$E41))/(Universe!$C$6),2)</f>
        <v>17.600000000000001</v>
      </c>
      <c r="V41" s="188" t="e">
        <f>ROUND(((J41)*($B41+$C41+$D41+$E41))/(Universe!$C$2),2)</f>
        <v>#DIV/0!</v>
      </c>
      <c r="W41" s="167">
        <v>2</v>
      </c>
      <c r="X41" s="408">
        <f t="shared" si="6"/>
        <v>0</v>
      </c>
      <c r="Y41" s="408">
        <f t="shared" si="7"/>
        <v>17.600000000000001</v>
      </c>
      <c r="Z41" s="408">
        <f t="shared" si="8"/>
        <v>0</v>
      </c>
      <c r="AA41" s="408" t="e">
        <f t="shared" si="9"/>
        <v>#DIV/0!</v>
      </c>
    </row>
    <row r="42" spans="1:27" ht="10.8" thickBot="1" x14ac:dyDescent="0.25">
      <c r="A42" s="374" t="s">
        <v>532</v>
      </c>
      <c r="B42" s="375">
        <v>0</v>
      </c>
      <c r="C42" s="376">
        <v>0</v>
      </c>
      <c r="D42" s="376">
        <v>0</v>
      </c>
      <c r="E42" s="376">
        <v>1</v>
      </c>
      <c r="F42" s="377">
        <f>ROUND(Costs!$B$3*B42+Costs!$B$4*C42+Costs!$B$5*D42+Costs!$B$6*E42,2)</f>
        <v>43.67</v>
      </c>
      <c r="G42" s="377" t="str">
        <f>Costs!$B$62</f>
        <v xml:space="preserve"> </v>
      </c>
      <c r="H42" s="377">
        <v>0</v>
      </c>
      <c r="I42" s="378">
        <f>I41</f>
        <v>7</v>
      </c>
      <c r="J42" s="378">
        <f>J41</f>
        <v>0</v>
      </c>
      <c r="K42" s="382">
        <f t="shared" si="1"/>
        <v>7</v>
      </c>
      <c r="L42" s="377">
        <f t="shared" si="2"/>
        <v>305.69</v>
      </c>
      <c r="M42" s="165"/>
      <c r="N42" s="165">
        <f>IF(I42=0,0,L42/(J42+I42))</f>
        <v>43.67</v>
      </c>
      <c r="O42" s="167"/>
      <c r="P42" s="167"/>
      <c r="Q42" s="167">
        <f t="shared" si="0"/>
        <v>305.69</v>
      </c>
      <c r="R42" s="168">
        <f t="shared" si="3"/>
        <v>305.69</v>
      </c>
      <c r="S42" s="168">
        <f t="shared" si="4"/>
        <v>0</v>
      </c>
      <c r="T42" s="168">
        <f t="shared" si="5"/>
        <v>0</v>
      </c>
      <c r="U42" s="188">
        <f>ROUND(((I42)*($B42+$C42+$D42+$E42))/(Universe!$C$6),2)</f>
        <v>0.19</v>
      </c>
      <c r="V42" s="188" t="e">
        <f>ROUND(((J42)*($B42+$C42+$D42+$E42))/(Universe!$C$2),2)</f>
        <v>#DIV/0!</v>
      </c>
      <c r="W42" s="167">
        <v>2</v>
      </c>
      <c r="X42" s="408">
        <f t="shared" si="6"/>
        <v>0</v>
      </c>
      <c r="Y42" s="408">
        <f t="shared" si="7"/>
        <v>0.19</v>
      </c>
      <c r="Z42" s="408">
        <f t="shared" si="8"/>
        <v>0</v>
      </c>
      <c r="AA42" s="408" t="e">
        <f t="shared" si="9"/>
        <v>#DIV/0!</v>
      </c>
    </row>
    <row r="43" spans="1:27" ht="10.8" thickBot="1" x14ac:dyDescent="0.25">
      <c r="A43" s="211" t="s">
        <v>596</v>
      </c>
      <c r="B43" s="201" t="s">
        <v>597</v>
      </c>
      <c r="C43" s="201" t="s">
        <v>597</v>
      </c>
      <c r="D43" s="201" t="s">
        <v>597</v>
      </c>
      <c r="E43" s="201" t="s">
        <v>597</v>
      </c>
      <c r="F43" s="201" t="s">
        <v>597</v>
      </c>
      <c r="G43" s="201" t="s">
        <v>597</v>
      </c>
      <c r="H43" s="201" t="s">
        <v>597</v>
      </c>
      <c r="I43" s="202" t="s">
        <v>597</v>
      </c>
      <c r="J43" s="202" t="s">
        <v>597</v>
      </c>
      <c r="K43" s="203">
        <f>SUM(K37:K42)</f>
        <v>671.5</v>
      </c>
      <c r="L43" s="204">
        <f>SUM(L37:L42)</f>
        <v>49341.94</v>
      </c>
      <c r="M43" s="555"/>
      <c r="N43" s="169" t="s">
        <v>597</v>
      </c>
      <c r="P43" s="171"/>
      <c r="Q43" s="167"/>
      <c r="R43" s="203">
        <f>SUM(R37:R42)</f>
        <v>49295.44</v>
      </c>
      <c r="S43" s="203">
        <f>SUM(S37:S42)</f>
        <v>0</v>
      </c>
      <c r="T43" s="203">
        <f>SUM(T37:T42)</f>
        <v>46.5</v>
      </c>
      <c r="U43" s="188"/>
      <c r="V43" s="166"/>
      <c r="X43" s="203">
        <f>SUM(X37:X42)</f>
        <v>0</v>
      </c>
      <c r="Y43" s="203">
        <f>SUM(Y37:Y42)</f>
        <v>18.650000000000002</v>
      </c>
      <c r="Z43" s="203">
        <f>SUM(Z37:Z42)</f>
        <v>0</v>
      </c>
      <c r="AA43" s="203" t="e">
        <f>SUM(AA37:AA42)</f>
        <v>#DIV/0!</v>
      </c>
    </row>
    <row r="44" spans="1:27" x14ac:dyDescent="0.2">
      <c r="A44" s="194" t="s">
        <v>623</v>
      </c>
      <c r="B44" s="195"/>
      <c r="C44" s="208"/>
      <c r="D44" s="208"/>
      <c r="E44" s="208"/>
      <c r="F44" s="209"/>
      <c r="G44" s="208"/>
      <c r="H44" s="196"/>
      <c r="I44" s="205"/>
      <c r="J44" s="205"/>
      <c r="K44" s="198"/>
      <c r="L44" s="199"/>
      <c r="M44" s="554"/>
      <c r="N44" s="165"/>
      <c r="Q44" s="167">
        <f t="shared" si="0"/>
        <v>0</v>
      </c>
      <c r="S44" s="166"/>
      <c r="T44" s="166"/>
      <c r="U44" s="188"/>
    </row>
    <row r="45" spans="1:27" x14ac:dyDescent="0.2">
      <c r="A45" s="146" t="s">
        <v>610</v>
      </c>
      <c r="B45" s="85">
        <v>0</v>
      </c>
      <c r="C45" s="89">
        <v>0.25</v>
      </c>
      <c r="D45" s="89">
        <v>0.75</v>
      </c>
      <c r="E45" s="89">
        <v>0</v>
      </c>
      <c r="F45" s="32">
        <f>ROUND(Costs!$B$3*B45+Costs!$B$4*C45+Costs!$B$5*D45+Costs!$B$6*E45,2)</f>
        <v>78.819999999999993</v>
      </c>
      <c r="G45" s="32" t="str">
        <f>Costs!$B$62</f>
        <v xml:space="preserve"> </v>
      </c>
      <c r="H45" s="32">
        <f>Costs!$B$16</f>
        <v>0</v>
      </c>
      <c r="I45" s="86">
        <f>ROUND((O45*(Universe!C$6)),0)</f>
        <v>0</v>
      </c>
      <c r="J45" s="86">
        <f>ROUND((P45*Universe!C$2),0)</f>
        <v>0</v>
      </c>
      <c r="K45" s="87">
        <f t="shared" ref="K45:K51" si="10">ROUND((B45+C45+D45+E45)*(I45+J45),2)</f>
        <v>0</v>
      </c>
      <c r="L45" s="32">
        <f t="shared" ref="L45:L51" si="11">(I45+J45)*SUM(F45:H45)</f>
        <v>0</v>
      </c>
      <c r="M45" s="555"/>
      <c r="N45" s="165" t="e">
        <f>L45/(I45+J45)</f>
        <v>#DIV/0!</v>
      </c>
      <c r="O45" s="167">
        <v>0</v>
      </c>
      <c r="P45" s="167">
        <v>0.85</v>
      </c>
      <c r="Q45" s="167">
        <f t="shared" si="0"/>
        <v>0</v>
      </c>
      <c r="R45" s="168">
        <f t="shared" ref="R45:R51" si="12">F45*(I45+J45)</f>
        <v>0</v>
      </c>
      <c r="S45" s="168">
        <f t="shared" ref="S45:S51" si="13">G45*(I45+J45)</f>
        <v>0</v>
      </c>
      <c r="T45" s="168">
        <f t="shared" ref="T45:T51" si="14">H45*(I45+J45)</f>
        <v>0</v>
      </c>
      <c r="U45" s="188">
        <f>ROUND(((I45)*($B45+$C45+$D45+$E45))/(Universe!$C$6),2)</f>
        <v>0</v>
      </c>
      <c r="V45" s="188" t="e">
        <f>ROUND(((J45)*($B45+$C45+$D45+$E45))/(Universe!$C$2),2)</f>
        <v>#DIV/0!</v>
      </c>
      <c r="W45" s="167">
        <v>2</v>
      </c>
      <c r="X45" s="408">
        <f t="shared" ref="X45:X51" si="15">IF(W45=1,U45,0)</f>
        <v>0</v>
      </c>
      <c r="Y45" s="408">
        <f t="shared" ref="Y45:Y51" si="16">IF(W45=2,U45,0)</f>
        <v>0</v>
      </c>
      <c r="Z45" s="408">
        <f t="shared" ref="Z45:Z51" si="17">IF(W45=1,V45,0)</f>
        <v>0</v>
      </c>
      <c r="AA45" s="408" t="e">
        <f t="shared" ref="AA45:AA51" si="18">IF(W45=2,V45,0)</f>
        <v>#DIV/0!</v>
      </c>
    </row>
    <row r="46" spans="1:27" x14ac:dyDescent="0.2">
      <c r="A46" s="146" t="s">
        <v>624</v>
      </c>
      <c r="B46" s="85">
        <v>0</v>
      </c>
      <c r="C46" s="89">
        <v>8</v>
      </c>
      <c r="D46" s="89">
        <v>80</v>
      </c>
      <c r="E46" s="89">
        <v>1</v>
      </c>
      <c r="F46" s="32">
        <f>ROUND(Costs!$B$3*B46+Costs!$B$4*C46+Costs!$B$5*D46+Costs!$B$6*E46,2)</f>
        <v>6632.07</v>
      </c>
      <c r="G46" s="32" t="str">
        <f>Costs!$B$62</f>
        <v xml:space="preserve"> </v>
      </c>
      <c r="H46" s="32">
        <f>Costs!$B$16</f>
        <v>0</v>
      </c>
      <c r="I46" s="86">
        <f>ROUND((O46*(Universe!C$6)),0)</f>
        <v>0</v>
      </c>
      <c r="J46" s="86">
        <f>ROUND((P46*Universe!C$2),0)</f>
        <v>0</v>
      </c>
      <c r="K46" s="87">
        <f t="shared" si="10"/>
        <v>0</v>
      </c>
      <c r="L46" s="32">
        <f t="shared" si="11"/>
        <v>0</v>
      </c>
      <c r="M46" s="555"/>
      <c r="N46" s="165">
        <f>IF(I46=0,0,L46/(N46+I46))</f>
        <v>0</v>
      </c>
      <c r="O46" s="167">
        <v>0</v>
      </c>
      <c r="P46" s="167">
        <v>0</v>
      </c>
      <c r="Q46" s="167">
        <f t="shared" si="0"/>
        <v>0</v>
      </c>
      <c r="R46" s="168">
        <f t="shared" si="12"/>
        <v>0</v>
      </c>
      <c r="S46" s="168">
        <f t="shared" si="13"/>
        <v>0</v>
      </c>
      <c r="T46" s="168">
        <f t="shared" si="14"/>
        <v>0</v>
      </c>
      <c r="U46" s="188">
        <f>ROUND(((I46)*($B46+$C46+$D46+$E46))/(Universe!$C$6),2)</f>
        <v>0</v>
      </c>
      <c r="V46" s="188" t="e">
        <f>ROUND(((J46)*($B46+$C46+$D46+$E46))/(Universe!$C$2),2)</f>
        <v>#DIV/0!</v>
      </c>
      <c r="W46" s="167">
        <v>2</v>
      </c>
      <c r="X46" s="408">
        <f t="shared" si="15"/>
        <v>0</v>
      </c>
      <c r="Y46" s="408">
        <f t="shared" si="16"/>
        <v>0</v>
      </c>
      <c r="Z46" s="408">
        <f t="shared" si="17"/>
        <v>0</v>
      </c>
      <c r="AA46" s="408" t="e">
        <f t="shared" si="18"/>
        <v>#DIV/0!</v>
      </c>
    </row>
    <row r="47" spans="1:27" x14ac:dyDescent="0.2">
      <c r="A47" s="374" t="s">
        <v>625</v>
      </c>
      <c r="B47" s="375">
        <v>0</v>
      </c>
      <c r="C47" s="375">
        <v>0</v>
      </c>
      <c r="D47" s="375">
        <v>0.5</v>
      </c>
      <c r="E47" s="375">
        <v>0</v>
      </c>
      <c r="F47" s="377">
        <f>ROUND(Costs!$B$3*B47+Costs!$B$4*C47+Costs!$B$5*D47+Costs!$B$6*E47,2)</f>
        <v>36.31</v>
      </c>
      <c r="G47" s="377" t="str">
        <f>Costs!$B$62</f>
        <v xml:space="preserve"> </v>
      </c>
      <c r="H47" s="377">
        <f>Costs!$B$16</f>
        <v>0</v>
      </c>
      <c r="I47" s="378">
        <f>ROUND((O47*(Universe!C$6)),0)*Universe!$C$30</f>
        <v>0</v>
      </c>
      <c r="J47" s="378">
        <f>ROUND((P47*Universe!C$2),0)*Universe!$C$30</f>
        <v>0</v>
      </c>
      <c r="K47" s="87">
        <f>ROUND((B47+C47+D47+E47)*(I47+J47),2)</f>
        <v>0</v>
      </c>
      <c r="L47" s="32">
        <f>(I47+J47)*SUM(F47:H47)</f>
        <v>0</v>
      </c>
      <c r="M47" s="555"/>
      <c r="N47" s="165" t="e">
        <f>L47/(I47+J47)</f>
        <v>#DIV/0!</v>
      </c>
      <c r="O47" s="167">
        <v>0.85</v>
      </c>
      <c r="P47" s="167">
        <v>0.85</v>
      </c>
      <c r="Q47" s="167">
        <f t="shared" si="0"/>
        <v>0</v>
      </c>
      <c r="R47" s="168">
        <f t="shared" si="12"/>
        <v>0</v>
      </c>
      <c r="S47" s="168">
        <f>G47*(I47+J47)</f>
        <v>0</v>
      </c>
      <c r="T47" s="168">
        <f>H47*(I47+J47)</f>
        <v>0</v>
      </c>
      <c r="U47" s="188">
        <f>ROUND(((I47)*($B47+$C47+$D47+$E47))/(Universe!$C$6),2)</f>
        <v>0</v>
      </c>
      <c r="V47" s="188" t="e">
        <f>ROUND(((J47)*($B47+$C47+$D47+$E47))/(Universe!$C$2),2)</f>
        <v>#DIV/0!</v>
      </c>
      <c r="W47" s="167">
        <v>2</v>
      </c>
      <c r="X47" s="408">
        <f t="shared" si="15"/>
        <v>0</v>
      </c>
      <c r="Y47" s="408">
        <f t="shared" si="16"/>
        <v>0</v>
      </c>
      <c r="Z47" s="408">
        <f t="shared" si="17"/>
        <v>0</v>
      </c>
      <c r="AA47" s="408" t="e">
        <f t="shared" si="18"/>
        <v>#DIV/0!</v>
      </c>
    </row>
    <row r="48" spans="1:27" x14ac:dyDescent="0.2">
      <c r="A48" s="146" t="s">
        <v>626</v>
      </c>
      <c r="B48" s="85">
        <v>0</v>
      </c>
      <c r="C48" s="89">
        <v>0</v>
      </c>
      <c r="D48" s="89">
        <v>0</v>
      </c>
      <c r="E48" s="89">
        <v>1</v>
      </c>
      <c r="F48" s="32">
        <f>ROUND(Costs!$B$3*B48+Costs!$B$4*C48+Costs!$B$5*D48+Costs!$B$6*E48,2)</f>
        <v>43.67</v>
      </c>
      <c r="G48" s="32" t="str">
        <f>Costs!$B$62</f>
        <v xml:space="preserve"> </v>
      </c>
      <c r="H48" s="32">
        <f>Costs!$B$17</f>
        <v>1.5</v>
      </c>
      <c r="I48" s="86">
        <f>ROUND((O48*(Universe!C$6)),0)</f>
        <v>31</v>
      </c>
      <c r="J48" s="86">
        <f>ROUND((P48*Universe!C$2),0)</f>
        <v>0</v>
      </c>
      <c r="K48" s="87">
        <f t="shared" si="10"/>
        <v>31</v>
      </c>
      <c r="L48" s="32">
        <f t="shared" si="11"/>
        <v>1400.27</v>
      </c>
      <c r="M48" s="555"/>
      <c r="N48" s="165">
        <f>L48/(I48+J48)</f>
        <v>45.17</v>
      </c>
      <c r="O48" s="167">
        <v>0.85</v>
      </c>
      <c r="P48" s="167">
        <v>0.85</v>
      </c>
      <c r="Q48" s="167">
        <f t="shared" si="0"/>
        <v>1400.27</v>
      </c>
      <c r="R48" s="168">
        <f t="shared" si="12"/>
        <v>1353.77</v>
      </c>
      <c r="S48" s="168">
        <f t="shared" si="13"/>
        <v>0</v>
      </c>
      <c r="T48" s="168">
        <f t="shared" si="14"/>
        <v>46.5</v>
      </c>
      <c r="U48" s="188">
        <f>ROUND(((I48)*($B48+$C48+$D48+$E48))/(Universe!$C$6),2)</f>
        <v>0.86</v>
      </c>
      <c r="V48" s="188" t="e">
        <f>ROUND(((J48)*($B48+$C48+$D48+$E48))/(Universe!$C$2),2)</f>
        <v>#DIV/0!</v>
      </c>
      <c r="W48" s="167">
        <v>2</v>
      </c>
      <c r="X48" s="408">
        <f t="shared" si="15"/>
        <v>0</v>
      </c>
      <c r="Y48" s="408">
        <f t="shared" si="16"/>
        <v>0.86</v>
      </c>
      <c r="Z48" s="408">
        <f t="shared" si="17"/>
        <v>0</v>
      </c>
      <c r="AA48" s="408" t="e">
        <f t="shared" si="18"/>
        <v>#DIV/0!</v>
      </c>
    </row>
    <row r="49" spans="1:27" x14ac:dyDescent="0.2">
      <c r="A49" s="146" t="s">
        <v>627</v>
      </c>
      <c r="B49" s="85">
        <v>0</v>
      </c>
      <c r="C49" s="89">
        <v>0</v>
      </c>
      <c r="D49" s="89">
        <v>8</v>
      </c>
      <c r="E49" s="89">
        <v>0</v>
      </c>
      <c r="F49" s="32">
        <f>ROUND(Costs!$B$3*B49+Costs!$B$4*C49+Costs!$B$5*D49+Costs!$B$6*E49,2)</f>
        <v>580.88</v>
      </c>
      <c r="G49" s="32" t="str">
        <f>Costs!$B$62</f>
        <v xml:space="preserve"> </v>
      </c>
      <c r="H49" s="32">
        <f>Costs!$B$16</f>
        <v>0</v>
      </c>
      <c r="I49" s="86">
        <f>ROUND((O49*(Universe!C$6)),0)</f>
        <v>2</v>
      </c>
      <c r="J49" s="86">
        <f>ROUND((P49*Universe!C$2),0)</f>
        <v>0</v>
      </c>
      <c r="K49" s="87">
        <f t="shared" si="10"/>
        <v>16</v>
      </c>
      <c r="L49" s="32">
        <f t="shared" si="11"/>
        <v>1161.76</v>
      </c>
      <c r="M49" s="555"/>
      <c r="N49" s="165">
        <f>L49/(I49+J49)</f>
        <v>580.88</v>
      </c>
      <c r="O49" s="167">
        <v>0.05</v>
      </c>
      <c r="P49" s="167">
        <v>0.05</v>
      </c>
      <c r="Q49" s="167">
        <f t="shared" si="0"/>
        <v>1161.76</v>
      </c>
      <c r="R49" s="168">
        <f t="shared" si="12"/>
        <v>1161.76</v>
      </c>
      <c r="S49" s="168">
        <f t="shared" si="13"/>
        <v>0</v>
      </c>
      <c r="T49" s="168">
        <f t="shared" si="14"/>
        <v>0</v>
      </c>
      <c r="U49" s="188">
        <f>ROUND(((I49)*($B49+$C49+$D49+$E49))/(Universe!$C$6),2)</f>
        <v>0.44</v>
      </c>
      <c r="V49" s="188" t="e">
        <f>ROUND(((J49)*($B49+$C49+$D49+$E49))/(Universe!$C$2),2)</f>
        <v>#DIV/0!</v>
      </c>
      <c r="W49" s="167">
        <v>2</v>
      </c>
      <c r="X49" s="408">
        <f t="shared" si="15"/>
        <v>0</v>
      </c>
      <c r="Y49" s="408">
        <f t="shared" si="16"/>
        <v>0.44</v>
      </c>
      <c r="Z49" s="408">
        <f t="shared" si="17"/>
        <v>0</v>
      </c>
      <c r="AA49" s="408" t="e">
        <f t="shared" si="18"/>
        <v>#DIV/0!</v>
      </c>
    </row>
    <row r="50" spans="1:27" x14ac:dyDescent="0.2">
      <c r="A50" s="224" t="s">
        <v>533</v>
      </c>
      <c r="B50" s="225">
        <v>0</v>
      </c>
      <c r="C50" s="380">
        <v>0</v>
      </c>
      <c r="D50" s="380">
        <v>0</v>
      </c>
      <c r="E50" s="380">
        <v>1</v>
      </c>
      <c r="F50" s="377">
        <f>ROUND(Costs!$B$3*B50+Costs!$B$4*C50+Costs!$B$5*D50+Costs!$B$6*E50,2)</f>
        <v>43.67</v>
      </c>
      <c r="G50" s="377" t="str">
        <f>Costs!$B$62</f>
        <v xml:space="preserve"> </v>
      </c>
      <c r="H50" s="377">
        <f>Costs!$B$16</f>
        <v>0</v>
      </c>
      <c r="I50" s="378">
        <f>I49</f>
        <v>2</v>
      </c>
      <c r="J50" s="378">
        <f>J49</f>
        <v>0</v>
      </c>
      <c r="K50" s="382">
        <f>ROUND((B50+C50+D50+E50)*(I50+J50),2)</f>
        <v>2</v>
      </c>
      <c r="L50" s="377">
        <f>(I50+J50)*SUM(F50:H50)</f>
        <v>87.34</v>
      </c>
      <c r="M50" s="165"/>
      <c r="N50" s="165">
        <f>L50/(I50+J50)</f>
        <v>43.67</v>
      </c>
      <c r="O50" s="167">
        <v>0.05</v>
      </c>
      <c r="P50" s="167">
        <v>0.05</v>
      </c>
      <c r="Q50" s="167">
        <f t="shared" si="0"/>
        <v>87.34</v>
      </c>
      <c r="R50" s="168">
        <f>F50*(I50+J50)</f>
        <v>87.34</v>
      </c>
      <c r="S50" s="168">
        <f>G50*(I50+J50)</f>
        <v>0</v>
      </c>
      <c r="T50" s="168">
        <f>H50*(I50+J50)</f>
        <v>0</v>
      </c>
      <c r="U50" s="188">
        <f>ROUND(((I50)*($B50+$C50+$D50+$E50))/(Universe!$C$6),2)</f>
        <v>0.06</v>
      </c>
      <c r="V50" s="188" t="e">
        <f>ROUND(((J50)*($B50+$C50+$D50+$E50))/(Universe!$C$2),2)</f>
        <v>#DIV/0!</v>
      </c>
      <c r="W50" s="167">
        <v>2</v>
      </c>
      <c r="X50" s="408">
        <f t="shared" si="15"/>
        <v>0</v>
      </c>
      <c r="Y50" s="408">
        <f t="shared" si="16"/>
        <v>0.06</v>
      </c>
      <c r="Z50" s="408">
        <f t="shared" si="17"/>
        <v>0</v>
      </c>
      <c r="AA50" s="408" t="e">
        <f t="shared" si="18"/>
        <v>#DIV/0!</v>
      </c>
    </row>
    <row r="51" spans="1:27" ht="10.8" thickBot="1" x14ac:dyDescent="0.25">
      <c r="A51" s="189" t="s">
        <v>628</v>
      </c>
      <c r="B51" s="190">
        <v>0</v>
      </c>
      <c r="C51" s="207">
        <v>0</v>
      </c>
      <c r="D51" s="207">
        <v>100</v>
      </c>
      <c r="E51" s="207">
        <v>0</v>
      </c>
      <c r="F51" s="191">
        <f>ROUND(Costs!$B$3*B51+Costs!$B$4*C51+Costs!$B$5*D51+Costs!$B$6*E51,2)</f>
        <v>7261</v>
      </c>
      <c r="G51" s="191" t="str">
        <f>Costs!$B$62</f>
        <v xml:space="preserve"> </v>
      </c>
      <c r="H51" s="191">
        <f>Costs!$B$16</f>
        <v>0</v>
      </c>
      <c r="I51" s="192">
        <f>ROUND((O51*(Universe!C$6)),0)</f>
        <v>31</v>
      </c>
      <c r="J51" s="192">
        <f>ROUND((P51*Universe!C$2),0)</f>
        <v>0</v>
      </c>
      <c r="K51" s="193">
        <f t="shared" si="10"/>
        <v>3100</v>
      </c>
      <c r="L51" s="191">
        <f t="shared" si="11"/>
        <v>225091</v>
      </c>
      <c r="M51" s="555"/>
      <c r="N51" s="165">
        <f>L51/(I51+J51)</f>
        <v>7261</v>
      </c>
      <c r="O51" s="167">
        <v>0.85</v>
      </c>
      <c r="P51" s="167">
        <v>0.85</v>
      </c>
      <c r="Q51" s="167">
        <f t="shared" si="0"/>
        <v>225091</v>
      </c>
      <c r="R51" s="168">
        <f t="shared" si="12"/>
        <v>225091</v>
      </c>
      <c r="S51" s="168">
        <f t="shared" si="13"/>
        <v>0</v>
      </c>
      <c r="T51" s="168">
        <f t="shared" si="14"/>
        <v>0</v>
      </c>
      <c r="U51" s="188">
        <f>ROUND(((I51)*($B51+$C51+$D51+$E51))/(Universe!$C$6),2)</f>
        <v>86.11</v>
      </c>
      <c r="V51" s="188" t="e">
        <f>ROUND(((J51)*($B51+$C51+$D51+$E51))/(Universe!$C$2),2)</f>
        <v>#DIV/0!</v>
      </c>
      <c r="W51" s="167">
        <v>2</v>
      </c>
      <c r="X51" s="408">
        <f t="shared" si="15"/>
        <v>0</v>
      </c>
      <c r="Y51" s="408">
        <f t="shared" si="16"/>
        <v>86.11</v>
      </c>
      <c r="Z51" s="408">
        <f t="shared" si="17"/>
        <v>0</v>
      </c>
      <c r="AA51" s="408" t="e">
        <f t="shared" si="18"/>
        <v>#DIV/0!</v>
      </c>
    </row>
    <row r="52" spans="1:27" ht="10.8" thickBot="1" x14ac:dyDescent="0.25">
      <c r="A52" s="200" t="s">
        <v>596</v>
      </c>
      <c r="B52" s="201" t="s">
        <v>597</v>
      </c>
      <c r="C52" s="201" t="s">
        <v>597</v>
      </c>
      <c r="D52" s="201" t="s">
        <v>597</v>
      </c>
      <c r="E52" s="201" t="s">
        <v>597</v>
      </c>
      <c r="F52" s="201" t="s">
        <v>597</v>
      </c>
      <c r="G52" s="201" t="s">
        <v>597</v>
      </c>
      <c r="H52" s="201" t="s">
        <v>597</v>
      </c>
      <c r="I52" s="202" t="s">
        <v>597</v>
      </c>
      <c r="J52" s="202" t="s">
        <v>597</v>
      </c>
      <c r="K52" s="203">
        <f>SUM(K45:K51)</f>
        <v>3149</v>
      </c>
      <c r="L52" s="204">
        <f>SUM(L45:L51)</f>
        <v>227740.37</v>
      </c>
      <c r="M52" s="555"/>
      <c r="N52" s="169" t="s">
        <v>597</v>
      </c>
      <c r="P52" s="171"/>
      <c r="Q52" s="167"/>
      <c r="R52" s="203">
        <f>SUM(R45:R51)</f>
        <v>227693.87</v>
      </c>
      <c r="S52" s="203">
        <f>SUM(S45:S51)</f>
        <v>0</v>
      </c>
      <c r="T52" s="203">
        <f>SUM(T45:T51)</f>
        <v>46.5</v>
      </c>
      <c r="U52" s="188"/>
      <c r="X52" s="203">
        <f>SUM(X45:X51)</f>
        <v>0</v>
      </c>
      <c r="Y52" s="203">
        <f>SUM(Y45:Y51)</f>
        <v>87.47</v>
      </c>
      <c r="Z52" s="203">
        <f>SUM(Z45:Z51)</f>
        <v>0</v>
      </c>
      <c r="AA52" s="203" t="e">
        <f>SUM(AA45:AA51)</f>
        <v>#DIV/0!</v>
      </c>
    </row>
    <row r="53" spans="1:27" x14ac:dyDescent="0.2">
      <c r="A53" s="194" t="s">
        <v>629</v>
      </c>
      <c r="B53" s="195"/>
      <c r="C53" s="208"/>
      <c r="D53" s="208"/>
      <c r="E53" s="208"/>
      <c r="F53" s="209"/>
      <c r="G53" s="208"/>
      <c r="H53" s="196"/>
      <c r="I53" s="205"/>
      <c r="J53" s="205"/>
      <c r="K53" s="198"/>
      <c r="L53" s="199"/>
      <c r="M53" s="554"/>
      <c r="N53" s="165"/>
      <c r="Q53" s="167">
        <f t="shared" si="0"/>
        <v>0</v>
      </c>
      <c r="S53" s="166"/>
      <c r="T53" s="166"/>
      <c r="U53" s="188"/>
      <c r="V53" s="166"/>
    </row>
    <row r="54" spans="1:27" x14ac:dyDescent="0.2">
      <c r="A54" s="146" t="s">
        <v>610</v>
      </c>
      <c r="B54" s="85">
        <v>0</v>
      </c>
      <c r="C54" s="89">
        <v>0.25</v>
      </c>
      <c r="D54" s="89">
        <v>0.75</v>
      </c>
      <c r="E54" s="89">
        <v>0</v>
      </c>
      <c r="F54" s="32">
        <f>ROUND(Costs!$B$3*B54+Costs!$B$4*C54+Costs!$B$5*D54+Costs!$B$6*E54,2)</f>
        <v>78.819999999999993</v>
      </c>
      <c r="G54" s="32" t="str">
        <f>Costs!$B$62</f>
        <v xml:space="preserve"> </v>
      </c>
      <c r="H54" s="32">
        <f>Costs!$B$16</f>
        <v>0</v>
      </c>
      <c r="I54" s="86">
        <f>ROUND((O54*(Universe!C$6)),0)</f>
        <v>0</v>
      </c>
      <c r="J54" s="86">
        <f>ROUND((P54*Universe!C$2),0)</f>
        <v>0</v>
      </c>
      <c r="K54" s="87">
        <f>ROUND((B54+C54+D54+E54)*(I54+J54),2)</f>
        <v>0</v>
      </c>
      <c r="L54" s="32">
        <f>(I54+J54)*SUM(F54:H54)</f>
        <v>0</v>
      </c>
      <c r="M54" s="555"/>
      <c r="N54" s="165" t="e">
        <f>L54/(I54+J54)</f>
        <v>#DIV/0!</v>
      </c>
      <c r="O54" s="167">
        <v>0</v>
      </c>
      <c r="P54" s="167">
        <v>0.85</v>
      </c>
      <c r="Q54" s="167">
        <f t="shared" si="0"/>
        <v>0</v>
      </c>
      <c r="R54" s="168">
        <f>F54*(I54+J54)</f>
        <v>0</v>
      </c>
      <c r="S54" s="168">
        <f>G54*(I54+J54)</f>
        <v>0</v>
      </c>
      <c r="T54" s="168">
        <f>H54*(I54+J54)</f>
        <v>0</v>
      </c>
      <c r="U54" s="188">
        <f>ROUND(((I54)*($B54+$C54+$D54+$E54))/(Universe!$C$6),2)</f>
        <v>0</v>
      </c>
      <c r="V54" s="188" t="e">
        <f>ROUND(((J54)*($B54+$C54+$D54+$E54))/(Universe!$C$2),2)</f>
        <v>#DIV/0!</v>
      </c>
      <c r="W54" s="167">
        <v>2</v>
      </c>
      <c r="X54" s="408">
        <f>IF(W54=1,U54,0)</f>
        <v>0</v>
      </c>
      <c r="Y54" s="408">
        <f>IF(W54=2,U54,0)</f>
        <v>0</v>
      </c>
      <c r="Z54" s="408">
        <f>IF(W54=1,V54,0)</f>
        <v>0</v>
      </c>
      <c r="AA54" s="408" t="e">
        <f>IF(W54=2,V54,0)</f>
        <v>#DIV/0!</v>
      </c>
    </row>
    <row r="55" spans="1:27" x14ac:dyDescent="0.2">
      <c r="A55" s="146" t="s">
        <v>619</v>
      </c>
      <c r="B55" s="85">
        <v>0</v>
      </c>
      <c r="C55" s="89">
        <v>0.5</v>
      </c>
      <c r="D55" s="89">
        <v>2</v>
      </c>
      <c r="E55" s="89">
        <v>0.5</v>
      </c>
      <c r="F55" s="32">
        <f>ROUND(Costs!$B$3*B55+Costs!$B$4*C55+Costs!$B$5*D55+Costs!$B$6*E55,2)</f>
        <v>215.78</v>
      </c>
      <c r="G55" s="32" t="str">
        <f>Costs!$B$62</f>
        <v xml:space="preserve"> </v>
      </c>
      <c r="H55" s="32">
        <f>Costs!$B$16</f>
        <v>0</v>
      </c>
      <c r="I55" s="86">
        <f>ROUND((O55*(Universe!C$6)),0)</f>
        <v>31</v>
      </c>
      <c r="J55" s="86">
        <f>ROUND((P55*Universe!C$2),0)</f>
        <v>0</v>
      </c>
      <c r="K55" s="87">
        <f>ROUND((B55+C55+D55+E55)*(I55+J55),2)</f>
        <v>93</v>
      </c>
      <c r="L55" s="32">
        <f>(I55+J55)*SUM(F55:H55)</f>
        <v>6689.18</v>
      </c>
      <c r="M55" s="555"/>
      <c r="N55" s="165">
        <f>L55/(I55+J55)</f>
        <v>215.78</v>
      </c>
      <c r="O55" s="167">
        <v>0.85</v>
      </c>
      <c r="P55" s="167">
        <v>0.85</v>
      </c>
      <c r="Q55" s="167">
        <f t="shared" si="0"/>
        <v>6689.18</v>
      </c>
      <c r="R55" s="168">
        <f>F55*(I55+J55)</f>
        <v>6689.18</v>
      </c>
      <c r="S55" s="168">
        <f>G55*(I55+J55)</f>
        <v>0</v>
      </c>
      <c r="T55" s="168">
        <f>H55*(I55+J55)</f>
        <v>0</v>
      </c>
      <c r="U55" s="188">
        <f>ROUND(((I55)*($B55+$C55+$D55+$E55))/(Universe!$C$6),2)</f>
        <v>2.58</v>
      </c>
      <c r="V55" s="188" t="e">
        <f>ROUND(((J55)*($B55+$C55+$D55+$E55))/(Universe!$C$2),2)</f>
        <v>#DIV/0!</v>
      </c>
      <c r="W55" s="167">
        <v>2</v>
      </c>
      <c r="X55" s="408">
        <f>IF(W55=1,U55,0)</f>
        <v>0</v>
      </c>
      <c r="Y55" s="408">
        <f>IF(W55=2,U55,0)</f>
        <v>2.58</v>
      </c>
      <c r="Z55" s="408">
        <f>IF(W55=1,V55,0)</f>
        <v>0</v>
      </c>
      <c r="AA55" s="408" t="e">
        <f>IF(W55=2,V55,0)</f>
        <v>#DIV/0!</v>
      </c>
    </row>
    <row r="56" spans="1:27" x14ac:dyDescent="0.2">
      <c r="A56" s="224" t="s">
        <v>534</v>
      </c>
      <c r="B56" s="225">
        <v>0</v>
      </c>
      <c r="C56" s="380">
        <v>0</v>
      </c>
      <c r="D56" s="380">
        <v>0</v>
      </c>
      <c r="E56" s="380">
        <v>80</v>
      </c>
      <c r="F56" s="226">
        <f>ROUND(Costs!$B$3*B56+Costs!$B$4*C56+Costs!$B$5*D56+Costs!$B$6*E56,2)</f>
        <v>3493.6</v>
      </c>
      <c r="G56" s="226" t="str">
        <f>Costs!$B$62</f>
        <v xml:space="preserve"> </v>
      </c>
      <c r="H56" s="226">
        <f>Costs!$B$17</f>
        <v>1.5</v>
      </c>
      <c r="I56" s="381">
        <f>ROUND((O56*(Universe!C$8)),0)</f>
        <v>1</v>
      </c>
      <c r="J56" s="381">
        <f>Universe!C32</f>
        <v>0</v>
      </c>
      <c r="K56" s="227">
        <f>ROUND((B56+C56+D56+E56)*(I56+J56),2)</f>
        <v>80</v>
      </c>
      <c r="L56" s="226">
        <f>(I56+J56)*SUM(F56:H56)</f>
        <v>3495.1</v>
      </c>
      <c r="M56" s="165"/>
      <c r="N56" s="165">
        <f>L56/(I56+J56)</f>
        <v>3495.1</v>
      </c>
      <c r="O56" s="167">
        <v>0.85</v>
      </c>
      <c r="P56" s="167">
        <v>0.85</v>
      </c>
      <c r="Q56" s="167">
        <f t="shared" si="0"/>
        <v>3495.1</v>
      </c>
      <c r="R56" s="168">
        <f>F56*(I56+J56)</f>
        <v>3493.6</v>
      </c>
      <c r="S56" s="168">
        <f>G56*(I56+J56)</f>
        <v>0</v>
      </c>
      <c r="T56" s="168">
        <f>H56*(I56+J56)</f>
        <v>1.5</v>
      </c>
      <c r="U56" s="188">
        <f>ROUND(((I56)*($B56+$C56+$D56+$E56))/(Universe!$C$8),2)</f>
        <v>80</v>
      </c>
      <c r="V56" s="188" t="e">
        <f>ROUND(((J56)*($B56+$C56+$D56+$E56))/(Universe!$C$2),2)</f>
        <v>#DIV/0!</v>
      </c>
      <c r="W56" s="167">
        <v>2</v>
      </c>
      <c r="X56" s="408">
        <f>IF(W56=1,U56,0)</f>
        <v>0</v>
      </c>
      <c r="Y56" s="408">
        <f>IF(W56=2,U56,0)</f>
        <v>80</v>
      </c>
      <c r="Z56" s="408">
        <f>IF(W56=1,V56,0)</f>
        <v>0</v>
      </c>
      <c r="AA56" s="408" t="e">
        <f>IF(W56=2,V56,0)</f>
        <v>#DIV/0!</v>
      </c>
    </row>
    <row r="57" spans="1:27" ht="10.8" thickBot="1" x14ac:dyDescent="0.25">
      <c r="A57" s="224" t="s">
        <v>535</v>
      </c>
      <c r="B57" s="225">
        <v>0</v>
      </c>
      <c r="C57" s="380">
        <v>0</v>
      </c>
      <c r="D57" s="380">
        <v>0</v>
      </c>
      <c r="E57" s="380">
        <v>4</v>
      </c>
      <c r="F57" s="226">
        <f>ROUND(Costs!$B$3*B57+Costs!$B$4*C57+Costs!$B$5*D57+Costs!$B$6*E57,2)</f>
        <v>174.68</v>
      </c>
      <c r="G57" s="226" t="str">
        <f>Costs!$B$62</f>
        <v xml:space="preserve"> </v>
      </c>
      <c r="H57" s="226">
        <f>Costs!$B$17</f>
        <v>1.5</v>
      </c>
      <c r="I57" s="381">
        <f>ROUND((O57*(Universe!C$6)),0)-I56</f>
        <v>30</v>
      </c>
      <c r="J57" s="381">
        <f>ROUND((P56*Universe!C$2),0)</f>
        <v>0</v>
      </c>
      <c r="K57" s="227">
        <f>ROUND((B57+C57+D57+E57)*(I57+J57),2)</f>
        <v>120</v>
      </c>
      <c r="L57" s="226">
        <f>(I57+J57)*SUM(F57:H57)</f>
        <v>5285.4000000000005</v>
      </c>
      <c r="M57" s="165"/>
      <c r="N57" s="165">
        <f>L57/(I57+J57)</f>
        <v>176.18</v>
      </c>
      <c r="O57" s="167">
        <v>0.85</v>
      </c>
      <c r="P57" s="167">
        <v>0.85</v>
      </c>
      <c r="Q57" s="167">
        <f t="shared" si="0"/>
        <v>5285.4000000000005</v>
      </c>
      <c r="R57" s="168">
        <f>F57*(I57+J57)</f>
        <v>5240.4000000000005</v>
      </c>
      <c r="S57" s="168">
        <f>G57*(I57+J57)</f>
        <v>0</v>
      </c>
      <c r="T57" s="168">
        <f>H57*(I57+J57)</f>
        <v>45</v>
      </c>
      <c r="U57" s="188">
        <f>ROUND(((I57)*($B57+$C57+$D57+$E57))/(Universe!$C$8),2)</f>
        <v>120</v>
      </c>
      <c r="V57" s="188" t="e">
        <f>ROUND(((J57)*($B57+$C57+$D57+$E57))/(Universe!$C$2),2)</f>
        <v>#DIV/0!</v>
      </c>
      <c r="W57" s="167">
        <v>2</v>
      </c>
      <c r="X57" s="408">
        <f>IF(W57=1,U57,0)</f>
        <v>0</v>
      </c>
      <c r="Y57" s="408">
        <f>IF(W57=2,U57,0)</f>
        <v>120</v>
      </c>
      <c r="Z57" s="408">
        <f>IF(W57=1,V57,0)</f>
        <v>0</v>
      </c>
      <c r="AA57" s="408" t="e">
        <f>IF(W57=2,V57,0)</f>
        <v>#DIV/0!</v>
      </c>
    </row>
    <row r="58" spans="1:27" ht="10.8" thickBot="1" x14ac:dyDescent="0.25">
      <c r="A58" s="200" t="s">
        <v>596</v>
      </c>
      <c r="B58" s="201" t="s">
        <v>597</v>
      </c>
      <c r="C58" s="201" t="s">
        <v>597</v>
      </c>
      <c r="D58" s="201" t="s">
        <v>597</v>
      </c>
      <c r="E58" s="201" t="s">
        <v>597</v>
      </c>
      <c r="F58" s="201" t="s">
        <v>597</v>
      </c>
      <c r="G58" s="201" t="s">
        <v>597</v>
      </c>
      <c r="H58" s="201" t="s">
        <v>597</v>
      </c>
      <c r="I58" s="202" t="s">
        <v>597</v>
      </c>
      <c r="J58" s="202" t="s">
        <v>597</v>
      </c>
      <c r="K58" s="203">
        <f>SUM(K54:K57)</f>
        <v>293</v>
      </c>
      <c r="L58" s="204">
        <f>SUM(L54:L57)</f>
        <v>15469.68</v>
      </c>
      <c r="M58" s="555"/>
      <c r="N58" s="169" t="s">
        <v>597</v>
      </c>
      <c r="P58" s="171"/>
      <c r="Q58" s="167"/>
      <c r="R58" s="203">
        <f>SUM(R54:R57)</f>
        <v>15423.18</v>
      </c>
      <c r="S58" s="203">
        <f>SUM(S54:S57)</f>
        <v>0</v>
      </c>
      <c r="T58" s="203">
        <f>SUM(T54:T57)</f>
        <v>46.5</v>
      </c>
      <c r="U58" s="188"/>
      <c r="V58" s="166"/>
      <c r="X58" s="203">
        <f>SUM(X54:X57)</f>
        <v>0</v>
      </c>
      <c r="Y58" s="203">
        <f>SUM(Y54:Y57)</f>
        <v>202.57999999999998</v>
      </c>
      <c r="Z58" s="203">
        <f>SUM(Z54:Z57)</f>
        <v>0</v>
      </c>
      <c r="AA58" s="203" t="e">
        <f>SUM(AA54:AA57)</f>
        <v>#DIV/0!</v>
      </c>
    </row>
    <row r="59" spans="1:27" x14ac:dyDescent="0.2">
      <c r="A59" s="194" t="s">
        <v>536</v>
      </c>
      <c r="B59" s="195"/>
      <c r="C59" s="197"/>
      <c r="D59" s="197"/>
      <c r="E59" s="197"/>
      <c r="F59" s="212"/>
      <c r="G59" s="197"/>
      <c r="H59" s="213"/>
      <c r="I59" s="205"/>
      <c r="J59" s="205"/>
      <c r="K59" s="214"/>
      <c r="L59" s="215"/>
      <c r="M59" s="556"/>
      <c r="N59" s="172"/>
      <c r="Q59" s="167">
        <f t="shared" si="0"/>
        <v>0</v>
      </c>
      <c r="U59" s="188"/>
      <c r="V59" s="166"/>
    </row>
    <row r="60" spans="1:27" x14ac:dyDescent="0.2">
      <c r="A60" s="146" t="s">
        <v>610</v>
      </c>
      <c r="B60" s="85">
        <v>0</v>
      </c>
      <c r="C60" s="89">
        <v>0.25</v>
      </c>
      <c r="D60" s="89">
        <v>0.75</v>
      </c>
      <c r="E60" s="89">
        <v>0</v>
      </c>
      <c r="F60" s="32">
        <f>ROUND(Costs!$B$3*B60+Costs!$B$4*C60+Costs!$B$5*D60+Costs!$B$6*E60,2)</f>
        <v>78.819999999999993</v>
      </c>
      <c r="G60" s="32" t="str">
        <f>Costs!$B$62</f>
        <v xml:space="preserve"> </v>
      </c>
      <c r="H60" s="32">
        <f>Costs!$B$16</f>
        <v>0</v>
      </c>
      <c r="I60" s="86">
        <f>ROUND((O60*(Universe!C$6)),0)</f>
        <v>31</v>
      </c>
      <c r="J60" s="86">
        <f>ROUND((P60*Universe!C$2),0)</f>
        <v>0</v>
      </c>
      <c r="K60" s="87">
        <f>ROUND((B60+C60+D60+E60)*(I60+J60),2)</f>
        <v>31</v>
      </c>
      <c r="L60" s="32">
        <f>(I60+J60)*SUM(F60:H60)</f>
        <v>2443.4199999999996</v>
      </c>
      <c r="M60" s="555"/>
      <c r="N60" s="165">
        <f>L60/(I60+J60)</f>
        <v>78.819999999999993</v>
      </c>
      <c r="O60" s="167">
        <v>0.85</v>
      </c>
      <c r="P60" s="167">
        <v>0</v>
      </c>
      <c r="Q60" s="167">
        <f t="shared" si="0"/>
        <v>2443.4199999999996</v>
      </c>
      <c r="R60" s="168">
        <f>F60*(I60+J60)</f>
        <v>2443.4199999999996</v>
      </c>
      <c r="S60" s="168">
        <f>G60*(I60+J60)</f>
        <v>0</v>
      </c>
      <c r="T60" s="168">
        <f>H60*(I60+J60)</f>
        <v>0</v>
      </c>
      <c r="U60" s="188">
        <f>ROUND(((I60)*($B60+$C60+$D60+$E60))/(Universe!$C$6),2)</f>
        <v>0.86</v>
      </c>
      <c r="V60" s="188" t="e">
        <f>ROUND(((J60)*($B60+$C60+$D60+$E60))/(Universe!$C$2),2)</f>
        <v>#DIV/0!</v>
      </c>
      <c r="W60" s="167">
        <v>2</v>
      </c>
      <c r="X60" s="408">
        <f>IF(W60=1,U60,0)</f>
        <v>0</v>
      </c>
      <c r="Y60" s="408">
        <f>IF(W60=2,U60,0)</f>
        <v>0.86</v>
      </c>
      <c r="Z60" s="408">
        <f>IF(W60=1,V60,0)</f>
        <v>0</v>
      </c>
      <c r="AA60" s="408" t="e">
        <f>IF(W60=2,V60,0)</f>
        <v>#DIV/0!</v>
      </c>
    </row>
    <row r="61" spans="1:27" x14ac:dyDescent="0.2">
      <c r="A61" s="146" t="s">
        <v>630</v>
      </c>
      <c r="B61" s="85">
        <v>0</v>
      </c>
      <c r="C61" s="89">
        <v>1</v>
      </c>
      <c r="D61" s="89">
        <v>40</v>
      </c>
      <c r="E61" s="89">
        <v>1</v>
      </c>
      <c r="F61" s="32">
        <f>ROUND(Costs!$B$3*B61+Costs!$B$4*C61+Costs!$B$5*D61+Costs!$B$6*E61,2)</f>
        <v>3045.52</v>
      </c>
      <c r="G61" s="32" t="str">
        <f>Costs!$B$62</f>
        <v xml:space="preserve"> </v>
      </c>
      <c r="H61" s="32">
        <f>Costs!$B$16</f>
        <v>0</v>
      </c>
      <c r="I61" s="86">
        <f>ROUND((O61*(Universe!C$6)),0)</f>
        <v>31</v>
      </c>
      <c r="J61" s="86">
        <f>ROUND((P61*Universe!C$2),0)</f>
        <v>0</v>
      </c>
      <c r="K61" s="87">
        <f>ROUND((B61+C61+D61+E61)*(I61+J61),2)</f>
        <v>1302</v>
      </c>
      <c r="L61" s="32">
        <f>(I61+J61)*SUM(F61:H61)</f>
        <v>94411.12</v>
      </c>
      <c r="M61" s="555"/>
      <c r="N61" s="165">
        <f>L61/(I61+J61)</f>
        <v>3045.52</v>
      </c>
      <c r="O61" s="167">
        <v>0.85</v>
      </c>
      <c r="P61" s="167">
        <v>0</v>
      </c>
      <c r="Q61" s="167">
        <f t="shared" si="0"/>
        <v>94411.12</v>
      </c>
      <c r="R61" s="168">
        <f>F61*(I61+J61)</f>
        <v>94411.12</v>
      </c>
      <c r="S61" s="168">
        <f>G61*(I61+J61)</f>
        <v>0</v>
      </c>
      <c r="T61" s="168">
        <f>H61*(I61+J61)</f>
        <v>0</v>
      </c>
      <c r="U61" s="188">
        <f>ROUND(((I61)*($B61+$C61+$D61+$E61))/(Universe!$C$6),2)</f>
        <v>36.17</v>
      </c>
      <c r="V61" s="188" t="e">
        <f>ROUND(((J61)*($B61+$C61+$D61+$E61))/(Universe!$C$2),2)</f>
        <v>#DIV/0!</v>
      </c>
      <c r="W61" s="167">
        <v>2</v>
      </c>
      <c r="X61" s="408">
        <f>IF(W61=1,U61,0)</f>
        <v>0</v>
      </c>
      <c r="Y61" s="408">
        <f>IF(W61=2,U61,0)</f>
        <v>36.17</v>
      </c>
      <c r="Z61" s="408">
        <f>IF(W61=1,V61,0)</f>
        <v>0</v>
      </c>
      <c r="AA61" s="408" t="e">
        <f>IF(W61=2,V61,0)</f>
        <v>#DIV/0!</v>
      </c>
    </row>
    <row r="62" spans="1:27" ht="10.8" thickBot="1" x14ac:dyDescent="0.25">
      <c r="A62" s="189" t="s">
        <v>631</v>
      </c>
      <c r="B62" s="190">
        <v>0</v>
      </c>
      <c r="C62" s="207">
        <v>0</v>
      </c>
      <c r="D62" s="207">
        <v>0</v>
      </c>
      <c r="E62" s="207">
        <v>1</v>
      </c>
      <c r="F62" s="191">
        <f>ROUND(Costs!$B$3*B62+Costs!$B$4*C62+Costs!$B$5*D62+Costs!$B$6*E62,2)</f>
        <v>43.67</v>
      </c>
      <c r="G62" s="191" t="str">
        <f>Costs!$B$62</f>
        <v xml:space="preserve"> </v>
      </c>
      <c r="H62" s="191">
        <f>Costs!$B$17</f>
        <v>1.5</v>
      </c>
      <c r="I62" s="192">
        <f>ROUND((O62*(Universe!C$6)),0)</f>
        <v>31</v>
      </c>
      <c r="J62" s="192">
        <f>ROUND((P62*Universe!C$2),0)</f>
        <v>0</v>
      </c>
      <c r="K62" s="193">
        <f>ROUND((B62+C62+D62+E62)*(I62+J62),2)</f>
        <v>31</v>
      </c>
      <c r="L62" s="191">
        <f>(I62+J62)*SUM(F62:H62)</f>
        <v>1400.27</v>
      </c>
      <c r="M62" s="555"/>
      <c r="N62" s="165">
        <f>L62/(I62+J62)</f>
        <v>45.17</v>
      </c>
      <c r="O62" s="167">
        <v>0.85</v>
      </c>
      <c r="P62" s="167">
        <v>0</v>
      </c>
      <c r="Q62" s="167">
        <f t="shared" si="0"/>
        <v>1400.27</v>
      </c>
      <c r="R62" s="168">
        <f>F62*(I62+J62)</f>
        <v>1353.77</v>
      </c>
      <c r="S62" s="168">
        <f>G62*(I62+J62)</f>
        <v>0</v>
      </c>
      <c r="T62" s="168">
        <f>H62*(I62+J62)</f>
        <v>46.5</v>
      </c>
      <c r="U62" s="188">
        <f>ROUND(((I62)*($B62+$C62+$D62+$E62))/(Universe!$C$6),2)</f>
        <v>0.86</v>
      </c>
      <c r="V62" s="188" t="e">
        <f>ROUND(((J62)*($B62+$C62+$D62+$E62))/(Universe!$C$2),2)</f>
        <v>#DIV/0!</v>
      </c>
      <c r="W62" s="167">
        <v>2</v>
      </c>
      <c r="X62" s="408">
        <f>IF(W62=1,U62,0)</f>
        <v>0</v>
      </c>
      <c r="Y62" s="408">
        <f>IF(W62=2,U62,0)</f>
        <v>0.86</v>
      </c>
      <c r="Z62" s="408">
        <f>IF(W62=1,V62,0)</f>
        <v>0</v>
      </c>
      <c r="AA62" s="408" t="e">
        <f>IF(W62=2,V62,0)</f>
        <v>#DIV/0!</v>
      </c>
    </row>
    <row r="63" spans="1:27" ht="10.8" thickBot="1" x14ac:dyDescent="0.25">
      <c r="A63" s="200" t="s">
        <v>596</v>
      </c>
      <c r="B63" s="201" t="s">
        <v>597</v>
      </c>
      <c r="C63" s="201" t="s">
        <v>597</v>
      </c>
      <c r="D63" s="201" t="s">
        <v>597</v>
      </c>
      <c r="E63" s="201" t="s">
        <v>597</v>
      </c>
      <c r="F63" s="201" t="s">
        <v>597</v>
      </c>
      <c r="G63" s="201" t="s">
        <v>597</v>
      </c>
      <c r="H63" s="201" t="s">
        <v>597</v>
      </c>
      <c r="I63" s="202" t="s">
        <v>597</v>
      </c>
      <c r="J63" s="202" t="s">
        <v>597</v>
      </c>
      <c r="K63" s="203">
        <f>SUM(K60:K62)</f>
        <v>1364</v>
      </c>
      <c r="L63" s="204">
        <f>SUM(L60:L62)</f>
        <v>98254.81</v>
      </c>
      <c r="M63" s="555"/>
      <c r="N63" s="169" t="s">
        <v>597</v>
      </c>
      <c r="P63" s="171"/>
      <c r="Q63" s="167"/>
      <c r="R63" s="203">
        <f>SUM(R60:R62)</f>
        <v>98208.31</v>
      </c>
      <c r="S63" s="203">
        <f>SUM(S60:S62)</f>
        <v>0</v>
      </c>
      <c r="T63" s="203">
        <f>SUM(T60:T62)</f>
        <v>46.5</v>
      </c>
      <c r="U63" s="188"/>
      <c r="V63" s="166"/>
      <c r="X63" s="203">
        <f>SUM(X60:X62)</f>
        <v>0</v>
      </c>
      <c r="Y63" s="203">
        <f>SUM(Y60:Y62)</f>
        <v>37.89</v>
      </c>
      <c r="Z63" s="203">
        <f>SUM(Z60:Z62)</f>
        <v>0</v>
      </c>
      <c r="AA63" s="203" t="e">
        <f>SUM(AA60:AA62)</f>
        <v>#DIV/0!</v>
      </c>
    </row>
    <row r="64" spans="1:27" ht="10.8" thickBot="1" x14ac:dyDescent="0.25">
      <c r="A64" s="200" t="s">
        <v>567</v>
      </c>
      <c r="B64" s="201" t="s">
        <v>597</v>
      </c>
      <c r="C64" s="201" t="s">
        <v>597</v>
      </c>
      <c r="D64" s="201" t="s">
        <v>597</v>
      </c>
      <c r="E64" s="201" t="s">
        <v>597</v>
      </c>
      <c r="F64" s="201" t="s">
        <v>597</v>
      </c>
      <c r="G64" s="201" t="s">
        <v>597</v>
      </c>
      <c r="H64" s="201" t="s">
        <v>597</v>
      </c>
      <c r="I64" s="202" t="s">
        <v>597</v>
      </c>
      <c r="J64" s="202" t="s">
        <v>597</v>
      </c>
      <c r="K64" s="203">
        <f>K17+K21+K25+K35+K43+K52+K58+K63</f>
        <v>5870.75</v>
      </c>
      <c r="L64" s="204">
        <f>L17+L21+L25+L35+L43+L52+L58+L63</f>
        <v>642035.94999999995</v>
      </c>
      <c r="M64" s="555"/>
      <c r="N64" s="169" t="s">
        <v>597</v>
      </c>
      <c r="P64" s="171"/>
      <c r="Q64" s="171">
        <f>SUM(Q14:Q63)</f>
        <v>642035.95000000019</v>
      </c>
      <c r="R64" s="203">
        <f>R17+R21+R25+R35+R43+R52+R58+R63</f>
        <v>417439.94999999995</v>
      </c>
      <c r="S64" s="203">
        <f>S17+S21+S25+S35+S43+S52+S58+S63</f>
        <v>0</v>
      </c>
      <c r="T64" s="203">
        <f>T17+T21+T25+T35+T43+T52+T58+T63</f>
        <v>224596</v>
      </c>
      <c r="U64" s="188"/>
      <c r="V64" s="166"/>
      <c r="X64" s="203">
        <f>X17+X21+X25+X35+X43+X52+X58+X63</f>
        <v>3.94</v>
      </c>
      <c r="Y64" s="203">
        <f>Y17+Y21+Y25+Y35+Y43+Y52+Y58+Y63</f>
        <v>346.7</v>
      </c>
      <c r="Z64" s="203" t="e">
        <f>Z17+Z21+Z25+Z35+Z43+Z52+Z58+Z63</f>
        <v>#DIV/0!</v>
      </c>
      <c r="AA64" s="203" t="e">
        <f>AA17+AA21+AA25+AA35+AA43+AA52+AA58+AA63</f>
        <v>#DIV/0!</v>
      </c>
    </row>
    <row r="65" spans="1:39" x14ac:dyDescent="0.2">
      <c r="B65" s="18"/>
      <c r="I65" s="17"/>
      <c r="J65" s="17"/>
      <c r="L65" s="36"/>
      <c r="M65" s="36"/>
      <c r="U65" s="188"/>
      <c r="V65" s="166"/>
      <c r="X65" s="410"/>
      <c r="Y65" s="410"/>
    </row>
    <row r="66" spans="1:39" x14ac:dyDescent="0.2">
      <c r="B66" s="18"/>
      <c r="I66" s="17"/>
      <c r="J66" s="17"/>
      <c r="L66" s="36"/>
      <c r="M66" s="36"/>
      <c r="U66" s="188"/>
      <c r="V66" s="166"/>
    </row>
    <row r="67" spans="1:39" x14ac:dyDescent="0.2">
      <c r="B67" s="18"/>
      <c r="I67" s="17"/>
      <c r="J67" s="17"/>
      <c r="L67" s="36"/>
      <c r="M67" s="36"/>
      <c r="U67" s="188"/>
      <c r="V67" s="166"/>
      <c r="X67" s="410"/>
      <c r="Y67" s="410"/>
    </row>
    <row r="68" spans="1:39" x14ac:dyDescent="0.2">
      <c r="B68" s="18"/>
      <c r="I68" s="17"/>
      <c r="J68" s="17"/>
      <c r="L68" s="36"/>
      <c r="M68" s="36"/>
      <c r="U68" s="188"/>
      <c r="V68" s="166"/>
    </row>
    <row r="69" spans="1:39" ht="18" x14ac:dyDescent="0.35">
      <c r="A69" s="568" t="s">
        <v>691</v>
      </c>
      <c r="B69" s="18"/>
      <c r="I69" s="17"/>
      <c r="J69" s="17"/>
      <c r="L69" s="36"/>
      <c r="M69" s="36"/>
      <c r="U69" s="188"/>
      <c r="V69" s="166"/>
    </row>
    <row r="70" spans="1:39" ht="18" x14ac:dyDescent="0.35">
      <c r="A70" s="568" t="s">
        <v>599</v>
      </c>
      <c r="B70" s="18"/>
      <c r="L70" s="36"/>
      <c r="M70" s="36"/>
      <c r="U70" s="188"/>
      <c r="V70" s="166"/>
      <c r="X70" s="410" t="s">
        <v>573</v>
      </c>
    </row>
    <row r="71" spans="1:39" ht="18" x14ac:dyDescent="0.35">
      <c r="A71" s="568" t="s">
        <v>632</v>
      </c>
      <c r="B71" s="18"/>
      <c r="I71" s="17"/>
      <c r="J71" s="17"/>
      <c r="L71" s="36"/>
      <c r="M71" s="36"/>
      <c r="U71" s="188"/>
      <c r="V71" s="166"/>
      <c r="X71" s="411">
        <v>1</v>
      </c>
    </row>
    <row r="72" spans="1:39" ht="18" x14ac:dyDescent="0.35">
      <c r="A72" s="568" t="s">
        <v>601</v>
      </c>
      <c r="B72" s="18"/>
      <c r="I72" s="17"/>
      <c r="J72" s="17"/>
      <c r="L72" s="36"/>
      <c r="M72" s="36"/>
      <c r="U72" s="188"/>
      <c r="V72" s="166"/>
      <c r="X72" s="410" t="s">
        <v>573</v>
      </c>
    </row>
    <row r="73" spans="1:39" x14ac:dyDescent="0.2">
      <c r="I73" s="57" t="s">
        <v>602</v>
      </c>
      <c r="J73" s="58"/>
      <c r="K73" s="64"/>
      <c r="P73" s="161"/>
      <c r="Q73" s="161"/>
      <c r="R73" s="161"/>
      <c r="U73" s="188"/>
      <c r="X73" s="411">
        <v>2</v>
      </c>
    </row>
    <row r="74" spans="1:39" x14ac:dyDescent="0.2">
      <c r="B74" s="57" t="s">
        <v>576</v>
      </c>
      <c r="C74" s="58"/>
      <c r="D74" s="58"/>
      <c r="E74" s="58"/>
      <c r="F74" s="61"/>
      <c r="G74" s="58"/>
      <c r="H74" s="60"/>
      <c r="I74" s="57" t="s">
        <v>593</v>
      </c>
      <c r="J74" s="58"/>
      <c r="K74" s="562" t="s">
        <v>577</v>
      </c>
      <c r="L74" s="563"/>
      <c r="M74" s="63"/>
      <c r="P74" s="161"/>
      <c r="Q74" s="161"/>
      <c r="R74" s="161"/>
      <c r="U74" s="188"/>
      <c r="V74" s="166"/>
    </row>
    <row r="75" spans="1:39" x14ac:dyDescent="0.2">
      <c r="B75" s="54"/>
      <c r="C75" s="51"/>
      <c r="D75" s="51"/>
      <c r="E75" s="51"/>
      <c r="F75" s="52"/>
      <c r="G75" s="51"/>
      <c r="H75" s="53"/>
      <c r="I75" s="55"/>
      <c r="J75" s="56"/>
      <c r="K75" s="67"/>
      <c r="L75" s="56"/>
      <c r="M75" s="33"/>
      <c r="P75" s="162"/>
      <c r="Q75" s="162"/>
      <c r="R75" s="162"/>
      <c r="U75" s="188"/>
      <c r="V75" s="166"/>
    </row>
    <row r="76" spans="1:39" x14ac:dyDescent="0.2">
      <c r="B76" s="19" t="s">
        <v>569</v>
      </c>
      <c r="C76" s="19" t="s">
        <v>570</v>
      </c>
      <c r="D76" s="19" t="s">
        <v>571</v>
      </c>
      <c r="E76" s="19" t="s">
        <v>572</v>
      </c>
      <c r="F76" s="28" t="s">
        <v>578</v>
      </c>
      <c r="G76" s="19" t="s">
        <v>579</v>
      </c>
      <c r="K76" s="68" t="s">
        <v>580</v>
      </c>
      <c r="L76" s="35" t="s">
        <v>580</v>
      </c>
      <c r="M76" s="35"/>
      <c r="N76" s="173"/>
      <c r="S76" s="173"/>
      <c r="T76" s="173"/>
      <c r="U76" s="188"/>
      <c r="V76" s="166"/>
    </row>
    <row r="77" spans="1:39" x14ac:dyDescent="0.2">
      <c r="B77" s="10">
        <f>Costs!$B$3</f>
        <v>164.9</v>
      </c>
      <c r="C77" s="10">
        <f>Costs!$B$4</f>
        <v>97.45</v>
      </c>
      <c r="D77" s="10">
        <f>Costs!$B$5</f>
        <v>72.61</v>
      </c>
      <c r="E77" s="10">
        <f>Costs!$B$6</f>
        <v>43.67</v>
      </c>
      <c r="F77" s="28" t="s">
        <v>583</v>
      </c>
      <c r="G77" s="19" t="s">
        <v>584</v>
      </c>
      <c r="H77" s="35" t="s">
        <v>585</v>
      </c>
      <c r="J77" s="19" t="s">
        <v>604</v>
      </c>
      <c r="K77" s="68" t="s">
        <v>582</v>
      </c>
      <c r="L77" s="35" t="s">
        <v>583</v>
      </c>
      <c r="M77" s="35"/>
      <c r="N77" s="173"/>
      <c r="S77" s="173"/>
      <c r="T77" s="173"/>
      <c r="U77" s="188"/>
      <c r="V77" s="166"/>
    </row>
    <row r="78" spans="1:39" x14ac:dyDescent="0.2">
      <c r="A78" s="20" t="s">
        <v>588</v>
      </c>
      <c r="B78" s="19" t="s">
        <v>590</v>
      </c>
      <c r="C78" s="19" t="s">
        <v>590</v>
      </c>
      <c r="D78" s="19" t="s">
        <v>590</v>
      </c>
      <c r="E78" s="19" t="s">
        <v>590</v>
      </c>
      <c r="F78" s="28" t="s">
        <v>607</v>
      </c>
      <c r="G78" s="19" t="s">
        <v>592</v>
      </c>
      <c r="H78" s="35" t="s">
        <v>592</v>
      </c>
      <c r="I78" s="19" t="s">
        <v>574</v>
      </c>
      <c r="J78" s="19" t="s">
        <v>606</v>
      </c>
      <c r="K78" s="68" t="s">
        <v>591</v>
      </c>
      <c r="L78" s="35" t="s">
        <v>591</v>
      </c>
      <c r="M78" s="35"/>
      <c r="N78" s="173"/>
      <c r="S78" s="173"/>
      <c r="T78" s="173"/>
      <c r="U78" s="188"/>
      <c r="V78" s="166"/>
    </row>
    <row r="79" spans="1:39" x14ac:dyDescent="0.2">
      <c r="A79" s="148" t="s">
        <v>287</v>
      </c>
      <c r="B79" s="149"/>
      <c r="C79" s="150"/>
      <c r="D79" s="150"/>
      <c r="E79" s="150"/>
      <c r="F79" s="153"/>
      <c r="G79" s="153"/>
      <c r="H79" s="153"/>
      <c r="I79" s="154"/>
      <c r="J79" s="154"/>
      <c r="K79" s="157"/>
      <c r="L79" s="158"/>
      <c r="M79" s="556"/>
      <c r="N79" s="172"/>
      <c r="U79" s="188"/>
      <c r="V79" s="166"/>
    </row>
    <row r="80" spans="1:39" ht="20.399999999999999" x14ac:dyDescent="0.2">
      <c r="A80" s="146" t="s">
        <v>288</v>
      </c>
      <c r="B80" s="85">
        <v>0</v>
      </c>
      <c r="C80" s="89">
        <v>0</v>
      </c>
      <c r="D80" s="89">
        <v>40</v>
      </c>
      <c r="E80" s="89">
        <v>40</v>
      </c>
      <c r="F80" s="32">
        <f>ROUND(Costs!$B$3*B80+Costs!$B$4*C80+Costs!$B$5*D80+Costs!$B$6*E80,2)</f>
        <v>4651.2</v>
      </c>
      <c r="G80" s="32" t="str">
        <f>Costs!$B$62</f>
        <v xml:space="preserve"> </v>
      </c>
      <c r="H80" s="32">
        <f>Costs!$B$17</f>
        <v>1.5</v>
      </c>
      <c r="I80" s="86">
        <f>ROUND((O80*(Universe!C$6)),0)</f>
        <v>31</v>
      </c>
      <c r="J80" s="86">
        <f>ROUND((P80*Universe!C$2),0)</f>
        <v>0</v>
      </c>
      <c r="K80" s="87">
        <f>ROUND((B80+C80+D80+E80)*(I80+J80),2)</f>
        <v>2480</v>
      </c>
      <c r="L80" s="32">
        <f>(I80+J80)*SUM(F80:H80)</f>
        <v>144233.69999999998</v>
      </c>
      <c r="M80" s="555"/>
      <c r="N80" s="165">
        <f>L80/(I80+J80)</f>
        <v>4652.7</v>
      </c>
      <c r="O80" s="167">
        <v>0.85</v>
      </c>
      <c r="P80" s="167">
        <v>0.85</v>
      </c>
      <c r="Q80" s="167"/>
      <c r="R80" s="168">
        <f>F80*(I80+J80)</f>
        <v>144187.19999999998</v>
      </c>
      <c r="S80" s="168">
        <f>G80*(I80+J80)</f>
        <v>0</v>
      </c>
      <c r="T80" s="168">
        <f>H80*(I80+J80)</f>
        <v>46.5</v>
      </c>
      <c r="U80" s="188">
        <f>ROUND(((I80)*($B80+$C80+$D80+$E80))/(Universe!$C$6),2)</f>
        <v>68.89</v>
      </c>
      <c r="V80" s="188" t="e">
        <f>ROUND(((J80)*($B80+$C80+$D80+$E80))/(Universe!$C$2),2)</f>
        <v>#DIV/0!</v>
      </c>
      <c r="W80" s="167">
        <v>2</v>
      </c>
      <c r="X80" s="408">
        <f>IF(W80=1,U80,0)</f>
        <v>0</v>
      </c>
      <c r="Y80" s="408">
        <f>IF(W80=2,U80,0)</f>
        <v>68.89</v>
      </c>
      <c r="Z80" s="408">
        <f>IF(W80=1,V80,0)</f>
        <v>0</v>
      </c>
      <c r="AA80" s="408" t="e">
        <f>IF(W80=2,V80,0)</f>
        <v>#DIV/0!</v>
      </c>
      <c r="AM80" s="166" t="e">
        <f>#REF!*(I80+J80)</f>
        <v>#REF!</v>
      </c>
    </row>
    <row r="81" spans="1:39" x14ac:dyDescent="0.2">
      <c r="A81" s="148" t="s">
        <v>289</v>
      </c>
      <c r="B81" s="149"/>
      <c r="C81" s="150"/>
      <c r="D81" s="150"/>
      <c r="E81" s="150"/>
      <c r="F81" s="153"/>
      <c r="G81" s="153"/>
      <c r="H81" s="153"/>
      <c r="I81" s="154"/>
      <c r="J81" s="154"/>
      <c r="K81" s="155"/>
      <c r="L81" s="158"/>
      <c r="M81" s="556"/>
      <c r="N81" s="172"/>
      <c r="O81" s="167"/>
      <c r="P81" s="167"/>
      <c r="U81" s="188"/>
      <c r="V81" s="166"/>
    </row>
    <row r="82" spans="1:39" ht="20.399999999999999" x14ac:dyDescent="0.2">
      <c r="A82" s="146" t="s">
        <v>288</v>
      </c>
      <c r="B82" s="85">
        <v>0</v>
      </c>
      <c r="C82" s="89">
        <v>0</v>
      </c>
      <c r="D82" s="89">
        <v>0</v>
      </c>
      <c r="E82" s="89">
        <v>20</v>
      </c>
      <c r="F82" s="32">
        <f>ROUND(Costs!$B$3*B82+Costs!$B$4*C82+Costs!$B$5*D82+Costs!$B$6*E82,2)</f>
        <v>873.4</v>
      </c>
      <c r="G82" s="32" t="str">
        <f>Costs!$B$62</f>
        <v xml:space="preserve"> </v>
      </c>
      <c r="H82" s="32">
        <f>Costs!$B$17</f>
        <v>1.5</v>
      </c>
      <c r="I82" s="86">
        <f>ROUND((O82*(Universe!C$6)),0)</f>
        <v>31</v>
      </c>
      <c r="J82" s="86">
        <f>ROUND((P82*Universe!C$2),0)</f>
        <v>0</v>
      </c>
      <c r="K82" s="87">
        <f>ROUND((B82+C82+D82+E82)*(I82+J82),2)</f>
        <v>620</v>
      </c>
      <c r="L82" s="32">
        <f>(I82+J82)*SUM(F82:H82)</f>
        <v>27121.899999999998</v>
      </c>
      <c r="M82" s="555"/>
      <c r="N82" s="165">
        <f>L82/(I82+J82)</f>
        <v>874.9</v>
      </c>
      <c r="O82" s="167">
        <v>0.85</v>
      </c>
      <c r="P82" s="167">
        <v>0.85</v>
      </c>
      <c r="Q82" s="167"/>
      <c r="R82" s="168">
        <f>F82*(I82+J82)</f>
        <v>27075.399999999998</v>
      </c>
      <c r="S82" s="168">
        <f>G82*(I82+J82)</f>
        <v>0</v>
      </c>
      <c r="T82" s="168">
        <f>H82*(I82+J82)</f>
        <v>46.5</v>
      </c>
      <c r="U82" s="188">
        <f>ROUND(((I82)*($B82+$C82+$D82+$E82))/(Universe!$C$6),2)</f>
        <v>17.22</v>
      </c>
      <c r="V82" s="188" t="e">
        <f>ROUND(((J82)*($B82+$C82+$D82+$E82))/(Universe!$C$2),2)</f>
        <v>#DIV/0!</v>
      </c>
      <c r="W82" s="167">
        <v>2</v>
      </c>
      <c r="X82" s="408">
        <f>IF(W82=1,U82,0)</f>
        <v>0</v>
      </c>
      <c r="Y82" s="408">
        <f>IF(W82=2,U82,0)</f>
        <v>17.22</v>
      </c>
      <c r="Z82" s="408">
        <f>IF(W82=1,V82,0)</f>
        <v>0</v>
      </c>
      <c r="AA82" s="408" t="e">
        <f>IF(W82=2,V82,0)</f>
        <v>#DIV/0!</v>
      </c>
      <c r="AM82" s="166" t="e">
        <f>#REF!*(I82+J82)</f>
        <v>#REF!</v>
      </c>
    </row>
    <row r="83" spans="1:39" x14ac:dyDescent="0.2">
      <c r="A83" s="148" t="s">
        <v>634</v>
      </c>
      <c r="B83" s="149"/>
      <c r="C83" s="150"/>
      <c r="D83" s="150"/>
      <c r="E83" s="150"/>
      <c r="F83" s="153"/>
      <c r="G83" s="153"/>
      <c r="H83" s="153"/>
      <c r="I83" s="154"/>
      <c r="J83" s="154"/>
      <c r="K83" s="157"/>
      <c r="L83" s="158"/>
      <c r="M83" s="556"/>
      <c r="N83" s="172"/>
      <c r="U83" s="188"/>
      <c r="V83" s="166"/>
      <c r="AM83" s="166"/>
    </row>
    <row r="84" spans="1:39" ht="20.399999999999999" x14ac:dyDescent="0.2">
      <c r="A84" s="146" t="s">
        <v>288</v>
      </c>
      <c r="B84" s="85">
        <v>0</v>
      </c>
      <c r="C84" s="89">
        <v>0</v>
      </c>
      <c r="D84" s="89">
        <v>0</v>
      </c>
      <c r="E84" s="89">
        <v>4</v>
      </c>
      <c r="F84" s="32">
        <f>ROUND(Costs!$B$3*B84+Costs!$B$4*C84+Costs!$B$5*D84+Costs!$B$6*E84,2)</f>
        <v>174.68</v>
      </c>
      <c r="G84" s="32" t="str">
        <f>Costs!$B$62</f>
        <v xml:space="preserve"> </v>
      </c>
      <c r="H84" s="32">
        <f>Costs!$B$17</f>
        <v>1.5</v>
      </c>
      <c r="I84" s="86">
        <f>ROUND((O84*(Universe!C$6)),0)</f>
        <v>0</v>
      </c>
      <c r="J84" s="86">
        <f>ROUND((P84*Universe!C$2),0)</f>
        <v>0</v>
      </c>
      <c r="K84" s="87">
        <f>ROUND((B84+C84+D84+E84)*(I84+J84),2)</f>
        <v>0</v>
      </c>
      <c r="L84" s="32">
        <f>(I84+J84)*SUM(F84:H84)</f>
        <v>0</v>
      </c>
      <c r="M84" s="555"/>
      <c r="N84" s="165" t="e">
        <f>L84/(I84+J84)</f>
        <v>#DIV/0!</v>
      </c>
      <c r="O84" s="167">
        <v>0.01</v>
      </c>
      <c r="P84" s="167">
        <v>0.01</v>
      </c>
      <c r="Q84" s="167"/>
      <c r="R84" s="168">
        <f>F84*(I84+J84)</f>
        <v>0</v>
      </c>
      <c r="S84" s="168">
        <f>G84*(I84+J84)</f>
        <v>0</v>
      </c>
      <c r="T84" s="168">
        <f>H84*(I84+J84)</f>
        <v>0</v>
      </c>
      <c r="U84" s="188">
        <f>ROUND(((I84)*($B84+$C84+$D84+$E84))/(Universe!$C$6),2)</f>
        <v>0</v>
      </c>
      <c r="V84" s="188" t="e">
        <f>ROUND(((J84)*($B84+$C84+$D84+$E84))/(Universe!$C$2),2)</f>
        <v>#DIV/0!</v>
      </c>
      <c r="W84" s="167">
        <v>2</v>
      </c>
      <c r="X84" s="408">
        <f>IF(W84=1,U84,0)</f>
        <v>0</v>
      </c>
      <c r="Y84" s="408">
        <f>IF(W84=2,U84,0)</f>
        <v>0</v>
      </c>
      <c r="Z84" s="408">
        <f>IF(W84=1,V84,0)</f>
        <v>0</v>
      </c>
      <c r="AA84" s="408" t="e">
        <f>IF(W84=2,V84,0)</f>
        <v>#DIV/0!</v>
      </c>
      <c r="AM84" s="166" t="e">
        <f>#REF!*(I84+J84)</f>
        <v>#REF!</v>
      </c>
    </row>
    <row r="85" spans="1:39" x14ac:dyDescent="0.2">
      <c r="A85" s="148" t="s">
        <v>635</v>
      </c>
      <c r="B85" s="149"/>
      <c r="C85" s="150"/>
      <c r="D85" s="150"/>
      <c r="E85" s="150"/>
      <c r="F85" s="153"/>
      <c r="G85" s="153"/>
      <c r="H85" s="153"/>
      <c r="I85" s="154"/>
      <c r="J85" s="154"/>
      <c r="K85" s="157"/>
      <c r="L85" s="158"/>
      <c r="M85" s="556"/>
      <c r="N85" s="172"/>
      <c r="U85" s="188"/>
      <c r="V85" s="166"/>
      <c r="AM85" s="166"/>
    </row>
    <row r="86" spans="1:39" ht="20.399999999999999" x14ac:dyDescent="0.2">
      <c r="A86" s="146" t="s">
        <v>288</v>
      </c>
      <c r="B86" s="85">
        <v>0</v>
      </c>
      <c r="C86" s="89">
        <v>0</v>
      </c>
      <c r="D86" s="89">
        <v>4</v>
      </c>
      <c r="E86" s="89">
        <v>20</v>
      </c>
      <c r="F86" s="32">
        <f>ROUND(Costs!$B$3*B86+Costs!$B$4*C86+Costs!$B$5*D86+Costs!$B$6*E86,2)</f>
        <v>1163.8399999999999</v>
      </c>
      <c r="G86" s="32" t="str">
        <f>Costs!$B$62</f>
        <v xml:space="preserve"> </v>
      </c>
      <c r="H86" s="32">
        <f>Costs!$B$17</f>
        <v>1.5</v>
      </c>
      <c r="I86" s="86">
        <f>ROUND((O86*(Universe!C$6)),0)</f>
        <v>31</v>
      </c>
      <c r="J86" s="86">
        <f>ROUND((P86*Universe!C$2),0)</f>
        <v>0</v>
      </c>
      <c r="K86" s="87">
        <f>ROUND((B86+C86+D86+E86)*(I86+J86),2)</f>
        <v>744</v>
      </c>
      <c r="L86" s="32">
        <f>(I86+J86)*SUM(F86:H86)</f>
        <v>36125.54</v>
      </c>
      <c r="M86" s="555"/>
      <c r="N86" s="165">
        <f>L86/(I86+J86)</f>
        <v>1165.3399999999999</v>
      </c>
      <c r="O86" s="167">
        <v>0.85</v>
      </c>
      <c r="P86" s="167">
        <v>0.85</v>
      </c>
      <c r="Q86" s="167"/>
      <c r="R86" s="168">
        <f>F86*(I86+J86)</f>
        <v>36079.040000000001</v>
      </c>
      <c r="S86" s="168">
        <f>G86*(I86+J86)</f>
        <v>0</v>
      </c>
      <c r="T86" s="168">
        <f>H86*(I86+J86)</f>
        <v>46.5</v>
      </c>
      <c r="U86" s="188">
        <f>ROUND(((I86)*($B86+$C86+$D86+$E86))/(Universe!$C$6),2)</f>
        <v>20.67</v>
      </c>
      <c r="V86" s="188" t="e">
        <f>ROUND(((J86)*($B86+$C86+$D86+$E86))/(Universe!$C$2),2)</f>
        <v>#DIV/0!</v>
      </c>
      <c r="W86" s="167">
        <v>2</v>
      </c>
      <c r="X86" s="408">
        <f>IF(W86=1,U86,0)</f>
        <v>0</v>
      </c>
      <c r="Y86" s="408">
        <f>IF(W86=2,U86,0)</f>
        <v>20.67</v>
      </c>
      <c r="Z86" s="408">
        <f>IF(W86=1,V86,0)</f>
        <v>0</v>
      </c>
      <c r="AA86" s="408" t="e">
        <f>IF(W86=2,V86,0)</f>
        <v>#DIV/0!</v>
      </c>
      <c r="AM86" s="166" t="e">
        <f>#REF!*(I86+J86)</f>
        <v>#REF!</v>
      </c>
    </row>
    <row r="87" spans="1:39" x14ac:dyDescent="0.2">
      <c r="A87" s="148" t="s">
        <v>290</v>
      </c>
      <c r="B87" s="149"/>
      <c r="C87" s="150"/>
      <c r="D87" s="150"/>
      <c r="E87" s="150"/>
      <c r="F87" s="153"/>
      <c r="G87" s="153"/>
      <c r="H87" s="153"/>
      <c r="I87" s="154"/>
      <c r="J87" s="154"/>
      <c r="K87" s="157"/>
      <c r="L87" s="158"/>
      <c r="M87" s="556"/>
      <c r="N87" s="172"/>
      <c r="U87" s="188"/>
      <c r="V87" s="166"/>
      <c r="AM87" s="166"/>
    </row>
    <row r="88" spans="1:39" ht="20.399999999999999" x14ac:dyDescent="0.2">
      <c r="A88" s="146" t="s">
        <v>288</v>
      </c>
      <c r="B88" s="85">
        <v>0</v>
      </c>
      <c r="C88" s="89">
        <v>0</v>
      </c>
      <c r="D88" s="89">
        <v>0</v>
      </c>
      <c r="E88" s="89">
        <v>2</v>
      </c>
      <c r="F88" s="32">
        <f>ROUND(Costs!$B$3*B88+Costs!$B$4*C88+Costs!$B$5*D88+Costs!$B$6*E88,2)</f>
        <v>87.34</v>
      </c>
      <c r="G88" s="32" t="str">
        <f>Costs!$B$62</f>
        <v xml:space="preserve"> </v>
      </c>
      <c r="H88" s="32">
        <f>Costs!$B$17</f>
        <v>1.5</v>
      </c>
      <c r="I88" s="86">
        <f>ROUND((O88*(Universe!C$6)),0)</f>
        <v>5</v>
      </c>
      <c r="J88" s="86">
        <f>ROUND((P88*Universe!C$2),0)</f>
        <v>0</v>
      </c>
      <c r="K88" s="87">
        <f>ROUND((B88+C88+D88+E88)*(I88+J88),2)</f>
        <v>10</v>
      </c>
      <c r="L88" s="32">
        <f>(I88+J88)*SUM(F88:H88)</f>
        <v>444.20000000000005</v>
      </c>
      <c r="M88" s="555"/>
      <c r="N88" s="165">
        <f>L88/(I88+J88)</f>
        <v>88.84</v>
      </c>
      <c r="O88" s="167">
        <v>0.15</v>
      </c>
      <c r="P88" s="167">
        <v>0.15</v>
      </c>
      <c r="Q88" s="167"/>
      <c r="R88" s="168">
        <f>F88*(I88+J88)</f>
        <v>436.70000000000005</v>
      </c>
      <c r="S88" s="168">
        <f>G88*(I88+J88)</f>
        <v>0</v>
      </c>
      <c r="T88" s="168">
        <f>H88*(I88+J88)</f>
        <v>7.5</v>
      </c>
      <c r="U88" s="188">
        <f>ROUND(((I88)*($B88+$C88+$D88+$E88))/(Universe!$C$6),2)</f>
        <v>0.28000000000000003</v>
      </c>
      <c r="V88" s="188" t="e">
        <f>ROUND(((J88)*($B88+$C88+$D88+$E88))/(Universe!$C$2),2)</f>
        <v>#DIV/0!</v>
      </c>
      <c r="W88" s="167">
        <v>2</v>
      </c>
      <c r="X88" s="408">
        <f>IF(W88=1,U88,0)</f>
        <v>0</v>
      </c>
      <c r="Y88" s="408">
        <f>IF(W88=2,U88,0)</f>
        <v>0.28000000000000003</v>
      </c>
      <c r="Z88" s="408">
        <f>IF(W88=1,V88,0)</f>
        <v>0</v>
      </c>
      <c r="AA88" s="408" t="e">
        <f>IF(W88=2,V88,0)</f>
        <v>#DIV/0!</v>
      </c>
      <c r="AM88" s="166" t="e">
        <f>#REF!*(I88+J88)</f>
        <v>#REF!</v>
      </c>
    </row>
    <row r="89" spans="1:39" x14ac:dyDescent="0.2">
      <c r="A89" s="148" t="s">
        <v>291</v>
      </c>
      <c r="B89" s="149"/>
      <c r="C89" s="150"/>
      <c r="D89" s="150"/>
      <c r="E89" s="150"/>
      <c r="F89" s="153"/>
      <c r="G89" s="153"/>
      <c r="H89" s="153"/>
      <c r="I89" s="154"/>
      <c r="J89" s="154"/>
      <c r="K89" s="157"/>
      <c r="L89" s="158"/>
      <c r="M89" s="556"/>
      <c r="N89" s="172"/>
      <c r="U89" s="188"/>
      <c r="V89" s="166"/>
      <c r="AM89" s="166"/>
    </row>
    <row r="90" spans="1:39" ht="20.399999999999999" x14ac:dyDescent="0.2">
      <c r="A90" s="146" t="s">
        <v>288</v>
      </c>
      <c r="B90" s="85">
        <v>0</v>
      </c>
      <c r="C90" s="89">
        <v>0</v>
      </c>
      <c r="D90" s="89">
        <v>1</v>
      </c>
      <c r="E90" s="89">
        <v>2</v>
      </c>
      <c r="F90" s="32">
        <f>ROUND(Costs!$B$3*B90+Costs!$B$4*C90+Costs!$B$5*D90+Costs!$B$6*E90,2)</f>
        <v>159.94999999999999</v>
      </c>
      <c r="G90" s="32" t="str">
        <f>Costs!$B$62</f>
        <v xml:space="preserve"> </v>
      </c>
      <c r="H90" s="32">
        <f>Costs!$B$17</f>
        <v>1.5</v>
      </c>
      <c r="I90" s="86">
        <f>ROUND((O90*(Universe!C$6)),0)</f>
        <v>31</v>
      </c>
      <c r="J90" s="86">
        <f>ROUND((P90*Universe!C$2),0)</f>
        <v>0</v>
      </c>
      <c r="K90" s="87">
        <f>ROUND((B90+C90+D90+E90)*(I90+J90),2)</f>
        <v>93</v>
      </c>
      <c r="L90" s="32">
        <f>(I90+J90)*SUM(F90:H90)</f>
        <v>5004.95</v>
      </c>
      <c r="M90" s="555"/>
      <c r="N90" s="165">
        <f>L90/(I90+J90)</f>
        <v>161.44999999999999</v>
      </c>
      <c r="O90" s="167">
        <v>0.85</v>
      </c>
      <c r="P90" s="167">
        <v>0.85</v>
      </c>
      <c r="Q90" s="167"/>
      <c r="R90" s="168">
        <f>F90*(I90+J90)</f>
        <v>4958.45</v>
      </c>
      <c r="S90" s="168">
        <f>G90*(I90+J90)</f>
        <v>0</v>
      </c>
      <c r="T90" s="168">
        <f>H90*(I90+J90)</f>
        <v>46.5</v>
      </c>
      <c r="U90" s="188">
        <f>ROUND(((I90)*($B90+$C90+$D90+$E90))/(Universe!$C$6),2)</f>
        <v>2.58</v>
      </c>
      <c r="V90" s="188" t="e">
        <f>ROUND(((J90)*($B90+$C90+$D90+$E90))/(Universe!$C$2),2)</f>
        <v>#DIV/0!</v>
      </c>
      <c r="W90" s="167">
        <v>2</v>
      </c>
      <c r="X90" s="408">
        <f>IF(W90=1,U90,0)</f>
        <v>0</v>
      </c>
      <c r="Y90" s="408">
        <f>IF(W90=2,U90,0)</f>
        <v>2.58</v>
      </c>
      <c r="Z90" s="408">
        <f>IF(W90=1,V90,0)</f>
        <v>0</v>
      </c>
      <c r="AA90" s="408" t="e">
        <f>IF(W90=2,V90,0)</f>
        <v>#DIV/0!</v>
      </c>
      <c r="AM90" s="166" t="e">
        <f>#REF!*(I90+J90)</f>
        <v>#REF!</v>
      </c>
    </row>
    <row r="91" spans="1:39" x14ac:dyDescent="0.2">
      <c r="A91" s="148" t="s">
        <v>636</v>
      </c>
      <c r="B91" s="149"/>
      <c r="C91" s="150"/>
      <c r="D91" s="150"/>
      <c r="E91" s="150"/>
      <c r="F91" s="153"/>
      <c r="G91" s="153"/>
      <c r="H91" s="153"/>
      <c r="I91" s="154"/>
      <c r="J91" s="154"/>
      <c r="K91" s="157"/>
      <c r="L91" s="158"/>
      <c r="M91" s="556"/>
      <c r="N91" s="172"/>
      <c r="U91" s="188"/>
      <c r="V91" s="166"/>
      <c r="AM91" s="166"/>
    </row>
    <row r="92" spans="1:39" ht="20.399999999999999" x14ac:dyDescent="0.2">
      <c r="A92" s="189" t="s">
        <v>288</v>
      </c>
      <c r="B92" s="190">
        <v>0</v>
      </c>
      <c r="C92" s="207">
        <v>0</v>
      </c>
      <c r="D92" s="207">
        <v>1</v>
      </c>
      <c r="E92" s="207">
        <v>2</v>
      </c>
      <c r="F92" s="191">
        <f>ROUND(Costs!$B$3*B92+Costs!$B$4*C92+Costs!$B$5*D92+Costs!$B$6*E92,2)</f>
        <v>159.94999999999999</v>
      </c>
      <c r="G92" s="191" t="str">
        <f>Costs!$B$62</f>
        <v xml:space="preserve"> </v>
      </c>
      <c r="H92" s="191">
        <f>Costs!$B$17</f>
        <v>1.5</v>
      </c>
      <c r="I92" s="192">
        <f>ROUND((O92*(Universe!C$6)),0)</f>
        <v>31</v>
      </c>
      <c r="J92" s="192">
        <f>ROUND((P92*Universe!C$2),0)</f>
        <v>0</v>
      </c>
      <c r="K92" s="193">
        <f>ROUND((B92+C92+D92+E92)*(I92+J92),2)</f>
        <v>93</v>
      </c>
      <c r="L92" s="191">
        <f>(I92+J92)*SUM(F92:H92)</f>
        <v>5004.95</v>
      </c>
      <c r="M92" s="555"/>
      <c r="N92" s="165">
        <f>L92/(I92+J92)</f>
        <v>161.44999999999999</v>
      </c>
      <c r="O92" s="167">
        <v>0.85</v>
      </c>
      <c r="P92" s="167">
        <v>0</v>
      </c>
      <c r="Q92" s="167"/>
      <c r="R92" s="168">
        <f>F92*(I92+J92)</f>
        <v>4958.45</v>
      </c>
      <c r="S92" s="168">
        <f>G92*(I92+J92)</f>
        <v>0</v>
      </c>
      <c r="T92" s="168">
        <f>H92*(I92+J92)</f>
        <v>46.5</v>
      </c>
      <c r="U92" s="188">
        <f>ROUND(((I92)*($B92+$C92+$D92+$E92))/(Universe!$C$6),2)</f>
        <v>2.58</v>
      </c>
      <c r="V92" s="188" t="e">
        <f>ROUND(((J92)*($B92+$C92+$D92+$E92))/(Universe!$C$2),2)</f>
        <v>#DIV/0!</v>
      </c>
      <c r="W92" s="167">
        <v>2</v>
      </c>
      <c r="X92" s="408">
        <f>IF(W92=1,U92,0)</f>
        <v>0</v>
      </c>
      <c r="Y92" s="408">
        <f>IF(W92=2,U92,0)</f>
        <v>2.58</v>
      </c>
      <c r="Z92" s="408">
        <f>IF(W92=1,V92,0)</f>
        <v>0</v>
      </c>
      <c r="AA92" s="408" t="e">
        <f>IF(W92=2,V92,0)</f>
        <v>#DIV/0!</v>
      </c>
      <c r="AM92" s="166" t="e">
        <f>#REF!*(I92+J92)</f>
        <v>#REF!</v>
      </c>
    </row>
    <row r="93" spans="1:39" x14ac:dyDescent="0.2">
      <c r="A93" s="148" t="s">
        <v>633</v>
      </c>
      <c r="B93" s="150"/>
      <c r="C93" s="150"/>
      <c r="D93" s="150"/>
      <c r="E93" s="150"/>
      <c r="F93" s="152"/>
      <c r="G93" s="150"/>
      <c r="H93" s="153"/>
      <c r="I93" s="150"/>
      <c r="J93" s="150"/>
      <c r="K93" s="157"/>
      <c r="L93" s="158"/>
      <c r="M93" s="556"/>
      <c r="N93" s="172"/>
      <c r="U93" s="188"/>
      <c r="V93" s="166"/>
    </row>
    <row r="94" spans="1:39" ht="20.399999999999999" x14ac:dyDescent="0.2">
      <c r="A94" s="146" t="s">
        <v>285</v>
      </c>
      <c r="B94" s="85">
        <v>0</v>
      </c>
      <c r="C94" s="89">
        <v>8</v>
      </c>
      <c r="D94" s="89">
        <v>8</v>
      </c>
      <c r="E94" s="89">
        <v>0</v>
      </c>
      <c r="F94" s="32">
        <f>ROUND(Costs!$B$3*B94+Costs!$B$4*C94+Costs!$B$5*D94+Costs!$B$6*E94,2)</f>
        <v>1360.48</v>
      </c>
      <c r="G94" s="32" t="str">
        <f>Costs!$B$62</f>
        <v xml:space="preserve"> </v>
      </c>
      <c r="H94" s="32">
        <f>Costs!$B$16</f>
        <v>0</v>
      </c>
      <c r="I94" s="86">
        <f>ROUND((O94*(Universe!C$6)),0)</f>
        <v>31</v>
      </c>
      <c r="J94" s="86">
        <f>ROUND((P94*Universe!C$2),0)</f>
        <v>0</v>
      </c>
      <c r="K94" s="87">
        <f>ROUND((B94+C94+D94+E94)*(I94+J94),2)</f>
        <v>496</v>
      </c>
      <c r="L94" s="32">
        <f>(I94+J94)*SUM(F94:H94)</f>
        <v>42174.879999999997</v>
      </c>
      <c r="M94" s="555"/>
      <c r="N94" s="165">
        <f>L94/(I94+J94)</f>
        <v>1360.48</v>
      </c>
      <c r="O94" s="167">
        <v>0.85</v>
      </c>
      <c r="P94" s="167">
        <v>0.85</v>
      </c>
      <c r="Q94" s="167"/>
      <c r="R94" s="168">
        <f>F94*(I94+J94)</f>
        <v>42174.879999999997</v>
      </c>
      <c r="S94" s="168">
        <f>G94*(I94+J94)</f>
        <v>0</v>
      </c>
      <c r="T94" s="168">
        <f>H94*(I94+J94)</f>
        <v>0</v>
      </c>
      <c r="U94" s="188">
        <f>ROUND(((I94)*($B94+$C94+$D94+$E94))/(Universe!$C$6),2)</f>
        <v>13.78</v>
      </c>
      <c r="V94" s="188" t="e">
        <f>ROUND(((J94)*($B94+$C94+$D94+$E94))/(Universe!$C$2),2)</f>
        <v>#DIV/0!</v>
      </c>
      <c r="W94" s="167">
        <v>2</v>
      </c>
      <c r="X94" s="408">
        <f>IF(W94=1,U94,0)</f>
        <v>0</v>
      </c>
      <c r="Y94" s="408">
        <f>IF(W94=2,U94,0)</f>
        <v>13.78</v>
      </c>
      <c r="Z94" s="408">
        <f>IF(W94=1,V94,0)</f>
        <v>0</v>
      </c>
      <c r="AA94" s="408" t="e">
        <f>IF(W94=2,V94,0)</f>
        <v>#DIV/0!</v>
      </c>
      <c r="AM94" s="166" t="e">
        <f>#REF!*(I94+J94)</f>
        <v>#REF!</v>
      </c>
    </row>
    <row r="95" spans="1:39" ht="21" thickBot="1" x14ac:dyDescent="0.25">
      <c r="A95" s="146" t="s">
        <v>286</v>
      </c>
      <c r="B95" s="85">
        <v>0</v>
      </c>
      <c r="C95" s="85">
        <v>0.25</v>
      </c>
      <c r="D95" s="85">
        <v>1</v>
      </c>
      <c r="E95" s="85">
        <v>0.5</v>
      </c>
      <c r="F95" s="32">
        <f>ROUND(Costs!$B$3*B95+Costs!$B$4*C95+Costs!$B$5*D95+Costs!$B$6*E95,2)</f>
        <v>118.81</v>
      </c>
      <c r="G95" s="32" t="str">
        <f>Costs!$B$62</f>
        <v xml:space="preserve"> </v>
      </c>
      <c r="H95" s="32">
        <f>Costs!$B$16</f>
        <v>0</v>
      </c>
      <c r="I95" s="86">
        <f>ROUND((O95*(Universe!C$6)),0)</f>
        <v>0</v>
      </c>
      <c r="J95" s="86">
        <f>ROUND((P95*Universe!C$2),0)</f>
        <v>0</v>
      </c>
      <c r="K95" s="87">
        <f>ROUND((B95+C95+D95+E95)*(I95+J95),2)</f>
        <v>0</v>
      </c>
      <c r="L95" s="32">
        <f>(I95+J95)*SUM(F95:H95)</f>
        <v>0</v>
      </c>
      <c r="M95" s="555"/>
      <c r="N95" s="165" t="e">
        <f>L95/(I95+J95)</f>
        <v>#DIV/0!</v>
      </c>
      <c r="O95" s="167">
        <v>0.01</v>
      </c>
      <c r="P95" s="167">
        <v>0.01</v>
      </c>
      <c r="Q95" s="167"/>
      <c r="R95" s="168">
        <f>F95*(I95+J95)</f>
        <v>0</v>
      </c>
      <c r="S95" s="168">
        <f>G95*(I95+J95)</f>
        <v>0</v>
      </c>
      <c r="T95" s="168">
        <f>H95*(I95+J95)</f>
        <v>0</v>
      </c>
      <c r="U95" s="188">
        <f>ROUND(((I95)*($B95+$C95+$D95+$E95))/(Universe!$C$6),2)</f>
        <v>0</v>
      </c>
      <c r="V95" s="188" t="e">
        <f>ROUND(((J95)*($B95+$C95+$D95+$E95))/(Universe!$C$2),2)</f>
        <v>#DIV/0!</v>
      </c>
      <c r="W95" s="167">
        <v>2</v>
      </c>
      <c r="X95" s="408">
        <f>IF(W95=1,U95,0)</f>
        <v>0</v>
      </c>
      <c r="Y95" s="408">
        <f>IF(W95=2,U95,0)</f>
        <v>0</v>
      </c>
      <c r="Z95" s="408">
        <f>IF(W95=1,V95,0)</f>
        <v>0</v>
      </c>
      <c r="AA95" s="408" t="e">
        <f>IF(W95=2,V95,0)</f>
        <v>#DIV/0!</v>
      </c>
      <c r="AM95" s="166" t="e">
        <f>#REF!*(I95+J95)</f>
        <v>#REF!</v>
      </c>
    </row>
    <row r="96" spans="1:39" ht="10.8" thickBot="1" x14ac:dyDescent="0.25">
      <c r="A96" s="200" t="s">
        <v>567</v>
      </c>
      <c r="B96" s="201" t="s">
        <v>597</v>
      </c>
      <c r="C96" s="201" t="s">
        <v>597</v>
      </c>
      <c r="D96" s="201" t="s">
        <v>597</v>
      </c>
      <c r="E96" s="201" t="s">
        <v>597</v>
      </c>
      <c r="F96" s="201" t="s">
        <v>597</v>
      </c>
      <c r="G96" s="201" t="s">
        <v>597</v>
      </c>
      <c r="H96" s="201" t="s">
        <v>597</v>
      </c>
      <c r="I96" s="202" t="s">
        <v>597</v>
      </c>
      <c r="J96" s="202" t="s">
        <v>597</v>
      </c>
      <c r="K96" s="203">
        <f>SUM(K79:K95)</f>
        <v>4536</v>
      </c>
      <c r="L96" s="204">
        <f>SUM(L79:L95)</f>
        <v>260110.12000000002</v>
      </c>
      <c r="M96" s="555"/>
      <c r="N96" s="169" t="s">
        <v>597</v>
      </c>
      <c r="P96" s="171"/>
      <c r="Q96" s="171"/>
      <c r="R96" s="204">
        <f>SUM(R79:R95)</f>
        <v>259870.12000000002</v>
      </c>
      <c r="S96" s="204">
        <f>SUM(S79:S95)</f>
        <v>0</v>
      </c>
      <c r="T96" s="204">
        <f>SUM(T79:T95)</f>
        <v>240</v>
      </c>
      <c r="U96" s="174"/>
      <c r="V96" s="166"/>
      <c r="X96" s="203">
        <f>SUM(X79:X95)</f>
        <v>0</v>
      </c>
      <c r="Y96" s="203">
        <f>SUM(Y79:Y95)</f>
        <v>126</v>
      </c>
      <c r="Z96" s="203">
        <f>SUM(Z79:Z95)</f>
        <v>0</v>
      </c>
      <c r="AA96" s="203" t="e">
        <f>SUM(AA79:AA95)</f>
        <v>#DIV/0!</v>
      </c>
      <c r="AM96" s="166" t="e">
        <f>SUM(AM79:AM92)</f>
        <v>#REF!</v>
      </c>
    </row>
    <row r="97" spans="1:39" x14ac:dyDescent="0.2">
      <c r="A97" s="147"/>
      <c r="B97" s="18"/>
      <c r="I97" s="17"/>
      <c r="J97" s="17"/>
      <c r="U97" s="188"/>
      <c r="V97" s="166"/>
      <c r="X97" s="410"/>
      <c r="Y97" s="410"/>
    </row>
    <row r="98" spans="1:39" x14ac:dyDescent="0.2">
      <c r="B98" s="18"/>
      <c r="I98" s="17"/>
      <c r="J98" s="17"/>
      <c r="U98" s="188"/>
      <c r="V98" s="166"/>
    </row>
    <row r="99" spans="1:39" x14ac:dyDescent="0.2">
      <c r="B99" s="18"/>
      <c r="I99" s="17"/>
      <c r="J99" s="17"/>
      <c r="U99" s="188"/>
      <c r="V99" s="166"/>
      <c r="X99" s="410"/>
      <c r="Y99" s="410"/>
    </row>
    <row r="100" spans="1:39" x14ac:dyDescent="0.2">
      <c r="B100" s="18"/>
      <c r="I100" s="17"/>
      <c r="J100" s="17"/>
      <c r="U100" s="188"/>
      <c r="V100" s="166"/>
    </row>
    <row r="101" spans="1:39" ht="18" x14ac:dyDescent="0.35">
      <c r="A101" s="568" t="s">
        <v>692</v>
      </c>
      <c r="B101" s="18"/>
      <c r="I101" s="17"/>
      <c r="J101" s="17"/>
      <c r="U101" s="188"/>
      <c r="V101" s="166"/>
      <c r="X101" s="412"/>
      <c r="Y101" s="412"/>
    </row>
    <row r="102" spans="1:39" ht="18" x14ac:dyDescent="0.35">
      <c r="A102" s="568" t="s">
        <v>599</v>
      </c>
      <c r="B102" s="18"/>
      <c r="U102" s="188"/>
      <c r="V102" s="166"/>
    </row>
    <row r="103" spans="1:39" ht="18" x14ac:dyDescent="0.35">
      <c r="A103" s="568" t="s">
        <v>637</v>
      </c>
      <c r="B103" s="18"/>
      <c r="I103" s="17"/>
      <c r="J103" s="17"/>
      <c r="U103" s="188"/>
      <c r="V103" s="166"/>
    </row>
    <row r="104" spans="1:39" ht="18" x14ac:dyDescent="0.35">
      <c r="A104" s="568" t="s">
        <v>601</v>
      </c>
      <c r="B104" s="18"/>
      <c r="I104" s="17"/>
      <c r="J104" s="17"/>
      <c r="U104" s="188"/>
      <c r="V104" s="166"/>
    </row>
    <row r="105" spans="1:39" x14ac:dyDescent="0.2">
      <c r="I105" s="57" t="s">
        <v>602</v>
      </c>
      <c r="J105" s="58"/>
      <c r="K105" s="64"/>
      <c r="P105" s="161"/>
      <c r="Q105" s="161"/>
      <c r="R105" s="161"/>
      <c r="U105" s="188"/>
    </row>
    <row r="106" spans="1:39" x14ac:dyDescent="0.2">
      <c r="B106" s="57" t="s">
        <v>576</v>
      </c>
      <c r="C106" s="58"/>
      <c r="D106" s="58"/>
      <c r="E106" s="58"/>
      <c r="F106" s="61"/>
      <c r="G106" s="58"/>
      <c r="H106" s="60"/>
      <c r="I106" s="57" t="s">
        <v>593</v>
      </c>
      <c r="J106" s="58"/>
      <c r="K106" s="66" t="s">
        <v>577</v>
      </c>
      <c r="L106" s="60"/>
      <c r="M106" s="63"/>
      <c r="P106" s="161"/>
      <c r="Q106" s="161"/>
      <c r="R106" s="161"/>
      <c r="U106" s="188"/>
      <c r="V106" s="166"/>
    </row>
    <row r="107" spans="1:39" x14ac:dyDescent="0.2">
      <c r="B107" s="54"/>
      <c r="C107" s="51"/>
      <c r="D107" s="51"/>
      <c r="E107" s="51"/>
      <c r="F107" s="52"/>
      <c r="G107" s="51"/>
      <c r="H107" s="53"/>
      <c r="I107" s="55"/>
      <c r="J107" s="56"/>
      <c r="K107" s="67"/>
      <c r="L107" s="56"/>
      <c r="M107" s="33"/>
      <c r="P107" s="162"/>
      <c r="Q107" s="162"/>
      <c r="R107" s="162"/>
      <c r="U107" s="188"/>
      <c r="V107" s="166"/>
    </row>
    <row r="108" spans="1:39" x14ac:dyDescent="0.2">
      <c r="B108" s="19" t="s">
        <v>569</v>
      </c>
      <c r="C108" s="19" t="s">
        <v>570</v>
      </c>
      <c r="D108" s="19" t="s">
        <v>571</v>
      </c>
      <c r="E108" s="19" t="s">
        <v>572</v>
      </c>
      <c r="F108" s="28" t="s">
        <v>578</v>
      </c>
      <c r="G108" s="19" t="s">
        <v>579</v>
      </c>
      <c r="K108" s="68" t="s">
        <v>580</v>
      </c>
      <c r="L108" s="35" t="s">
        <v>580</v>
      </c>
      <c r="M108" s="35"/>
      <c r="N108" s="173"/>
      <c r="S108" s="173"/>
      <c r="T108" s="173"/>
      <c r="U108" s="188"/>
      <c r="V108" s="166"/>
    </row>
    <row r="109" spans="1:39" x14ac:dyDescent="0.2">
      <c r="B109" s="10">
        <f>Costs!$B$3</f>
        <v>164.9</v>
      </c>
      <c r="C109" s="10">
        <f>Costs!$B$4</f>
        <v>97.45</v>
      </c>
      <c r="D109" s="10">
        <f>Costs!$B$5</f>
        <v>72.61</v>
      </c>
      <c r="E109" s="10">
        <f>Costs!$B$6</f>
        <v>43.67</v>
      </c>
      <c r="F109" s="28" t="s">
        <v>583</v>
      </c>
      <c r="G109" s="19" t="s">
        <v>584</v>
      </c>
      <c r="H109" s="35" t="s">
        <v>585</v>
      </c>
      <c r="J109" s="19" t="s">
        <v>604</v>
      </c>
      <c r="K109" s="68" t="s">
        <v>582</v>
      </c>
      <c r="L109" s="35" t="s">
        <v>583</v>
      </c>
      <c r="M109" s="35"/>
      <c r="N109" s="173"/>
      <c r="S109" s="173"/>
      <c r="T109" s="173"/>
      <c r="U109" s="188"/>
      <c r="V109" s="166"/>
    </row>
    <row r="110" spans="1:39" x14ac:dyDescent="0.2">
      <c r="A110" s="20" t="s">
        <v>588</v>
      </c>
      <c r="B110" s="19" t="s">
        <v>590</v>
      </c>
      <c r="C110" s="19" t="s">
        <v>590</v>
      </c>
      <c r="D110" s="19" t="s">
        <v>590</v>
      </c>
      <c r="E110" s="19" t="s">
        <v>590</v>
      </c>
      <c r="F110" s="28" t="s">
        <v>607</v>
      </c>
      <c r="G110" s="19" t="s">
        <v>592</v>
      </c>
      <c r="H110" s="35" t="s">
        <v>592</v>
      </c>
      <c r="I110" s="19" t="s">
        <v>574</v>
      </c>
      <c r="J110" s="19" t="s">
        <v>606</v>
      </c>
      <c r="K110" s="68" t="s">
        <v>591</v>
      </c>
      <c r="L110" s="35" t="s">
        <v>591</v>
      </c>
      <c r="M110" s="35"/>
      <c r="N110" s="173"/>
      <c r="S110" s="173"/>
      <c r="T110" s="173"/>
      <c r="U110" s="188"/>
      <c r="V110" s="166"/>
    </row>
    <row r="111" spans="1:39" x14ac:dyDescent="0.2">
      <c r="A111" s="148" t="s">
        <v>537</v>
      </c>
      <c r="B111" s="149"/>
      <c r="C111" s="150"/>
      <c r="D111" s="150"/>
      <c r="E111" s="150"/>
      <c r="F111" s="152"/>
      <c r="G111" s="150"/>
      <c r="H111" s="153"/>
      <c r="I111" s="154"/>
      <c r="J111" s="154"/>
      <c r="K111" s="157"/>
      <c r="L111" s="158"/>
      <c r="M111" s="556"/>
      <c r="N111" s="172"/>
      <c r="U111" s="230" t="s">
        <v>608</v>
      </c>
      <c r="V111" s="231" t="s">
        <v>609</v>
      </c>
      <c r="W111" s="164" t="s">
        <v>573</v>
      </c>
      <c r="AM111" s="166" t="e">
        <f>#REF!*(I111+J111)</f>
        <v>#REF!</v>
      </c>
    </row>
    <row r="112" spans="1:39" x14ac:dyDescent="0.2">
      <c r="A112" s="146" t="s">
        <v>610</v>
      </c>
      <c r="B112" s="85">
        <v>0</v>
      </c>
      <c r="C112" s="89">
        <v>0.25</v>
      </c>
      <c r="D112" s="89">
        <v>0.75</v>
      </c>
      <c r="E112" s="89">
        <v>0</v>
      </c>
      <c r="F112" s="32">
        <f>ROUND(Costs!$B$3*B112+Costs!$B$4*C112+Costs!$B$5*D112+Costs!$B$6*E112,2)</f>
        <v>78.819999999999993</v>
      </c>
      <c r="G112" s="32" t="str">
        <f>Costs!$B$62</f>
        <v xml:space="preserve"> </v>
      </c>
      <c r="H112" s="32">
        <f>Costs!$B$16</f>
        <v>0</v>
      </c>
      <c r="I112" s="86">
        <f>ROUND((O112*(Universe!C$6)),0)</f>
        <v>0</v>
      </c>
      <c r="J112" s="86">
        <f>ROUND((P112*Universe!C$2),0)</f>
        <v>0</v>
      </c>
      <c r="K112" s="87">
        <f t="shared" ref="K112:K117" si="19">ROUND((B112+C112+D112+E112)*(I112+J112),2)</f>
        <v>0</v>
      </c>
      <c r="L112" s="32">
        <f t="shared" ref="L112:L117" si="20">(I112+J112)*SUM(F112:H112)</f>
        <v>0</v>
      </c>
      <c r="M112" s="555"/>
      <c r="N112" s="165" t="e">
        <f>L112/(I112+J112)</f>
        <v>#DIV/0!</v>
      </c>
      <c r="O112" s="167">
        <v>0</v>
      </c>
      <c r="P112" s="167">
        <v>0.85</v>
      </c>
      <c r="Q112" s="167"/>
      <c r="R112" s="168">
        <f t="shared" ref="R112:R117" si="21">F112*(I112+J112)</f>
        <v>0</v>
      </c>
      <c r="S112" s="168">
        <f t="shared" ref="S112:S117" si="22">G112*(I112+J112)</f>
        <v>0</v>
      </c>
      <c r="T112" s="168">
        <f t="shared" ref="T112:T117" si="23">H112*(I112+J112)</f>
        <v>0</v>
      </c>
      <c r="U112" s="188">
        <f>ROUND(((I112)*($B112+$C112+$D112+$E112))/(Universe!$C$6),2)</f>
        <v>0</v>
      </c>
      <c r="V112" s="188" t="e">
        <f>ROUND(((J112)*($B112+$C112+$D112+$E112))/(Universe!$C$2),2)</f>
        <v>#DIV/0!</v>
      </c>
      <c r="W112" s="167">
        <v>2</v>
      </c>
      <c r="X112" s="408">
        <f t="shared" ref="X112:X117" si="24">IF(W112=1,U112,0)</f>
        <v>0</v>
      </c>
      <c r="Y112" s="408">
        <f t="shared" ref="Y112:Y117" si="25">IF(W112=2,U112,0)</f>
        <v>0</v>
      </c>
      <c r="Z112" s="408">
        <f t="shared" ref="Z112:Z117" si="26">IF(W112=1,V112,0)</f>
        <v>0</v>
      </c>
      <c r="AA112" s="408" t="e">
        <f t="shared" ref="AA112:AA117" si="27">IF(W112=2,V112,0)</f>
        <v>#DIV/0!</v>
      </c>
      <c r="AM112" s="166" t="e">
        <f>#REF!*(I112+J112)</f>
        <v>#REF!</v>
      </c>
    </row>
    <row r="113" spans="1:39" ht="20.399999999999999" x14ac:dyDescent="0.2">
      <c r="A113" s="146" t="s">
        <v>538</v>
      </c>
      <c r="B113" s="85">
        <v>0</v>
      </c>
      <c r="C113" s="89">
        <v>0</v>
      </c>
      <c r="D113" s="89">
        <v>12</v>
      </c>
      <c r="E113" s="89">
        <v>3</v>
      </c>
      <c r="F113" s="32">
        <f>ROUND(Costs!$B$3*B113+Costs!$B$4*C113+Costs!$B$5*D113+Costs!$B$6*E113,2)</f>
        <v>1002.33</v>
      </c>
      <c r="G113" s="32" t="str">
        <f>Costs!$B$62</f>
        <v xml:space="preserve"> </v>
      </c>
      <c r="H113" s="32">
        <f>Costs!$B$16</f>
        <v>0</v>
      </c>
      <c r="I113" s="86">
        <f>I117</f>
        <v>7</v>
      </c>
      <c r="J113" s="86">
        <f>J117</f>
        <v>0</v>
      </c>
      <c r="K113" s="87">
        <f t="shared" si="19"/>
        <v>105</v>
      </c>
      <c r="L113" s="32">
        <f t="shared" si="20"/>
        <v>7016.31</v>
      </c>
      <c r="M113" s="555"/>
      <c r="N113" s="165">
        <f>L113/(I113+J113)</f>
        <v>1002.33</v>
      </c>
      <c r="O113" s="167"/>
      <c r="P113" s="167"/>
      <c r="Q113" s="167"/>
      <c r="R113" s="168">
        <f t="shared" si="21"/>
        <v>7016.31</v>
      </c>
      <c r="S113" s="168">
        <f t="shared" si="22"/>
        <v>0</v>
      </c>
      <c r="T113" s="168">
        <f t="shared" si="23"/>
        <v>0</v>
      </c>
      <c r="U113" s="188">
        <f>ROUND(((I113)*($B113+$C113+$D113+$E113))/(Universe!$C$6),2)</f>
        <v>2.92</v>
      </c>
      <c r="V113" s="188" t="e">
        <f>ROUND(((J113)*($B113+$C113+$D113+$E113))/(Universe!$C$2),2)</f>
        <v>#DIV/0!</v>
      </c>
      <c r="W113" s="167">
        <v>1</v>
      </c>
      <c r="X113" s="408">
        <f t="shared" si="24"/>
        <v>2.92</v>
      </c>
      <c r="Y113" s="408">
        <f t="shared" si="25"/>
        <v>0</v>
      </c>
      <c r="Z113" s="408" t="e">
        <f t="shared" si="26"/>
        <v>#DIV/0!</v>
      </c>
      <c r="AA113" s="408">
        <f t="shared" si="27"/>
        <v>0</v>
      </c>
      <c r="AM113" s="166" t="e">
        <f>#REF!*(I113+J113)</f>
        <v>#REF!</v>
      </c>
    </row>
    <row r="114" spans="1:39" x14ac:dyDescent="0.2">
      <c r="A114" s="146" t="s">
        <v>97</v>
      </c>
      <c r="B114" s="85">
        <v>0</v>
      </c>
      <c r="C114" s="89">
        <v>1</v>
      </c>
      <c r="D114" s="89">
        <v>60</v>
      </c>
      <c r="E114" s="89">
        <v>4</v>
      </c>
      <c r="F114" s="32">
        <f>ROUND(Costs!$B$3*B114+Costs!$B$4*C114+Costs!$B$5*D114+Costs!$B$6*E114,2)</f>
        <v>4628.7299999999996</v>
      </c>
      <c r="G114" s="32" t="str">
        <f>Costs!$B$62</f>
        <v xml:space="preserve"> </v>
      </c>
      <c r="H114" s="32">
        <f>Costs!$B$16</f>
        <v>0</v>
      </c>
      <c r="I114" s="86">
        <f>ROUND((O114*(Universe!C$6)),0)</f>
        <v>0</v>
      </c>
      <c r="J114" s="86">
        <v>0</v>
      </c>
      <c r="K114" s="87">
        <f t="shared" si="19"/>
        <v>0</v>
      </c>
      <c r="L114" s="32">
        <f t="shared" si="20"/>
        <v>0</v>
      </c>
      <c r="M114" s="555"/>
      <c r="N114" s="165">
        <f>IF(I114=0,0,L114/(N114+I114))</f>
        <v>0</v>
      </c>
      <c r="O114" s="167">
        <v>0</v>
      </c>
      <c r="P114" s="167">
        <v>0.85</v>
      </c>
      <c r="Q114" s="167"/>
      <c r="R114" s="168">
        <f t="shared" si="21"/>
        <v>0</v>
      </c>
      <c r="S114" s="168">
        <f t="shared" si="22"/>
        <v>0</v>
      </c>
      <c r="T114" s="168">
        <f t="shared" si="23"/>
        <v>0</v>
      </c>
      <c r="U114" s="188">
        <f>ROUND(((I114)*($B114+$C114+$D114+$E114))/(Universe!$C$6),2)</f>
        <v>0</v>
      </c>
      <c r="V114" s="188" t="e">
        <f>ROUND(((J114)*($B114+$C114+$D114+$E114))/(Universe!$C$2),2)</f>
        <v>#DIV/0!</v>
      </c>
      <c r="W114" s="167">
        <v>1</v>
      </c>
      <c r="X114" s="408">
        <f t="shared" si="24"/>
        <v>0</v>
      </c>
      <c r="Y114" s="408">
        <f t="shared" si="25"/>
        <v>0</v>
      </c>
      <c r="Z114" s="408" t="e">
        <f t="shared" si="26"/>
        <v>#DIV/0!</v>
      </c>
      <c r="AA114" s="408">
        <f t="shared" si="27"/>
        <v>0</v>
      </c>
      <c r="AM114" s="166" t="e">
        <f>#REF!*(I114+J114)</f>
        <v>#REF!</v>
      </c>
    </row>
    <row r="115" spans="1:39" x14ac:dyDescent="0.2">
      <c r="A115" s="146" t="s">
        <v>638</v>
      </c>
      <c r="B115" s="85">
        <v>0</v>
      </c>
      <c r="C115" s="89">
        <v>0</v>
      </c>
      <c r="D115" s="89">
        <v>0</v>
      </c>
      <c r="E115" s="89">
        <v>0.5</v>
      </c>
      <c r="F115" s="32">
        <f>ROUND(Costs!$B$3*B115+Costs!$B$4*C115+Costs!$B$5*D115+Costs!$B$6*E115,2)</f>
        <v>21.84</v>
      </c>
      <c r="G115" s="32" t="str">
        <f>Costs!$B$62</f>
        <v xml:space="preserve"> </v>
      </c>
      <c r="H115" s="32">
        <f>Costs!$B$19</f>
        <v>4.4000000000000004</v>
      </c>
      <c r="I115" s="86">
        <f>I117</f>
        <v>7</v>
      </c>
      <c r="J115" s="86">
        <f>J117</f>
        <v>0</v>
      </c>
      <c r="K115" s="87">
        <f t="shared" si="19"/>
        <v>3.5</v>
      </c>
      <c r="L115" s="32">
        <f t="shared" si="20"/>
        <v>183.68</v>
      </c>
      <c r="M115" s="555"/>
      <c r="N115" s="165">
        <f>L115/(I115+J115)</f>
        <v>26.240000000000002</v>
      </c>
      <c r="O115" s="167">
        <v>0</v>
      </c>
      <c r="P115" s="167">
        <v>0.85</v>
      </c>
      <c r="Q115" s="167"/>
      <c r="R115" s="168">
        <f t="shared" si="21"/>
        <v>152.88</v>
      </c>
      <c r="S115" s="168">
        <f t="shared" si="22"/>
        <v>0</v>
      </c>
      <c r="T115" s="168">
        <f t="shared" si="23"/>
        <v>30.800000000000004</v>
      </c>
      <c r="U115" s="188">
        <f>ROUND(((I115)*($B115+$C115+$D115+$E115))/(Universe!$C$6),2)</f>
        <v>0.1</v>
      </c>
      <c r="V115" s="188" t="e">
        <f>ROUND(((J115)*($B115+$C115+$D115+$E115))/(Universe!$C$2),2)</f>
        <v>#DIV/0!</v>
      </c>
      <c r="W115" s="167">
        <v>1</v>
      </c>
      <c r="X115" s="408">
        <f t="shared" si="24"/>
        <v>0.1</v>
      </c>
      <c r="Y115" s="408">
        <f t="shared" si="25"/>
        <v>0</v>
      </c>
      <c r="Z115" s="408" t="e">
        <f t="shared" si="26"/>
        <v>#DIV/0!</v>
      </c>
      <c r="AA115" s="408">
        <f t="shared" si="27"/>
        <v>0</v>
      </c>
      <c r="AE115" s="171">
        <f>I115</f>
        <v>7</v>
      </c>
      <c r="AF115" s="171">
        <f>J115</f>
        <v>0</v>
      </c>
      <c r="AM115" s="166" t="e">
        <f>#REF!*(I115+J115)</f>
        <v>#REF!</v>
      </c>
    </row>
    <row r="116" spans="1:39" x14ac:dyDescent="0.2">
      <c r="A116" s="189" t="s">
        <v>639</v>
      </c>
      <c r="B116" s="190">
        <v>0</v>
      </c>
      <c r="C116" s="207">
        <v>0</v>
      </c>
      <c r="D116" s="207">
        <v>0</v>
      </c>
      <c r="E116" s="207">
        <v>1</v>
      </c>
      <c r="F116" s="191">
        <f>ROUND(Costs!$B$3*B116+Costs!$B$4*C116+Costs!$B$5*D116+Costs!$B$6*E116,2)</f>
        <v>43.67</v>
      </c>
      <c r="G116" s="191" t="str">
        <f>Costs!$B$62</f>
        <v xml:space="preserve"> </v>
      </c>
      <c r="H116" s="191">
        <f>Costs!$B$17</f>
        <v>1.5</v>
      </c>
      <c r="I116" s="192">
        <f>ROUND((O116*(Universe!C$6)),0)</f>
        <v>36</v>
      </c>
      <c r="J116" s="192">
        <f>ROUND((P116*Universe!C$2),0)</f>
        <v>0</v>
      </c>
      <c r="K116" s="193">
        <f t="shared" si="19"/>
        <v>36</v>
      </c>
      <c r="L116" s="191">
        <f t="shared" si="20"/>
        <v>1626.1200000000001</v>
      </c>
      <c r="M116" s="555"/>
      <c r="N116" s="165">
        <f>L116/(I116+J116)</f>
        <v>45.17</v>
      </c>
      <c r="O116" s="167">
        <v>1</v>
      </c>
      <c r="P116" s="167">
        <v>0.85</v>
      </c>
      <c r="Q116" s="167"/>
      <c r="R116" s="168">
        <f t="shared" si="21"/>
        <v>1572.1200000000001</v>
      </c>
      <c r="S116" s="168">
        <f t="shared" si="22"/>
        <v>0</v>
      </c>
      <c r="T116" s="168">
        <f t="shared" si="23"/>
        <v>54</v>
      </c>
      <c r="U116" s="188">
        <f>ROUND(((I116)*($B116+$C116+$D116+$E116))/(Universe!$C$6),2)</f>
        <v>1</v>
      </c>
      <c r="V116" s="188" t="e">
        <f>ROUND(((J116)*($B116+$C116+$D116+$E116))/(Universe!$C$2),2)</f>
        <v>#DIV/0!</v>
      </c>
      <c r="W116" s="167">
        <v>2</v>
      </c>
      <c r="X116" s="408">
        <f t="shared" si="24"/>
        <v>0</v>
      </c>
      <c r="Y116" s="408">
        <f t="shared" si="25"/>
        <v>1</v>
      </c>
      <c r="Z116" s="408">
        <f t="shared" si="26"/>
        <v>0</v>
      </c>
      <c r="AA116" s="408" t="e">
        <f t="shared" si="27"/>
        <v>#DIV/0!</v>
      </c>
      <c r="AM116" s="166" t="e">
        <f>#REF!*(I116+J116)</f>
        <v>#REF!</v>
      </c>
    </row>
    <row r="117" spans="1:39" ht="10.8" thickBot="1" x14ac:dyDescent="0.25">
      <c r="A117" s="374" t="s">
        <v>539</v>
      </c>
      <c r="B117" s="375">
        <v>0</v>
      </c>
      <c r="C117" s="376">
        <v>0.5</v>
      </c>
      <c r="D117" s="376">
        <v>8</v>
      </c>
      <c r="E117" s="376">
        <v>2</v>
      </c>
      <c r="F117" s="377">
        <f>ROUND(Costs!$B$3*B117+Costs!$B$4*C117+Costs!$B$5*D117+Costs!$B$6*E117,2)</f>
        <v>716.95</v>
      </c>
      <c r="G117" s="377" t="str">
        <f>Costs!$B$62</f>
        <v xml:space="preserve"> </v>
      </c>
      <c r="H117" s="377">
        <f>Costs!$B$16</f>
        <v>0</v>
      </c>
      <c r="I117" s="378">
        <f>ROUND((O117*(Universe!C$6)),0)</f>
        <v>7</v>
      </c>
      <c r="J117" s="378">
        <f>ROUND((P117*Universe!C$2),0)</f>
        <v>0</v>
      </c>
      <c r="K117" s="193">
        <f t="shared" si="19"/>
        <v>73.5</v>
      </c>
      <c r="L117" s="191">
        <f t="shared" si="20"/>
        <v>5018.6500000000005</v>
      </c>
      <c r="M117" s="555"/>
      <c r="N117" s="165">
        <f>L117/(I117+J117)</f>
        <v>716.95</v>
      </c>
      <c r="O117" s="167">
        <v>0.2</v>
      </c>
      <c r="P117" s="167">
        <v>0.2</v>
      </c>
      <c r="Q117" s="167"/>
      <c r="R117" s="168">
        <f t="shared" si="21"/>
        <v>5018.6500000000005</v>
      </c>
      <c r="S117" s="168">
        <f t="shared" si="22"/>
        <v>0</v>
      </c>
      <c r="T117" s="168">
        <f t="shared" si="23"/>
        <v>0</v>
      </c>
      <c r="U117" s="188">
        <f>ROUND(((I117)*($B117+$C117+$D117+$E117))/(Universe!$C$6),2)</f>
        <v>2.04</v>
      </c>
      <c r="V117" s="188" t="e">
        <f>ROUND(((J117)*($B117+$C117+$D117+$E117))/(Universe!$C$2),2)</f>
        <v>#DIV/0!</v>
      </c>
      <c r="W117" s="167">
        <v>1</v>
      </c>
      <c r="X117" s="408">
        <f t="shared" si="24"/>
        <v>2.04</v>
      </c>
      <c r="Y117" s="408">
        <f t="shared" si="25"/>
        <v>0</v>
      </c>
      <c r="Z117" s="408" t="e">
        <f t="shared" si="26"/>
        <v>#DIV/0!</v>
      </c>
      <c r="AA117" s="408">
        <f t="shared" si="27"/>
        <v>0</v>
      </c>
      <c r="AM117" s="166" t="e">
        <f>#REF!*(I117+J117)</f>
        <v>#REF!</v>
      </c>
    </row>
    <row r="118" spans="1:39" ht="10.8" thickBot="1" x14ac:dyDescent="0.25">
      <c r="A118" s="200" t="s">
        <v>596</v>
      </c>
      <c r="B118" s="201" t="s">
        <v>597</v>
      </c>
      <c r="C118" s="201" t="s">
        <v>597</v>
      </c>
      <c r="D118" s="201" t="s">
        <v>597</v>
      </c>
      <c r="E118" s="201" t="s">
        <v>597</v>
      </c>
      <c r="F118" s="201" t="s">
        <v>597</v>
      </c>
      <c r="G118" s="201" t="s">
        <v>597</v>
      </c>
      <c r="H118" s="201" t="s">
        <v>597</v>
      </c>
      <c r="I118" s="202" t="s">
        <v>597</v>
      </c>
      <c r="J118" s="202" t="s">
        <v>597</v>
      </c>
      <c r="K118" s="203">
        <f>SUM(K112:K117)</f>
        <v>218</v>
      </c>
      <c r="L118" s="204">
        <f>SUM(L112:L117)</f>
        <v>13844.760000000002</v>
      </c>
      <c r="M118" s="555"/>
      <c r="N118" s="169" t="s">
        <v>597</v>
      </c>
      <c r="P118" s="171"/>
      <c r="Q118" s="171"/>
      <c r="R118" s="203">
        <f>SUM(R112:R117)</f>
        <v>13759.960000000003</v>
      </c>
      <c r="S118" s="203">
        <f>SUM(S112:S117)</f>
        <v>0</v>
      </c>
      <c r="T118" s="203">
        <f>SUM(T112:T117)</f>
        <v>84.800000000000011</v>
      </c>
      <c r="U118" s="188"/>
      <c r="V118" s="166"/>
      <c r="X118" s="203">
        <f>SUM(X112:X117)</f>
        <v>5.0600000000000005</v>
      </c>
      <c r="Y118" s="203">
        <f>SUM(Y112:Y117)</f>
        <v>1</v>
      </c>
      <c r="Z118" s="203" t="e">
        <f>SUM(Z112:Z117)</f>
        <v>#DIV/0!</v>
      </c>
      <c r="AA118" s="203" t="e">
        <f>SUM(AA112:AA117)</f>
        <v>#DIV/0!</v>
      </c>
      <c r="AM118" s="166" t="e">
        <f>#REF!*(I118+J118)</f>
        <v>#REF!</v>
      </c>
    </row>
    <row r="119" spans="1:39" x14ac:dyDescent="0.2">
      <c r="A119" s="194" t="s">
        <v>292</v>
      </c>
      <c r="B119" s="197"/>
      <c r="C119" s="197"/>
      <c r="D119" s="197"/>
      <c r="E119" s="197"/>
      <c r="F119" s="213"/>
      <c r="G119" s="213"/>
      <c r="H119" s="213"/>
      <c r="I119" s="197"/>
      <c r="J119" s="197"/>
      <c r="K119" s="214"/>
      <c r="L119" s="215"/>
      <c r="M119" s="556"/>
      <c r="N119" s="172"/>
      <c r="U119" s="188"/>
      <c r="V119" s="166"/>
      <c r="AM119" s="166" t="e">
        <f>#REF!*(I119+J119)</f>
        <v>#REF!</v>
      </c>
    </row>
    <row r="120" spans="1:39" x14ac:dyDescent="0.2">
      <c r="A120" s="374" t="s">
        <v>610</v>
      </c>
      <c r="B120" s="375">
        <v>0.25</v>
      </c>
      <c r="C120" s="376">
        <v>0.5</v>
      </c>
      <c r="D120" s="376">
        <v>0</v>
      </c>
      <c r="E120" s="376">
        <v>0</v>
      </c>
      <c r="F120" s="377">
        <f>ROUND(Costs!$B$3*B120+Costs!$B$4*C120+Costs!$B$5*D120+Costs!$B$6*E120,2)</f>
        <v>89.95</v>
      </c>
      <c r="G120" s="377" t="str">
        <f>Costs!$B$62</f>
        <v xml:space="preserve"> </v>
      </c>
      <c r="H120" s="377">
        <f>Costs!$B$16</f>
        <v>0</v>
      </c>
      <c r="I120" s="378">
        <f>ROUND((O120*(Universe!C$6)),0)</f>
        <v>0</v>
      </c>
      <c r="J120" s="378">
        <f>ROUND((P120*Universe!C$2),0)</f>
        <v>0</v>
      </c>
      <c r="K120" s="87">
        <f>ROUND((B120+C120+D120+E120)*(I120+J120),2)</f>
        <v>0</v>
      </c>
      <c r="L120" s="32">
        <f>(I120+J120)*SUM(F120:H120)</f>
        <v>0</v>
      </c>
      <c r="M120" s="555"/>
      <c r="N120" s="165" t="e">
        <f>L120/(I120+J120)</f>
        <v>#DIV/0!</v>
      </c>
      <c r="O120" s="167">
        <v>0.01</v>
      </c>
      <c r="P120" s="167">
        <v>0.85</v>
      </c>
      <c r="Q120" s="167"/>
      <c r="R120" s="168">
        <f>F120*(I120+J120)</f>
        <v>0</v>
      </c>
      <c r="S120" s="168">
        <f>G120*(I120+J120)</f>
        <v>0</v>
      </c>
      <c r="T120" s="168">
        <f>H120*(I120+J120)</f>
        <v>0</v>
      </c>
      <c r="U120" s="188">
        <f>ROUND(((I120)*($B120+$C120+$D120+$E120))/(Universe!$C$6),2)</f>
        <v>0</v>
      </c>
      <c r="V120" s="188" t="e">
        <f>ROUND(((J120)*($B120+$C120+$D120+$E120))/(Universe!$C$2),2)</f>
        <v>#DIV/0!</v>
      </c>
      <c r="W120" s="167">
        <v>2</v>
      </c>
      <c r="X120" s="408">
        <f>IF(W120=1,U120,0)</f>
        <v>0</v>
      </c>
      <c r="Y120" s="408">
        <f>IF(W120=2,U120,0)</f>
        <v>0</v>
      </c>
      <c r="Z120" s="408">
        <f>IF(W120=1,V120,0)</f>
        <v>0</v>
      </c>
      <c r="AA120" s="408" t="e">
        <f>IF(W120=2,V120,0)</f>
        <v>#DIV/0!</v>
      </c>
      <c r="AM120" s="166" t="e">
        <f>#REF!*(I120+J120)</f>
        <v>#REF!</v>
      </c>
    </row>
    <row r="121" spans="1:39" ht="20.399999999999999" x14ac:dyDescent="0.2">
      <c r="A121" s="146" t="s">
        <v>293</v>
      </c>
      <c r="B121" s="85">
        <v>0</v>
      </c>
      <c r="C121" s="89">
        <v>0.5</v>
      </c>
      <c r="D121" s="89">
        <v>0</v>
      </c>
      <c r="E121" s="89">
        <v>0</v>
      </c>
      <c r="F121" s="32">
        <f>ROUND(Costs!$B$3*B121+Costs!$B$4*C121+Costs!$B$5*D121+Costs!$B$6*E121,2)</f>
        <v>48.73</v>
      </c>
      <c r="G121" s="32" t="str">
        <f>Costs!$B$62</f>
        <v xml:space="preserve"> </v>
      </c>
      <c r="H121" s="32">
        <f>Costs!$B$19</f>
        <v>4.4000000000000004</v>
      </c>
      <c r="I121" s="86">
        <f>ROUND((O121*(Universe!C$6)),0)</f>
        <v>0</v>
      </c>
      <c r="J121" s="86">
        <f>ROUND((P121*Universe!C$2),0)</f>
        <v>0</v>
      </c>
      <c r="K121" s="87">
        <f>ROUND((B121+C121+D121+E121)*(I121+J121),2)</f>
        <v>0</v>
      </c>
      <c r="L121" s="32">
        <f>(I121+J121)*SUM(F121:H121)</f>
        <v>0</v>
      </c>
      <c r="M121" s="555"/>
      <c r="N121" s="165" t="e">
        <f>L121/(I121+J121)</f>
        <v>#DIV/0!</v>
      </c>
      <c r="O121" s="167">
        <v>0.01</v>
      </c>
      <c r="P121" s="167">
        <v>0.01</v>
      </c>
      <c r="Q121" s="167"/>
      <c r="R121" s="168">
        <f>F121*(I121+J121)</f>
        <v>0</v>
      </c>
      <c r="S121" s="168">
        <f>G121*(I121+J121)</f>
        <v>0</v>
      </c>
      <c r="T121" s="168">
        <f>H121*(I121+J121)</f>
        <v>0</v>
      </c>
      <c r="U121" s="188">
        <f>ROUND(((I121)*($B121+$C121+$D121+$E121))/(Universe!$C$6),2)</f>
        <v>0</v>
      </c>
      <c r="V121" s="188" t="e">
        <f>ROUND(((J121)*($B121+$C121+$D121+$E121))/(Universe!$C$2),2)</f>
        <v>#DIV/0!</v>
      </c>
      <c r="W121" s="167">
        <v>1</v>
      </c>
      <c r="X121" s="408">
        <f>IF(W121=1,U121,0)</f>
        <v>0</v>
      </c>
      <c r="Y121" s="408">
        <f>IF(W121=2,U121,0)</f>
        <v>0</v>
      </c>
      <c r="Z121" s="408" t="e">
        <f>IF(W121=1,V121,0)</f>
        <v>#DIV/0!</v>
      </c>
      <c r="AA121" s="408">
        <f>IF(W121=2,V121,0)</f>
        <v>0</v>
      </c>
      <c r="AE121" s="171">
        <f t="shared" ref="AE121:AF123" si="28">I121</f>
        <v>0</v>
      </c>
      <c r="AF121" s="171">
        <f t="shared" si="28"/>
        <v>0</v>
      </c>
      <c r="AM121" s="166" t="e">
        <f>#REF!*(I121+J121)</f>
        <v>#REF!</v>
      </c>
    </row>
    <row r="122" spans="1:39" ht="20.399999999999999" x14ac:dyDescent="0.2">
      <c r="A122" s="146" t="s">
        <v>294</v>
      </c>
      <c r="B122" s="85">
        <v>0</v>
      </c>
      <c r="C122" s="89">
        <v>1</v>
      </c>
      <c r="D122" s="89">
        <v>0</v>
      </c>
      <c r="E122" s="89">
        <v>0</v>
      </c>
      <c r="F122" s="32">
        <f>ROUND(Costs!$B$3*B122+Costs!$B$4*C122+Costs!$B$5*D122+Costs!$B$6*E122,2)</f>
        <v>97.45</v>
      </c>
      <c r="G122" s="32" t="str">
        <f>Costs!$B$62</f>
        <v xml:space="preserve"> </v>
      </c>
      <c r="H122" s="32">
        <f>Costs!$B$19</f>
        <v>4.4000000000000004</v>
      </c>
      <c r="I122" s="86">
        <f>ROUND((O122*(Universe!C$6)),0)</f>
        <v>0</v>
      </c>
      <c r="J122" s="86">
        <f>ROUND((P122*Universe!C$2),0)</f>
        <v>0</v>
      </c>
      <c r="K122" s="87">
        <f>ROUND((B122+C122+D122+E122)*(I122+J122),2)</f>
        <v>0</v>
      </c>
      <c r="L122" s="32">
        <f>(I122+J122)*SUM(F122:H122)</f>
        <v>0</v>
      </c>
      <c r="M122" s="555"/>
      <c r="N122" s="165">
        <f>IF(I122=0,0,L122/(N122+I122))</f>
        <v>0</v>
      </c>
      <c r="O122" s="167">
        <v>0</v>
      </c>
      <c r="P122" s="167">
        <v>0</v>
      </c>
      <c r="Q122" s="167"/>
      <c r="R122" s="168">
        <f>F122*(I122+J122)</f>
        <v>0</v>
      </c>
      <c r="S122" s="168">
        <f>G122*(I122+J122)</f>
        <v>0</v>
      </c>
      <c r="T122" s="168">
        <f>H122*(I122+J122)</f>
        <v>0</v>
      </c>
      <c r="U122" s="188">
        <f>ROUND(((I122)*($B122+$C122+$D122+$E122))/(Universe!$C$6),2)</f>
        <v>0</v>
      </c>
      <c r="V122" s="188" t="e">
        <f>ROUND(((J122)*($B122+$C122+$D122+$E122))/(Universe!$C$2),2)</f>
        <v>#DIV/0!</v>
      </c>
      <c r="W122" s="167">
        <v>1</v>
      </c>
      <c r="X122" s="408">
        <f>IF(W122=1,U122,0)</f>
        <v>0</v>
      </c>
      <c r="Y122" s="408">
        <f>IF(W122=2,U122,0)</f>
        <v>0</v>
      </c>
      <c r="Z122" s="408" t="e">
        <f>IF(W122=1,V122,0)</f>
        <v>#DIV/0!</v>
      </c>
      <c r="AA122" s="408">
        <f>IF(W122=2,V122,0)</f>
        <v>0</v>
      </c>
      <c r="AE122" s="171">
        <f t="shared" si="28"/>
        <v>0</v>
      </c>
      <c r="AF122" s="171">
        <f t="shared" si="28"/>
        <v>0</v>
      </c>
      <c r="AM122" s="166" t="e">
        <f>#REF!*(I122+J122)</f>
        <v>#REF!</v>
      </c>
    </row>
    <row r="123" spans="1:39" ht="20.399999999999999" x14ac:dyDescent="0.2">
      <c r="A123" s="189" t="s">
        <v>541</v>
      </c>
      <c r="B123" s="190">
        <v>0</v>
      </c>
      <c r="C123" s="207">
        <v>1</v>
      </c>
      <c r="D123" s="207">
        <v>0</v>
      </c>
      <c r="E123" s="207">
        <v>0</v>
      </c>
      <c r="F123" s="191">
        <f>ROUND(Costs!$B$3*B123+Costs!$B$4*C123+Costs!$B$5*D123+Costs!$B$6*E123,2)</f>
        <v>97.45</v>
      </c>
      <c r="G123" s="191" t="str">
        <f>Costs!$B$62</f>
        <v xml:space="preserve"> </v>
      </c>
      <c r="H123" s="191">
        <f>Costs!$B$19</f>
        <v>4.4000000000000004</v>
      </c>
      <c r="I123" s="192">
        <f>ROUND((O123*(Universe!C$6)),0)</f>
        <v>0</v>
      </c>
      <c r="J123" s="192">
        <f>ROUND((P123*Universe!C$2),0)</f>
        <v>0</v>
      </c>
      <c r="K123" s="193">
        <f>ROUND((B123+C123+D123+E123)*(I123+J123),2)</f>
        <v>0</v>
      </c>
      <c r="L123" s="191">
        <f>(I123+J123)*SUM(F123:H123)</f>
        <v>0</v>
      </c>
      <c r="M123" s="555"/>
      <c r="N123" s="165" t="e">
        <f>L123/(I123+J123)</f>
        <v>#DIV/0!</v>
      </c>
      <c r="O123" s="167">
        <v>0.01</v>
      </c>
      <c r="P123" s="167">
        <v>0.01</v>
      </c>
      <c r="Q123" s="167"/>
      <c r="R123" s="168">
        <f>F123*(I123+J123)</f>
        <v>0</v>
      </c>
      <c r="S123" s="168">
        <f>G123*(I123+J123)</f>
        <v>0</v>
      </c>
      <c r="T123" s="168">
        <f>H123*(I123+J123)</f>
        <v>0</v>
      </c>
      <c r="U123" s="188">
        <f>ROUND(((I123)*($B123+$C123+$D123+$E123))/(Universe!$C$6),2)</f>
        <v>0</v>
      </c>
      <c r="V123" s="188" t="e">
        <f>ROUND(((J123)*($B123+$C123+$D123+$E123))/(Universe!$C$2),2)</f>
        <v>#DIV/0!</v>
      </c>
      <c r="W123" s="167">
        <v>1</v>
      </c>
      <c r="X123" s="408">
        <f>IF(W123=1,U123,0)</f>
        <v>0</v>
      </c>
      <c r="Y123" s="408">
        <f>IF(W123=2,U123,0)</f>
        <v>0</v>
      </c>
      <c r="Z123" s="408" t="e">
        <f>IF(W123=1,V123,0)</f>
        <v>#DIV/0!</v>
      </c>
      <c r="AA123" s="408">
        <f>IF(W123=2,V123,0)</f>
        <v>0</v>
      </c>
      <c r="AE123" s="171">
        <f t="shared" si="28"/>
        <v>0</v>
      </c>
      <c r="AF123" s="171">
        <f t="shared" si="28"/>
        <v>0</v>
      </c>
      <c r="AM123" s="166" t="e">
        <f>#REF!*(I123+J123)</f>
        <v>#REF!</v>
      </c>
    </row>
    <row r="124" spans="1:39" ht="21" thickBot="1" x14ac:dyDescent="0.25">
      <c r="A124" s="146" t="s">
        <v>540</v>
      </c>
      <c r="B124" s="85">
        <v>0</v>
      </c>
      <c r="C124" s="85">
        <v>0</v>
      </c>
      <c r="D124" s="85">
        <v>2.5</v>
      </c>
      <c r="E124" s="85">
        <v>0.5</v>
      </c>
      <c r="F124" s="32">
        <f>ROUND(Costs!$B$3*B124+Costs!$B$4*C124+Costs!$B$5*D124+Costs!$B$6*E124,2)</f>
        <v>203.36</v>
      </c>
      <c r="G124" s="32" t="str">
        <f>Costs!$B$62</f>
        <v xml:space="preserve"> </v>
      </c>
      <c r="H124" s="32">
        <f>Costs!$B$16</f>
        <v>0</v>
      </c>
      <c r="I124" s="86">
        <f>ROUND((O124*(Universe!C$6)),0)</f>
        <v>0</v>
      </c>
      <c r="J124" s="86">
        <f>ROUND((P124*Universe!C$2),0)</f>
        <v>0</v>
      </c>
      <c r="K124" s="87">
        <f>ROUND((B124+C124+D124+E124)*(I124+J124),2)</f>
        <v>0</v>
      </c>
      <c r="L124" s="32">
        <f>(I124+J124)*SUM(F124:H124)</f>
        <v>0</v>
      </c>
      <c r="M124" s="555"/>
      <c r="N124" s="165" t="e">
        <f>L124/(I124+J124)</f>
        <v>#DIV/0!</v>
      </c>
      <c r="O124" s="167">
        <v>0.01</v>
      </c>
      <c r="P124" s="167">
        <v>0.01</v>
      </c>
      <c r="Q124" s="167"/>
      <c r="R124" s="168">
        <f>F124*(I124+J124)</f>
        <v>0</v>
      </c>
      <c r="S124" s="168">
        <f>G124*(I124+J124)</f>
        <v>0</v>
      </c>
      <c r="T124" s="168">
        <f>H124*(I124+J124)</f>
        <v>0</v>
      </c>
      <c r="U124" s="188">
        <f>ROUND(((I124)*($B124+$C124+$D124+$E124))/(Universe!$C$6),2)</f>
        <v>0</v>
      </c>
      <c r="V124" s="188" t="e">
        <f>ROUND(((J124)*($B124+$C124+$D124+$E124))/(Universe!$C$2),2)</f>
        <v>#DIV/0!</v>
      </c>
      <c r="W124" s="167">
        <v>1</v>
      </c>
      <c r="X124" s="408">
        <f>IF(W124=1,U124,0)</f>
        <v>0</v>
      </c>
      <c r="Y124" s="408">
        <f>IF(W124=2,U124,0)</f>
        <v>0</v>
      </c>
      <c r="Z124" s="408" t="e">
        <f>IF(W124=1,V124,0)</f>
        <v>#DIV/0!</v>
      </c>
      <c r="AA124" s="408">
        <f>IF(W124=2,V124,0)</f>
        <v>0</v>
      </c>
      <c r="AM124" s="166" t="e">
        <f>#REF!*(I124+J124)</f>
        <v>#REF!</v>
      </c>
    </row>
    <row r="125" spans="1:39" ht="10.8" thickBot="1" x14ac:dyDescent="0.25">
      <c r="A125" s="200" t="s">
        <v>596</v>
      </c>
      <c r="B125" s="216" t="s">
        <v>597</v>
      </c>
      <c r="C125" s="201" t="s">
        <v>597</v>
      </c>
      <c r="D125" s="201" t="s">
        <v>597</v>
      </c>
      <c r="E125" s="201" t="s">
        <v>597</v>
      </c>
      <c r="F125" s="201" t="s">
        <v>597</v>
      </c>
      <c r="G125" s="217" t="s">
        <v>597</v>
      </c>
      <c r="H125" s="217" t="s">
        <v>597</v>
      </c>
      <c r="I125" s="216" t="s">
        <v>597</v>
      </c>
      <c r="J125" s="216" t="s">
        <v>597</v>
      </c>
      <c r="K125" s="203">
        <f>SUM(K120:K124)</f>
        <v>0</v>
      </c>
      <c r="L125" s="204">
        <f>SUM(L120:L124)</f>
        <v>0</v>
      </c>
      <c r="M125" s="555"/>
      <c r="N125" s="169" t="s">
        <v>597</v>
      </c>
      <c r="R125" s="203">
        <f>SUM(R120:R124)</f>
        <v>0</v>
      </c>
      <c r="S125" s="203">
        <f>SUM(S120:S124)</f>
        <v>0</v>
      </c>
      <c r="T125" s="203">
        <f>SUM(T120:T124)</f>
        <v>0</v>
      </c>
      <c r="U125" s="188"/>
      <c r="V125" s="166"/>
      <c r="X125" s="203">
        <f>SUM(X120:X124)</f>
        <v>0</v>
      </c>
      <c r="Y125" s="203">
        <f>SUM(Y120:Y124)</f>
        <v>0</v>
      </c>
      <c r="Z125" s="203" t="e">
        <f>SUM(Z120:Z124)</f>
        <v>#DIV/0!</v>
      </c>
      <c r="AA125" s="203" t="e">
        <f>SUM(AA120:AA124)</f>
        <v>#DIV/0!</v>
      </c>
      <c r="AM125" s="166"/>
    </row>
    <row r="126" spans="1:39" x14ac:dyDescent="0.2">
      <c r="A126" s="194" t="s">
        <v>295</v>
      </c>
      <c r="B126" s="195"/>
      <c r="C126" s="197"/>
      <c r="D126" s="197"/>
      <c r="E126" s="197"/>
      <c r="F126" s="213"/>
      <c r="G126" s="213"/>
      <c r="H126" s="213"/>
      <c r="I126" s="205"/>
      <c r="J126" s="205"/>
      <c r="K126" s="214"/>
      <c r="L126" s="215"/>
      <c r="M126" s="556"/>
      <c r="N126" s="172"/>
      <c r="U126" s="188"/>
      <c r="V126" s="166"/>
    </row>
    <row r="127" spans="1:39" x14ac:dyDescent="0.2">
      <c r="A127" s="374" t="s">
        <v>610</v>
      </c>
      <c r="B127" s="375">
        <v>0</v>
      </c>
      <c r="C127" s="376">
        <v>0.25</v>
      </c>
      <c r="D127" s="376">
        <v>0.5</v>
      </c>
      <c r="E127" s="376">
        <v>0</v>
      </c>
      <c r="F127" s="377">
        <f>ROUND(Costs!$B$3*B127+Costs!$B$4*C127+Costs!$B$5*D127+Costs!$B$6*E127,2)</f>
        <v>60.67</v>
      </c>
      <c r="G127" s="377" t="str">
        <f>Costs!$B$62</f>
        <v xml:space="preserve"> </v>
      </c>
      <c r="H127" s="377">
        <f>Costs!$B$16</f>
        <v>0</v>
      </c>
      <c r="I127" s="378">
        <f>ROUND((O127*(Universe!C$6)),0)</f>
        <v>0</v>
      </c>
      <c r="J127" s="378">
        <f>ROUND((P127*Universe!C$2),0)</f>
        <v>0</v>
      </c>
      <c r="K127" s="87">
        <f>ROUND((B127+C127+D127+E127)*(I127+J127),2)</f>
        <v>0</v>
      </c>
      <c r="L127" s="32">
        <f>(I127+J127)*SUM(F127:H127)</f>
        <v>0</v>
      </c>
      <c r="M127" s="555"/>
      <c r="N127" s="165" t="e">
        <f>L127/(I127+J127)</f>
        <v>#DIV/0!</v>
      </c>
      <c r="O127" s="167">
        <v>0.01</v>
      </c>
      <c r="P127" s="167">
        <v>0.01</v>
      </c>
      <c r="Q127" s="167"/>
      <c r="R127" s="168">
        <f>F127*(I127+J127)</f>
        <v>0</v>
      </c>
      <c r="S127" s="168">
        <f>G127*(I127+J127)</f>
        <v>0</v>
      </c>
      <c r="T127" s="168">
        <f>H127*(I127+J127)</f>
        <v>0</v>
      </c>
      <c r="U127" s="188">
        <f>ROUND(((I127)*($B127+$C127+$D127+$E127))/(Universe!$C$6),2)</f>
        <v>0</v>
      </c>
      <c r="V127" s="188" t="e">
        <f>ROUND(((J127)*($B127+$C127+$D127+$E127))/(Universe!$C$2),2)</f>
        <v>#DIV/0!</v>
      </c>
      <c r="W127" s="167">
        <v>2</v>
      </c>
      <c r="X127" s="408">
        <f>IF(W127=1,U127,0)</f>
        <v>0</v>
      </c>
      <c r="Y127" s="408">
        <f>IF(W127=2,U127,0)</f>
        <v>0</v>
      </c>
      <c r="Z127" s="408">
        <f>IF(W127=1,V127,0)</f>
        <v>0</v>
      </c>
      <c r="AA127" s="408" t="e">
        <f>IF(W127=2,V127,0)</f>
        <v>#DIV/0!</v>
      </c>
      <c r="AM127" s="166" t="e">
        <f>#REF!*(I127+J127)</f>
        <v>#REF!</v>
      </c>
    </row>
    <row r="128" spans="1:39" ht="30.6" x14ac:dyDescent="0.2">
      <c r="A128" s="146" t="s">
        <v>296</v>
      </c>
      <c r="B128" s="85">
        <v>0</v>
      </c>
      <c r="C128" s="89">
        <v>0</v>
      </c>
      <c r="D128" s="89">
        <v>2.5</v>
      </c>
      <c r="E128" s="89">
        <v>0.5</v>
      </c>
      <c r="F128" s="32">
        <f>ROUND(Costs!$B$3*B128+Costs!$B$4*C128+Costs!$B$5*D128+Costs!$B$6*E128,2)</f>
        <v>203.36</v>
      </c>
      <c r="G128" s="32" t="str">
        <f>Costs!$B$62</f>
        <v xml:space="preserve"> </v>
      </c>
      <c r="H128" s="32">
        <f>Costs!$B$16</f>
        <v>0</v>
      </c>
      <c r="I128" s="86">
        <f>ROUND((O128*(Universe!C$6)),0)</f>
        <v>0</v>
      </c>
      <c r="J128" s="86">
        <f>ROUND((P128*Universe!C$2),0)</f>
        <v>0</v>
      </c>
      <c r="K128" s="87">
        <f>ROUND((B128+C128+D128+E128)*(I128+J128),2)</f>
        <v>0</v>
      </c>
      <c r="L128" s="32">
        <f>(I128+J128)*SUM(F128:H128)</f>
        <v>0</v>
      </c>
      <c r="M128" s="555"/>
      <c r="N128" s="165" t="e">
        <f>L128/(I128+J128)</f>
        <v>#DIV/0!</v>
      </c>
      <c r="O128" s="167">
        <v>0.01</v>
      </c>
      <c r="P128" s="167">
        <v>0.01</v>
      </c>
      <c r="Q128" s="167"/>
      <c r="R128" s="168">
        <f>F128*(I128+J128)</f>
        <v>0</v>
      </c>
      <c r="S128" s="168">
        <f>G128*(I128+J128)</f>
        <v>0</v>
      </c>
      <c r="T128" s="168">
        <f>H128*(I128+J128)</f>
        <v>0</v>
      </c>
      <c r="U128" s="188">
        <f>ROUND(((I128)*($B128+$C128+$D128+$E128))/(Universe!$C$6),2)</f>
        <v>0</v>
      </c>
      <c r="V128" s="188" t="e">
        <f>ROUND(((J128)*($B128+$C128+$D128+$E128))/(Universe!$C$2),2)</f>
        <v>#DIV/0!</v>
      </c>
      <c r="W128" s="167">
        <v>1</v>
      </c>
      <c r="X128" s="408">
        <f>IF(W128=1,U128,0)</f>
        <v>0</v>
      </c>
      <c r="Y128" s="408">
        <f>IF(W128=2,U128,0)</f>
        <v>0</v>
      </c>
      <c r="Z128" s="408" t="e">
        <f>IF(W128=1,V128,0)</f>
        <v>#DIV/0!</v>
      </c>
      <c r="AA128" s="408">
        <f>IF(W128=2,V128,0)</f>
        <v>0</v>
      </c>
      <c r="AM128" s="166" t="e">
        <f>#REF!*(I128+J128)</f>
        <v>#REF!</v>
      </c>
    </row>
    <row r="129" spans="1:39" ht="10.8" thickBot="1" x14ac:dyDescent="0.25">
      <c r="A129" s="189" t="s">
        <v>640</v>
      </c>
      <c r="B129" s="190">
        <v>0</v>
      </c>
      <c r="C129" s="207">
        <v>0.25</v>
      </c>
      <c r="D129" s="207">
        <v>1.5</v>
      </c>
      <c r="E129" s="207">
        <v>0.25</v>
      </c>
      <c r="F129" s="191">
        <f>ROUND(Costs!$B$3*B129+Costs!$B$4*C129+Costs!$B$5*D129+Costs!$B$6*E129,2)</f>
        <v>144.19999999999999</v>
      </c>
      <c r="G129" s="191" t="str">
        <f>Costs!$B$62</f>
        <v xml:space="preserve"> </v>
      </c>
      <c r="H129" s="191">
        <f>Costs!$B$19</f>
        <v>4.4000000000000004</v>
      </c>
      <c r="I129" s="192">
        <f>ROUND((O129*(Universe!C$6)),0)</f>
        <v>0</v>
      </c>
      <c r="J129" s="192">
        <f>ROUND((P129*Universe!C$2),0)</f>
        <v>0</v>
      </c>
      <c r="K129" s="193">
        <f>ROUND((B129+C129+D129+E129)*(I129+J129),2)</f>
        <v>0</v>
      </c>
      <c r="L129" s="191">
        <f>(I129+J129)*SUM(F129:H129)</f>
        <v>0</v>
      </c>
      <c r="M129" s="555"/>
      <c r="N129" s="165" t="e">
        <f>L129/(I129+J129)</f>
        <v>#DIV/0!</v>
      </c>
      <c r="O129" s="167">
        <v>0.01</v>
      </c>
      <c r="P129" s="167">
        <v>0.01</v>
      </c>
      <c r="Q129" s="167"/>
      <c r="R129" s="168">
        <f>F129*(I129+J129)</f>
        <v>0</v>
      </c>
      <c r="S129" s="168">
        <f>G129*(I129+J129)</f>
        <v>0</v>
      </c>
      <c r="T129" s="168">
        <f>H129*(I129+J129)</f>
        <v>0</v>
      </c>
      <c r="U129" s="188">
        <f>ROUND(((I129)*($B129+$C129+$D129+$E129))/(Universe!$C$6),2)</f>
        <v>0</v>
      </c>
      <c r="V129" s="188" t="e">
        <f>ROUND(((J129)*($B129+$C129+$D129+$E129))/(Universe!$C$2),2)</f>
        <v>#DIV/0!</v>
      </c>
      <c r="W129" s="167">
        <v>1</v>
      </c>
      <c r="X129" s="408">
        <f>IF(W129=1,U129,0)</f>
        <v>0</v>
      </c>
      <c r="Y129" s="408">
        <f>IF(W129=2,U129,0)</f>
        <v>0</v>
      </c>
      <c r="Z129" s="408" t="e">
        <f>IF(W129=1,V129,0)</f>
        <v>#DIV/0!</v>
      </c>
      <c r="AA129" s="408">
        <f>IF(W129=2,V129,0)</f>
        <v>0</v>
      </c>
      <c r="AE129" s="171">
        <f>I129</f>
        <v>0</v>
      </c>
      <c r="AF129" s="171">
        <f>J129</f>
        <v>0</v>
      </c>
      <c r="AM129" s="166" t="e">
        <f>#REF!*(I129+J129)</f>
        <v>#REF!</v>
      </c>
    </row>
    <row r="130" spans="1:39" ht="10.8" thickBot="1" x14ac:dyDescent="0.25">
      <c r="A130" s="200" t="s">
        <v>596</v>
      </c>
      <c r="B130" s="201" t="s">
        <v>597</v>
      </c>
      <c r="C130" s="201" t="s">
        <v>597</v>
      </c>
      <c r="D130" s="201" t="s">
        <v>597</v>
      </c>
      <c r="E130" s="201" t="s">
        <v>597</v>
      </c>
      <c r="F130" s="201" t="s">
        <v>597</v>
      </c>
      <c r="G130" s="201" t="s">
        <v>597</v>
      </c>
      <c r="H130" s="201" t="s">
        <v>597</v>
      </c>
      <c r="I130" s="202" t="s">
        <v>597</v>
      </c>
      <c r="J130" s="202" t="s">
        <v>597</v>
      </c>
      <c r="K130" s="203">
        <f>SUM(K127:K129)</f>
        <v>0</v>
      </c>
      <c r="L130" s="204">
        <f>SUM(L127:L129)</f>
        <v>0</v>
      </c>
      <c r="M130" s="555"/>
      <c r="N130" s="169" t="s">
        <v>597</v>
      </c>
      <c r="P130" s="171"/>
      <c r="Q130" s="171"/>
      <c r="R130" s="203">
        <f>SUM(R127:R129)</f>
        <v>0</v>
      </c>
      <c r="S130" s="203">
        <f>SUM(S127:S129)</f>
        <v>0</v>
      </c>
      <c r="T130" s="203">
        <f>SUM(T127:T129)</f>
        <v>0</v>
      </c>
      <c r="U130" s="188"/>
      <c r="V130" s="166"/>
      <c r="X130" s="203">
        <f>SUM(X127:X129)</f>
        <v>0</v>
      </c>
      <c r="Y130" s="203">
        <f>SUM(Y127:Y129)</f>
        <v>0</v>
      </c>
      <c r="Z130" s="203" t="e">
        <f>SUM(Z127:Z129)</f>
        <v>#DIV/0!</v>
      </c>
      <c r="AA130" s="203" t="e">
        <f>SUM(AA127:AA129)</f>
        <v>#DIV/0!</v>
      </c>
    </row>
    <row r="131" spans="1:39" x14ac:dyDescent="0.2">
      <c r="A131" s="194" t="s">
        <v>641</v>
      </c>
      <c r="B131" s="195"/>
      <c r="C131" s="197"/>
      <c r="D131" s="197"/>
      <c r="E131" s="197"/>
      <c r="F131" s="213"/>
      <c r="G131" s="213"/>
      <c r="H131" s="213"/>
      <c r="I131" s="205"/>
      <c r="J131" s="205"/>
      <c r="K131" s="214"/>
      <c r="L131" s="215"/>
      <c r="M131" s="556"/>
      <c r="N131" s="172"/>
      <c r="U131" s="188"/>
      <c r="V131" s="166"/>
    </row>
    <row r="132" spans="1:39" x14ac:dyDescent="0.2">
      <c r="A132" s="146" t="s">
        <v>610</v>
      </c>
      <c r="B132" s="85">
        <v>0</v>
      </c>
      <c r="C132" s="85">
        <v>0.25</v>
      </c>
      <c r="D132" s="85">
        <v>0.75</v>
      </c>
      <c r="E132" s="85">
        <v>0</v>
      </c>
      <c r="F132" s="32">
        <f>ROUND(Costs!$B$3*B132+Costs!$B$4*C132+Costs!$B$5*D132+Costs!$B$6*E132,2)</f>
        <v>78.819999999999993</v>
      </c>
      <c r="G132" s="32" t="str">
        <f>Costs!$B$62</f>
        <v xml:space="preserve"> </v>
      </c>
      <c r="H132" s="32">
        <f>Costs!$B$16</f>
        <v>0</v>
      </c>
      <c r="I132" s="86">
        <f>ROUND((O132*(Universe!C$6)),0)</f>
        <v>0</v>
      </c>
      <c r="J132" s="86">
        <f>ROUND((P132*Universe!C$2),0)</f>
        <v>0</v>
      </c>
      <c r="K132" s="87">
        <f>ROUND((B132+C132+D132+E132)*(I132+J132),2)</f>
        <v>0</v>
      </c>
      <c r="L132" s="32">
        <f>(I132+J132)*SUM(F132:H132)</f>
        <v>0</v>
      </c>
      <c r="M132" s="555"/>
      <c r="N132" s="165" t="e">
        <f>L132/(I132+J132)</f>
        <v>#DIV/0!</v>
      </c>
      <c r="O132" s="167">
        <v>0.01</v>
      </c>
      <c r="P132" s="167">
        <v>0.01</v>
      </c>
      <c r="Q132" s="167"/>
      <c r="R132" s="168">
        <f>F132*(I132+J132)</f>
        <v>0</v>
      </c>
      <c r="S132" s="168">
        <f>G132*(I132+J132)</f>
        <v>0</v>
      </c>
      <c r="T132" s="168">
        <f>H132*(I132+J132)</f>
        <v>0</v>
      </c>
      <c r="U132" s="188">
        <f>ROUND(((I132)*($B132+$C132+$D132+$E132))/(Universe!$C$6),2)</f>
        <v>0</v>
      </c>
      <c r="V132" s="188" t="e">
        <f>ROUND(((J132)*($B132+$C132+$D132+$E132))/(Universe!$C$2),2)</f>
        <v>#DIV/0!</v>
      </c>
      <c r="W132" s="167">
        <v>2</v>
      </c>
      <c r="X132" s="408">
        <f>IF(W132=1,U132,0)</f>
        <v>0</v>
      </c>
      <c r="Y132" s="408">
        <f>IF(W132=2,U132,0)</f>
        <v>0</v>
      </c>
      <c r="Z132" s="408">
        <f>IF(W132=1,V132,0)</f>
        <v>0</v>
      </c>
      <c r="AA132" s="408" t="e">
        <f>IF(W132=2,V132,0)</f>
        <v>#DIV/0!</v>
      </c>
      <c r="AM132" s="166" t="e">
        <f>#REF!*(I132+J132)</f>
        <v>#REF!</v>
      </c>
    </row>
    <row r="133" spans="1:39" ht="20.399999999999999" x14ac:dyDescent="0.2">
      <c r="A133" s="146" t="s">
        <v>297</v>
      </c>
      <c r="B133" s="85">
        <v>0</v>
      </c>
      <c r="C133" s="89">
        <v>0</v>
      </c>
      <c r="D133" s="89">
        <v>8</v>
      </c>
      <c r="E133" s="89">
        <v>0.5</v>
      </c>
      <c r="F133" s="32">
        <f>ROUND(Costs!$B$3*B133+Costs!$B$4*C133+Costs!$B$5*D133+Costs!$B$6*E133,2)</f>
        <v>602.72</v>
      </c>
      <c r="G133" s="32" t="str">
        <f>Costs!$B$62</f>
        <v xml:space="preserve"> </v>
      </c>
      <c r="H133" s="32">
        <f>Costs!$B$16</f>
        <v>0</v>
      </c>
      <c r="I133" s="86">
        <f>ROUND((O133*(Universe!C$6)),0)</f>
        <v>0</v>
      </c>
      <c r="J133" s="86">
        <f>ROUND((P133*Universe!C$2),0)</f>
        <v>0</v>
      </c>
      <c r="K133" s="87">
        <f>ROUND((B133+C133+D133+E133)*(I133+J133),2)</f>
        <v>0</v>
      </c>
      <c r="L133" s="32">
        <f>(I133+J133)*SUM(F133:H133)</f>
        <v>0</v>
      </c>
      <c r="M133" s="555"/>
      <c r="N133" s="165" t="e">
        <f>L133/(I133+J133)</f>
        <v>#DIV/0!</v>
      </c>
      <c r="O133" s="167">
        <v>0.01</v>
      </c>
      <c r="P133" s="167">
        <v>0.01</v>
      </c>
      <c r="Q133" s="167"/>
      <c r="R133" s="168">
        <f>F133*(I133+J133)</f>
        <v>0</v>
      </c>
      <c r="S133" s="168">
        <f>G133*(I133+J133)</f>
        <v>0</v>
      </c>
      <c r="T133" s="168">
        <f>H133*(I133+J133)</f>
        <v>0</v>
      </c>
      <c r="U133" s="188">
        <f>ROUND(((I133)*($B133+$C133+$D133+$E133))/(Universe!$C$6),2)</f>
        <v>0</v>
      </c>
      <c r="V133" s="188" t="e">
        <f>ROUND(((J133)*($B133+$C133+$D133+$E133))/(Universe!$C$2),2)</f>
        <v>#DIV/0!</v>
      </c>
      <c r="W133" s="167">
        <v>1</v>
      </c>
      <c r="X133" s="408">
        <f>IF(W133=1,U133,0)</f>
        <v>0</v>
      </c>
      <c r="Y133" s="408">
        <f>IF(W133=2,U133,0)</f>
        <v>0</v>
      </c>
      <c r="Z133" s="408" t="e">
        <f>IF(W133=1,V133,0)</f>
        <v>#DIV/0!</v>
      </c>
      <c r="AA133" s="408">
        <f>IF(W133=2,V133,0)</f>
        <v>0</v>
      </c>
      <c r="AM133" s="166" t="e">
        <f>#REF!*(I133+J133)</f>
        <v>#REF!</v>
      </c>
    </row>
    <row r="134" spans="1:39" ht="10.8" thickBot="1" x14ac:dyDescent="0.25">
      <c r="A134" s="189" t="s">
        <v>542</v>
      </c>
      <c r="B134" s="190">
        <v>0</v>
      </c>
      <c r="C134" s="207">
        <v>0.25</v>
      </c>
      <c r="D134" s="207">
        <v>4</v>
      </c>
      <c r="E134" s="207">
        <v>0.5</v>
      </c>
      <c r="F134" s="191">
        <f>ROUND(Costs!$B$3*B134+Costs!$B$4*C134+Costs!$B$5*D134+Costs!$B$6*E134,2)</f>
        <v>336.64</v>
      </c>
      <c r="G134" s="191" t="str">
        <f>Costs!$B$62</f>
        <v xml:space="preserve"> </v>
      </c>
      <c r="H134" s="191">
        <f>Costs!$B$19</f>
        <v>4.4000000000000004</v>
      </c>
      <c r="I134" s="192">
        <f>ROUND((O134*(Universe!C$6)),0)</f>
        <v>0</v>
      </c>
      <c r="J134" s="192">
        <f>ROUND((P134*Universe!C$2),0)</f>
        <v>0</v>
      </c>
      <c r="K134" s="193">
        <f>ROUND((B134+C134+D134+E134)*(I134+J134),2)</f>
        <v>0</v>
      </c>
      <c r="L134" s="191">
        <f>(I134+J134)*SUM(F134:H134)</f>
        <v>0</v>
      </c>
      <c r="M134" s="555"/>
      <c r="N134" s="165" t="e">
        <f>L134/(I134+J134)</f>
        <v>#DIV/0!</v>
      </c>
      <c r="O134" s="167">
        <v>0.01</v>
      </c>
      <c r="P134" s="167">
        <v>0.01</v>
      </c>
      <c r="Q134" s="167"/>
      <c r="R134" s="168">
        <f>F134*(I134+J134)</f>
        <v>0</v>
      </c>
      <c r="S134" s="168">
        <f>G134*(I134+J134)</f>
        <v>0</v>
      </c>
      <c r="T134" s="168">
        <f>H134*(I134+J134)</f>
        <v>0</v>
      </c>
      <c r="U134" s="188">
        <f>ROUND(((I134)*($B134+$C134+$D134+$E134))/(Universe!$C$6),2)</f>
        <v>0</v>
      </c>
      <c r="V134" s="188" t="e">
        <f>ROUND(((J134)*($B134+$C134+$D134+$E134))/(Universe!$C$2),2)</f>
        <v>#DIV/0!</v>
      </c>
      <c r="W134" s="167">
        <v>1</v>
      </c>
      <c r="X134" s="408">
        <f>IF(W134=1,U134,0)</f>
        <v>0</v>
      </c>
      <c r="Y134" s="408">
        <f>IF(W134=2,U134,0)</f>
        <v>0</v>
      </c>
      <c r="Z134" s="408" t="e">
        <f>IF(W134=1,V134,0)</f>
        <v>#DIV/0!</v>
      </c>
      <c r="AA134" s="408">
        <f>IF(W134=2,V134,0)</f>
        <v>0</v>
      </c>
      <c r="AE134" s="171">
        <f>I134</f>
        <v>0</v>
      </c>
      <c r="AF134" s="171">
        <f>J134</f>
        <v>0</v>
      </c>
      <c r="AM134" s="166" t="e">
        <f>#REF!*(I134+J134)</f>
        <v>#REF!</v>
      </c>
    </row>
    <row r="135" spans="1:39" ht="10.8" thickBot="1" x14ac:dyDescent="0.25">
      <c r="A135" s="200" t="s">
        <v>596</v>
      </c>
      <c r="B135" s="201" t="s">
        <v>597</v>
      </c>
      <c r="C135" s="201" t="s">
        <v>597</v>
      </c>
      <c r="D135" s="201" t="s">
        <v>597</v>
      </c>
      <c r="E135" s="201" t="s">
        <v>597</v>
      </c>
      <c r="F135" s="201" t="s">
        <v>597</v>
      </c>
      <c r="G135" s="201" t="s">
        <v>597</v>
      </c>
      <c r="H135" s="201" t="s">
        <v>597</v>
      </c>
      <c r="I135" s="202" t="s">
        <v>597</v>
      </c>
      <c r="J135" s="202" t="s">
        <v>597</v>
      </c>
      <c r="K135" s="203">
        <f>SUM(K132:K134)</f>
        <v>0</v>
      </c>
      <c r="L135" s="204">
        <f>SUM(L132:L134)</f>
        <v>0</v>
      </c>
      <c r="M135" s="555"/>
      <c r="N135" s="169" t="s">
        <v>597</v>
      </c>
      <c r="P135" s="171"/>
      <c r="Q135" s="171"/>
      <c r="R135" s="203">
        <f>SUM(R132:R134)</f>
        <v>0</v>
      </c>
      <c r="S135" s="203">
        <f>SUM(S132:S134)</f>
        <v>0</v>
      </c>
      <c r="T135" s="203">
        <f>SUM(T132:T134)</f>
        <v>0</v>
      </c>
      <c r="U135" s="188"/>
      <c r="V135" s="166"/>
      <c r="X135" s="203">
        <f>SUM(X132:X134)</f>
        <v>0</v>
      </c>
      <c r="Y135" s="203">
        <f>SUM(Y132:Y134)</f>
        <v>0</v>
      </c>
      <c r="Z135" s="203" t="e">
        <f>SUM(Z132:Z134)</f>
        <v>#DIV/0!</v>
      </c>
      <c r="AA135" s="203" t="e">
        <f>SUM(AA132:AA134)</f>
        <v>#DIV/0!</v>
      </c>
    </row>
    <row r="136" spans="1:39" ht="10.8" thickBot="1" x14ac:dyDescent="0.25">
      <c r="A136" s="200" t="s">
        <v>567</v>
      </c>
      <c r="B136" s="201" t="s">
        <v>597</v>
      </c>
      <c r="C136" s="201" t="s">
        <v>597</v>
      </c>
      <c r="D136" s="201" t="s">
        <v>597</v>
      </c>
      <c r="E136" s="201" t="s">
        <v>597</v>
      </c>
      <c r="F136" s="201" t="s">
        <v>597</v>
      </c>
      <c r="G136" s="201" t="s">
        <v>597</v>
      </c>
      <c r="H136" s="201" t="s">
        <v>597</v>
      </c>
      <c r="I136" s="202" t="s">
        <v>597</v>
      </c>
      <c r="J136" s="202" t="s">
        <v>597</v>
      </c>
      <c r="K136" s="203">
        <f>K118+K125+K130+K135</f>
        <v>218</v>
      </c>
      <c r="L136" s="204">
        <f>L118+L125+L130+L135</f>
        <v>13844.760000000002</v>
      </c>
      <c r="M136" s="555"/>
      <c r="N136" s="169" t="s">
        <v>597</v>
      </c>
      <c r="P136" s="171"/>
      <c r="Q136" s="171"/>
      <c r="R136" s="203">
        <f>R118+R125+R130+R135</f>
        <v>13759.960000000003</v>
      </c>
      <c r="S136" s="203">
        <f>S118+S125+S130+S135</f>
        <v>0</v>
      </c>
      <c r="T136" s="203">
        <f>T118+T125+T130+T135</f>
        <v>84.800000000000011</v>
      </c>
      <c r="U136" s="188"/>
      <c r="V136" s="166"/>
      <c r="X136" s="203">
        <f>X118+X125+X130+X135</f>
        <v>5.0600000000000005</v>
      </c>
      <c r="Y136" s="203">
        <f>Y118+Y125+Y130+Y135</f>
        <v>1</v>
      </c>
      <c r="Z136" s="203" t="e">
        <f>Z118+Z125+Z130+Z135</f>
        <v>#DIV/0!</v>
      </c>
      <c r="AA136" s="203" t="e">
        <f>AA118+AA125+AA130+AA135</f>
        <v>#DIV/0!</v>
      </c>
      <c r="AM136" s="166" t="e">
        <f>SUM(AM111:AM134)</f>
        <v>#REF!</v>
      </c>
    </row>
    <row r="137" spans="1:39" x14ac:dyDescent="0.2">
      <c r="B137" s="15"/>
      <c r="C137" s="15"/>
      <c r="D137" s="15"/>
      <c r="E137" s="15"/>
      <c r="F137" s="21"/>
      <c r="G137" s="21"/>
      <c r="H137" s="21"/>
      <c r="I137" s="22"/>
      <c r="J137" s="22"/>
      <c r="K137" s="64"/>
      <c r="L137" s="21"/>
      <c r="M137" s="21"/>
      <c r="N137" s="166"/>
      <c r="S137" s="166"/>
      <c r="T137" s="166"/>
      <c r="U137" s="188"/>
      <c r="V137" s="166"/>
      <c r="X137" s="410"/>
      <c r="Y137" s="410"/>
    </row>
    <row r="138" spans="1:39" x14ac:dyDescent="0.2">
      <c r="B138" s="15"/>
      <c r="C138" s="15"/>
      <c r="D138" s="15"/>
      <c r="E138" s="15"/>
      <c r="F138" s="21"/>
      <c r="G138" s="21"/>
      <c r="H138" s="21"/>
      <c r="I138" s="22"/>
      <c r="J138" s="22"/>
      <c r="K138" s="64"/>
      <c r="L138" s="21"/>
      <c r="M138" s="21"/>
      <c r="N138" s="166"/>
      <c r="S138" s="166"/>
      <c r="T138" s="166"/>
      <c r="U138" s="188"/>
      <c r="V138" s="166"/>
    </row>
    <row r="139" spans="1:39" x14ac:dyDescent="0.2">
      <c r="B139" s="18"/>
      <c r="F139" s="34"/>
      <c r="G139" s="34"/>
      <c r="I139" s="22"/>
      <c r="J139" s="22"/>
      <c r="L139" s="21"/>
      <c r="M139" s="21"/>
      <c r="N139" s="166"/>
      <c r="S139" s="166"/>
      <c r="T139" s="166"/>
      <c r="U139" s="188"/>
      <c r="V139" s="166"/>
      <c r="X139" s="410"/>
      <c r="Y139" s="410"/>
    </row>
    <row r="140" spans="1:39" x14ac:dyDescent="0.2">
      <c r="B140" s="18"/>
      <c r="F140" s="34"/>
      <c r="G140" s="34"/>
      <c r="I140" s="22"/>
      <c r="J140" s="22"/>
      <c r="L140" s="21"/>
      <c r="M140" s="21"/>
      <c r="N140" s="166"/>
      <c r="S140" s="166"/>
      <c r="T140" s="166"/>
      <c r="U140" s="188"/>
      <c r="V140" s="166"/>
    </row>
    <row r="141" spans="1:39" ht="18" x14ac:dyDescent="0.35">
      <c r="A141" s="568" t="s">
        <v>693</v>
      </c>
      <c r="B141" s="18"/>
      <c r="F141" s="34"/>
      <c r="G141" s="34"/>
      <c r="I141" s="22"/>
      <c r="J141" s="22"/>
      <c r="L141" s="21"/>
      <c r="M141" s="21"/>
      <c r="N141" s="166"/>
      <c r="S141" s="166"/>
      <c r="T141" s="166"/>
      <c r="U141" s="188"/>
      <c r="V141" s="166"/>
    </row>
    <row r="142" spans="1:39" ht="18" x14ac:dyDescent="0.35">
      <c r="A142" s="568" t="s">
        <v>599</v>
      </c>
      <c r="B142" s="18"/>
      <c r="F142" s="34"/>
      <c r="G142" s="34"/>
      <c r="I142" s="22"/>
      <c r="J142" s="22"/>
      <c r="L142" s="21"/>
      <c r="M142" s="21"/>
      <c r="N142" s="166"/>
      <c r="S142" s="166"/>
      <c r="T142" s="166"/>
      <c r="U142" s="188"/>
      <c r="V142" s="166"/>
    </row>
    <row r="143" spans="1:39" ht="18" x14ac:dyDescent="0.35">
      <c r="A143" s="568" t="s">
        <v>642</v>
      </c>
      <c r="B143" s="18"/>
      <c r="F143" s="34"/>
      <c r="G143" s="34"/>
      <c r="I143" s="22"/>
      <c r="J143" s="22"/>
      <c r="L143" s="21"/>
      <c r="M143" s="21"/>
      <c r="N143" s="166"/>
      <c r="S143" s="166"/>
      <c r="T143" s="166"/>
      <c r="U143" s="188"/>
      <c r="V143" s="166"/>
    </row>
    <row r="144" spans="1:39" ht="18" x14ac:dyDescent="0.35">
      <c r="A144" s="568" t="s">
        <v>601</v>
      </c>
      <c r="B144" s="18"/>
      <c r="F144" s="34"/>
      <c r="G144" s="34"/>
      <c r="I144" s="22"/>
      <c r="J144" s="22"/>
      <c r="L144" s="21"/>
      <c r="M144" s="21"/>
      <c r="N144" s="166"/>
      <c r="S144" s="166"/>
      <c r="T144" s="166"/>
      <c r="U144" s="188"/>
      <c r="V144" s="166"/>
    </row>
    <row r="145" spans="1:27" x14ac:dyDescent="0.2">
      <c r="F145" s="34"/>
      <c r="G145" s="34"/>
      <c r="U145" s="188"/>
    </row>
    <row r="146" spans="1:27" x14ac:dyDescent="0.2">
      <c r="I146" s="57" t="s">
        <v>602</v>
      </c>
      <c r="J146" s="58"/>
      <c r="K146" s="64"/>
      <c r="N146" s="166"/>
      <c r="P146" s="161"/>
      <c r="Q146" s="161"/>
      <c r="R146" s="161"/>
      <c r="S146" s="166"/>
      <c r="T146" s="166"/>
      <c r="U146" s="188"/>
      <c r="V146" s="166"/>
    </row>
    <row r="147" spans="1:27" x14ac:dyDescent="0.2">
      <c r="B147" s="57" t="s">
        <v>576</v>
      </c>
      <c r="C147" s="58"/>
      <c r="D147" s="58"/>
      <c r="E147" s="58"/>
      <c r="F147" s="61"/>
      <c r="G147" s="58"/>
      <c r="H147" s="60"/>
      <c r="I147" s="57" t="s">
        <v>593</v>
      </c>
      <c r="J147" s="58"/>
      <c r="K147" s="66" t="s">
        <v>577</v>
      </c>
      <c r="L147" s="60"/>
      <c r="M147" s="63"/>
      <c r="N147" s="166"/>
      <c r="P147" s="161"/>
      <c r="Q147" s="161"/>
      <c r="R147" s="161"/>
      <c r="S147" s="166"/>
      <c r="T147" s="166"/>
      <c r="U147" s="188"/>
      <c r="V147" s="166"/>
    </row>
    <row r="148" spans="1:27" x14ac:dyDescent="0.2">
      <c r="B148" s="54"/>
      <c r="C148" s="51"/>
      <c r="D148" s="51"/>
      <c r="E148" s="51"/>
      <c r="F148" s="52"/>
      <c r="G148" s="51"/>
      <c r="H148" s="53"/>
      <c r="I148" s="55"/>
      <c r="J148" s="56"/>
      <c r="K148" s="67"/>
      <c r="L148" s="56"/>
      <c r="M148" s="33"/>
      <c r="N148" s="166"/>
      <c r="P148" s="162"/>
      <c r="Q148" s="162"/>
      <c r="R148" s="162"/>
      <c r="S148" s="166"/>
      <c r="T148" s="166"/>
      <c r="U148" s="188"/>
      <c r="V148" s="166"/>
    </row>
    <row r="149" spans="1:27" x14ac:dyDescent="0.2">
      <c r="B149" s="19" t="s">
        <v>569</v>
      </c>
      <c r="C149" s="19" t="s">
        <v>570</v>
      </c>
      <c r="D149" s="19" t="s">
        <v>571</v>
      </c>
      <c r="E149" s="19" t="s">
        <v>572</v>
      </c>
      <c r="F149" s="28" t="s">
        <v>578</v>
      </c>
      <c r="G149" s="19" t="s">
        <v>579</v>
      </c>
      <c r="K149" s="68" t="s">
        <v>580</v>
      </c>
      <c r="L149" s="35" t="s">
        <v>580</v>
      </c>
      <c r="M149" s="35"/>
      <c r="N149" s="173"/>
      <c r="S149" s="173"/>
      <c r="T149" s="173"/>
      <c r="U149" s="188"/>
      <c r="V149" s="166"/>
    </row>
    <row r="150" spans="1:27" x14ac:dyDescent="0.2">
      <c r="B150" s="10">
        <f>Costs!$B$3</f>
        <v>164.9</v>
      </c>
      <c r="C150" s="10">
        <f>Costs!$B$4</f>
        <v>97.45</v>
      </c>
      <c r="D150" s="10">
        <f>Costs!$B$5</f>
        <v>72.61</v>
      </c>
      <c r="E150" s="10">
        <f>Costs!$B$6</f>
        <v>43.67</v>
      </c>
      <c r="F150" s="28" t="s">
        <v>583</v>
      </c>
      <c r="G150" s="19" t="s">
        <v>584</v>
      </c>
      <c r="H150" s="35" t="s">
        <v>585</v>
      </c>
      <c r="J150" s="19" t="s">
        <v>604</v>
      </c>
      <c r="K150" s="68" t="s">
        <v>582</v>
      </c>
      <c r="L150" s="35" t="s">
        <v>583</v>
      </c>
      <c r="M150" s="35"/>
      <c r="N150" s="173"/>
      <c r="S150" s="173"/>
      <c r="T150" s="173"/>
      <c r="U150" s="188"/>
      <c r="V150" s="166"/>
    </row>
    <row r="151" spans="1:27" x14ac:dyDescent="0.2">
      <c r="A151" s="20" t="s">
        <v>588</v>
      </c>
      <c r="B151" s="19" t="s">
        <v>590</v>
      </c>
      <c r="C151" s="19" t="s">
        <v>590</v>
      </c>
      <c r="D151" s="19" t="s">
        <v>590</v>
      </c>
      <c r="E151" s="19" t="s">
        <v>590</v>
      </c>
      <c r="F151" s="28" t="s">
        <v>607</v>
      </c>
      <c r="G151" s="19" t="s">
        <v>592</v>
      </c>
      <c r="H151" s="35" t="s">
        <v>592</v>
      </c>
      <c r="I151" s="19" t="s">
        <v>574</v>
      </c>
      <c r="J151" s="19" t="s">
        <v>606</v>
      </c>
      <c r="K151" s="68" t="s">
        <v>591</v>
      </c>
      <c r="L151" s="35" t="s">
        <v>591</v>
      </c>
      <c r="M151" s="35"/>
      <c r="N151" s="173"/>
      <c r="S151" s="173"/>
      <c r="T151" s="173"/>
      <c r="U151" s="188"/>
      <c r="V151" s="166"/>
    </row>
    <row r="152" spans="1:27" x14ac:dyDescent="0.2">
      <c r="A152" s="148" t="s">
        <v>643</v>
      </c>
      <c r="B152" s="149"/>
      <c r="C152" s="150"/>
      <c r="D152" s="150"/>
      <c r="E152" s="150"/>
      <c r="F152" s="153"/>
      <c r="G152" s="153"/>
      <c r="H152" s="153"/>
      <c r="I152" s="154"/>
      <c r="J152" s="154"/>
      <c r="K152" s="157"/>
      <c r="L152" s="158"/>
      <c r="M152" s="556"/>
      <c r="N152" s="172"/>
      <c r="U152" s="230" t="s">
        <v>608</v>
      </c>
      <c r="V152" s="231" t="s">
        <v>609</v>
      </c>
      <c r="W152" s="164" t="s">
        <v>573</v>
      </c>
    </row>
    <row r="153" spans="1:27" x14ac:dyDescent="0.2">
      <c r="A153" s="146" t="s">
        <v>610</v>
      </c>
      <c r="B153" s="85">
        <v>0</v>
      </c>
      <c r="C153" s="89">
        <v>0.5</v>
      </c>
      <c r="D153" s="89">
        <v>3</v>
      </c>
      <c r="E153" s="89">
        <v>0</v>
      </c>
      <c r="F153" s="32">
        <f>ROUND(Costs!$B$3*B153+Costs!$B$4*C153+Costs!$B$5*D153+Costs!$B$6*E153,2)</f>
        <v>266.56</v>
      </c>
      <c r="G153" s="32" t="str">
        <f>Costs!$B$62</f>
        <v xml:space="preserve"> </v>
      </c>
      <c r="H153" s="32">
        <f>Costs!$B$16</f>
        <v>0</v>
      </c>
      <c r="I153" s="86">
        <f>ROUND((O153*(Universe!C$6)),0)</f>
        <v>36</v>
      </c>
      <c r="J153" s="86">
        <f>ROUND((P153*Universe!C$2),0)</f>
        <v>0</v>
      </c>
      <c r="K153" s="87">
        <f t="shared" ref="K153:K158" si="29">ROUND((B153+C153+D153+E153)*(I153+J153),2)</f>
        <v>126</v>
      </c>
      <c r="L153" s="32">
        <f t="shared" ref="L153:L158" si="30">(I153+J153)*SUM(F153:H153)</f>
        <v>9596.16</v>
      </c>
      <c r="M153" s="555"/>
      <c r="N153" s="165">
        <f>L153/(I153+J153)</f>
        <v>266.56</v>
      </c>
      <c r="O153" s="167">
        <v>1</v>
      </c>
      <c r="P153" s="167">
        <v>1</v>
      </c>
      <c r="Q153" s="167"/>
      <c r="R153" s="168">
        <f t="shared" ref="R153:R158" si="31">F153*(I153+J153)</f>
        <v>9596.16</v>
      </c>
      <c r="S153" s="168">
        <f t="shared" ref="S153:S158" si="32">G153*(I153+J153)</f>
        <v>0</v>
      </c>
      <c r="T153" s="168">
        <f t="shared" ref="T153:T158" si="33">H153*(I153+J153)</f>
        <v>0</v>
      </c>
      <c r="U153" s="188">
        <f>ROUND(((I153)*($B153+$C153+$D153+$E153))/(Universe!$C$6),2)</f>
        <v>3.5</v>
      </c>
      <c r="V153" s="188" t="e">
        <f>ROUND(((J153)*($B153+$C153+$D153+$E153))/(Universe!$C$2),2)</f>
        <v>#DIV/0!</v>
      </c>
      <c r="W153" s="167">
        <v>2</v>
      </c>
      <c r="X153" s="408">
        <f t="shared" ref="X153:X158" si="34">IF(W153=1,U153,0)</f>
        <v>0</v>
      </c>
      <c r="Y153" s="408">
        <f t="shared" ref="Y153:Y158" si="35">IF(W153=2,U153,0)</f>
        <v>3.5</v>
      </c>
      <c r="Z153" s="408">
        <f t="shared" ref="Z153:Z158" si="36">IF(W153=1,V153,0)</f>
        <v>0</v>
      </c>
      <c r="AA153" s="408" t="e">
        <f t="shared" ref="AA153:AA158" si="37">IF(W153=2,V153,0)</f>
        <v>#DIV/0!</v>
      </c>
    </row>
    <row r="154" spans="1:27" x14ac:dyDescent="0.2">
      <c r="A154" s="146" t="s">
        <v>644</v>
      </c>
      <c r="B154" s="85">
        <v>0</v>
      </c>
      <c r="C154" s="89">
        <v>0</v>
      </c>
      <c r="D154" s="89">
        <v>8</v>
      </c>
      <c r="E154" s="89">
        <v>0</v>
      </c>
      <c r="F154" s="32">
        <f>ROUND(Costs!$B$3*B154+Costs!$B$4*C154+Costs!$B$5*D154+Costs!$B$6*E154,2)</f>
        <v>580.88</v>
      </c>
      <c r="G154" s="32" t="str">
        <f>Costs!$B$62</f>
        <v xml:space="preserve"> </v>
      </c>
      <c r="H154" s="32">
        <f>Costs!$B$16</f>
        <v>0</v>
      </c>
      <c r="I154" s="86">
        <f>ROUND((O154*(Universe!C$6)),0)</f>
        <v>0</v>
      </c>
      <c r="J154" s="86">
        <f>ROUND((P154*Universe!C$2),0)</f>
        <v>0</v>
      </c>
      <c r="K154" s="87">
        <f t="shared" si="29"/>
        <v>0</v>
      </c>
      <c r="L154" s="32">
        <f t="shared" si="30"/>
        <v>0</v>
      </c>
      <c r="M154" s="555"/>
      <c r="N154" s="165">
        <v>0</v>
      </c>
      <c r="O154" s="167">
        <v>0</v>
      </c>
      <c r="P154" s="167">
        <v>0</v>
      </c>
      <c r="Q154" s="167"/>
      <c r="R154" s="168">
        <f t="shared" si="31"/>
        <v>0</v>
      </c>
      <c r="S154" s="168">
        <f t="shared" si="32"/>
        <v>0</v>
      </c>
      <c r="T154" s="168">
        <f t="shared" si="33"/>
        <v>0</v>
      </c>
      <c r="U154" s="188">
        <f>ROUND(((I154)*($B154+$C154+$D154+$E154))/(Universe!$C$6),2)</f>
        <v>0</v>
      </c>
      <c r="V154" s="188" t="e">
        <f>ROUND(((J154)*($B154+$C154+$D154+$E154))/(Universe!$C$2),2)</f>
        <v>#DIV/0!</v>
      </c>
      <c r="W154" s="167">
        <v>1</v>
      </c>
      <c r="X154" s="408">
        <f t="shared" si="34"/>
        <v>0</v>
      </c>
      <c r="Y154" s="408">
        <f t="shared" si="35"/>
        <v>0</v>
      </c>
      <c r="Z154" s="408" t="e">
        <f t="shared" si="36"/>
        <v>#DIV/0!</v>
      </c>
      <c r="AA154" s="408">
        <f t="shared" si="37"/>
        <v>0</v>
      </c>
    </row>
    <row r="155" spans="1:27" x14ac:dyDescent="0.2">
      <c r="A155" s="146" t="s">
        <v>645</v>
      </c>
      <c r="B155" s="85">
        <v>0</v>
      </c>
      <c r="C155" s="89">
        <v>0</v>
      </c>
      <c r="D155" s="89">
        <v>2</v>
      </c>
      <c r="E155" s="89">
        <v>0.5</v>
      </c>
      <c r="F155" s="32">
        <f>ROUND(Costs!$B$3*B155+Costs!$B$4*C155+Costs!$B$5*D155+Costs!$B$6*E155,2)</f>
        <v>167.06</v>
      </c>
      <c r="G155" s="32" t="str">
        <f>Costs!$B$62</f>
        <v xml:space="preserve"> </v>
      </c>
      <c r="H155" s="32">
        <f>Costs!$B$16</f>
        <v>0</v>
      </c>
      <c r="I155" s="86">
        <f>ROUND((O155*(Universe!C$6)),0)</f>
        <v>0</v>
      </c>
      <c r="J155" s="86">
        <f>ROUND((P155*Universe!C$2),0)</f>
        <v>0</v>
      </c>
      <c r="K155" s="87">
        <f t="shared" si="29"/>
        <v>0</v>
      </c>
      <c r="L155" s="32">
        <f t="shared" si="30"/>
        <v>0</v>
      </c>
      <c r="M155" s="555"/>
      <c r="N155" s="165">
        <v>0</v>
      </c>
      <c r="O155" s="167">
        <v>0</v>
      </c>
      <c r="P155" s="167">
        <v>0</v>
      </c>
      <c r="Q155" s="167"/>
      <c r="R155" s="168">
        <f t="shared" si="31"/>
        <v>0</v>
      </c>
      <c r="S155" s="168">
        <f t="shared" si="32"/>
        <v>0</v>
      </c>
      <c r="T155" s="168">
        <f t="shared" si="33"/>
        <v>0</v>
      </c>
      <c r="U155" s="188">
        <f>ROUND(((I155)*($B155+$C155+$D155+$E155))/(Universe!$C$6),2)</f>
        <v>0</v>
      </c>
      <c r="V155" s="188" t="e">
        <f>ROUND(((J155)*($B155+$C155+$D155+$E155))/(Universe!$C$2),2)</f>
        <v>#DIV/0!</v>
      </c>
      <c r="W155" s="167">
        <v>1</v>
      </c>
      <c r="X155" s="408">
        <f t="shared" si="34"/>
        <v>0</v>
      </c>
      <c r="Y155" s="408">
        <f t="shared" si="35"/>
        <v>0</v>
      </c>
      <c r="Z155" s="408" t="e">
        <f t="shared" si="36"/>
        <v>#DIV/0!</v>
      </c>
      <c r="AA155" s="408">
        <f t="shared" si="37"/>
        <v>0</v>
      </c>
    </row>
    <row r="156" spans="1:27" x14ac:dyDescent="0.2">
      <c r="A156" s="146" t="s">
        <v>646</v>
      </c>
      <c r="B156" s="85">
        <v>0</v>
      </c>
      <c r="C156" s="89">
        <v>1</v>
      </c>
      <c r="D156" s="89">
        <v>20</v>
      </c>
      <c r="E156" s="89">
        <v>3</v>
      </c>
      <c r="F156" s="32">
        <f>ROUND(Costs!$B$3*B156+Costs!$B$4*C156+Costs!$B$5*D156+Costs!$B$6*E156,2)</f>
        <v>1680.66</v>
      </c>
      <c r="G156" s="32" t="str">
        <f>Costs!$B$62</f>
        <v xml:space="preserve"> </v>
      </c>
      <c r="H156" s="32">
        <f>Costs!$B$16</f>
        <v>0</v>
      </c>
      <c r="I156" s="86">
        <f>ROUND((O156*(Universe!C$6)),0)</f>
        <v>0</v>
      </c>
      <c r="J156" s="86">
        <f>ROUND((P156*Universe!C$2),0)</f>
        <v>0</v>
      </c>
      <c r="K156" s="87">
        <f t="shared" si="29"/>
        <v>0</v>
      </c>
      <c r="L156" s="32">
        <f t="shared" si="30"/>
        <v>0</v>
      </c>
      <c r="M156" s="555"/>
      <c r="N156" s="165">
        <f>IF(I156=0,0,L156/(N156+I156))</f>
        <v>0</v>
      </c>
      <c r="O156" s="167">
        <v>0</v>
      </c>
      <c r="P156" s="167">
        <v>0</v>
      </c>
      <c r="Q156" s="167"/>
      <c r="R156" s="168">
        <f t="shared" si="31"/>
        <v>0</v>
      </c>
      <c r="S156" s="168">
        <f t="shared" si="32"/>
        <v>0</v>
      </c>
      <c r="T156" s="168">
        <f t="shared" si="33"/>
        <v>0</v>
      </c>
      <c r="U156" s="188">
        <f>ROUND(((I156)*($B156+$C156+$D156+$E156))/(Universe!$C$6),2)</f>
        <v>0</v>
      </c>
      <c r="V156" s="188" t="e">
        <f>ROUND(((J156)*($B156+$C156+$D156+$E156))/(Universe!$C$2),2)</f>
        <v>#DIV/0!</v>
      </c>
      <c r="W156" s="167">
        <v>1</v>
      </c>
      <c r="X156" s="408">
        <f t="shared" si="34"/>
        <v>0</v>
      </c>
      <c r="Y156" s="408">
        <f t="shared" si="35"/>
        <v>0</v>
      </c>
      <c r="Z156" s="408" t="e">
        <f t="shared" si="36"/>
        <v>#DIV/0!</v>
      </c>
      <c r="AA156" s="408">
        <f t="shared" si="37"/>
        <v>0</v>
      </c>
    </row>
    <row r="157" spans="1:27" x14ac:dyDescent="0.2">
      <c r="A157" s="146" t="s">
        <v>99</v>
      </c>
      <c r="B157" s="85">
        <v>0</v>
      </c>
      <c r="C157" s="89">
        <v>0.25</v>
      </c>
      <c r="D157" s="89">
        <v>0.25</v>
      </c>
      <c r="E157" s="89">
        <v>0</v>
      </c>
      <c r="F157" s="32">
        <f>ROUND(Costs!$B$3*B157+Costs!$B$4*C157+Costs!$B$5*D157+Costs!$B$6*E157,2)</f>
        <v>42.52</v>
      </c>
      <c r="G157" s="32" t="str">
        <f>Costs!$B$62</f>
        <v xml:space="preserve"> </v>
      </c>
      <c r="H157" s="32">
        <f>Costs!$B$16</f>
        <v>0</v>
      </c>
      <c r="I157" s="86">
        <f>ROUND((O157*(Universe!C$6)),0)</f>
        <v>0</v>
      </c>
      <c r="J157" s="86">
        <f>ROUND((P157*Universe!C$2),0)</f>
        <v>0</v>
      </c>
      <c r="K157" s="87">
        <f t="shared" si="29"/>
        <v>0</v>
      </c>
      <c r="L157" s="32">
        <f t="shared" si="30"/>
        <v>0</v>
      </c>
      <c r="M157" s="555"/>
      <c r="N157" s="165">
        <f>IF(I157=0,0,L157/(N157+I157))</f>
        <v>0</v>
      </c>
      <c r="O157" s="167">
        <v>0</v>
      </c>
      <c r="P157" s="167">
        <v>0</v>
      </c>
      <c r="Q157" s="167"/>
      <c r="R157" s="168">
        <f t="shared" si="31"/>
        <v>0</v>
      </c>
      <c r="S157" s="168">
        <f t="shared" si="32"/>
        <v>0</v>
      </c>
      <c r="T157" s="168">
        <f t="shared" si="33"/>
        <v>0</v>
      </c>
      <c r="U157" s="188">
        <f>ROUND(((I157)*($B157+$C157+$D157+$E157))/(Universe!$C$6),2)</f>
        <v>0</v>
      </c>
      <c r="V157" s="188" t="e">
        <f>ROUND(((J157)*($B157+$C157+$D157+$E157))/(Universe!$C$2),2)</f>
        <v>#DIV/0!</v>
      </c>
      <c r="W157" s="167">
        <v>1</v>
      </c>
      <c r="X157" s="408">
        <f t="shared" si="34"/>
        <v>0</v>
      </c>
      <c r="Y157" s="408">
        <f t="shared" si="35"/>
        <v>0</v>
      </c>
      <c r="Z157" s="408" t="e">
        <f t="shared" si="36"/>
        <v>#DIV/0!</v>
      </c>
      <c r="AA157" s="408">
        <f t="shared" si="37"/>
        <v>0</v>
      </c>
    </row>
    <row r="158" spans="1:27" ht="10.8" thickBot="1" x14ac:dyDescent="0.25">
      <c r="A158" s="189" t="s">
        <v>647</v>
      </c>
      <c r="B158" s="190">
        <v>0</v>
      </c>
      <c r="C158" s="207">
        <v>0.5</v>
      </c>
      <c r="D158" s="207">
        <v>1</v>
      </c>
      <c r="E158" s="207">
        <v>0.5</v>
      </c>
      <c r="F158" s="191">
        <f>ROUND(Costs!$B$3*B158+Costs!$B$4*C158+Costs!$B$5*D158+Costs!$B$6*E158,2)</f>
        <v>143.16999999999999</v>
      </c>
      <c r="G158" s="191" t="str">
        <f>Costs!$B$62</f>
        <v xml:space="preserve"> </v>
      </c>
      <c r="H158" s="191">
        <f>Costs!$B$16</f>
        <v>0</v>
      </c>
      <c r="I158" s="192">
        <f>ROUND((O158*(Universe!C$6)),0)</f>
        <v>0</v>
      </c>
      <c r="J158" s="192">
        <f>ROUND((P158*Universe!C$2),0)</f>
        <v>0</v>
      </c>
      <c r="K158" s="193">
        <f t="shared" si="29"/>
        <v>0</v>
      </c>
      <c r="L158" s="191">
        <f t="shared" si="30"/>
        <v>0</v>
      </c>
      <c r="M158" s="555"/>
      <c r="N158" s="165">
        <f>IF(I158=0,0,L158/(N158+I158))</f>
        <v>0</v>
      </c>
      <c r="O158" s="167">
        <v>0</v>
      </c>
      <c r="P158" s="167">
        <v>0</v>
      </c>
      <c r="Q158" s="167"/>
      <c r="R158" s="168">
        <f t="shared" si="31"/>
        <v>0</v>
      </c>
      <c r="S158" s="168">
        <f t="shared" si="32"/>
        <v>0</v>
      </c>
      <c r="T158" s="168">
        <f t="shared" si="33"/>
        <v>0</v>
      </c>
      <c r="U158" s="188">
        <f>ROUND(((I158)*($B158+$C158+$D158+$E158))/(Universe!$C$6),2)</f>
        <v>0</v>
      </c>
      <c r="V158" s="188" t="e">
        <f>ROUND(((J158)*($B158+$C158+$D158+$E158))/(Universe!$C$2),2)</f>
        <v>#DIV/0!</v>
      </c>
      <c r="W158" s="167">
        <v>1</v>
      </c>
      <c r="X158" s="408">
        <f t="shared" si="34"/>
        <v>0</v>
      </c>
      <c r="Y158" s="408">
        <f t="shared" si="35"/>
        <v>0</v>
      </c>
      <c r="Z158" s="408" t="e">
        <f t="shared" si="36"/>
        <v>#DIV/0!</v>
      </c>
      <c r="AA158" s="408">
        <f t="shared" si="37"/>
        <v>0</v>
      </c>
    </row>
    <row r="159" spans="1:27" ht="10.8" thickBot="1" x14ac:dyDescent="0.25">
      <c r="A159" s="200" t="s">
        <v>596</v>
      </c>
      <c r="B159" s="201" t="s">
        <v>597</v>
      </c>
      <c r="C159" s="201" t="s">
        <v>597</v>
      </c>
      <c r="D159" s="201" t="s">
        <v>597</v>
      </c>
      <c r="E159" s="201" t="s">
        <v>597</v>
      </c>
      <c r="F159" s="201" t="s">
        <v>597</v>
      </c>
      <c r="G159" s="201" t="s">
        <v>597</v>
      </c>
      <c r="H159" s="201" t="s">
        <v>597</v>
      </c>
      <c r="I159" s="202" t="s">
        <v>597</v>
      </c>
      <c r="J159" s="202" t="s">
        <v>597</v>
      </c>
      <c r="K159" s="203">
        <f>SUM(K153:K158)</f>
        <v>126</v>
      </c>
      <c r="L159" s="204">
        <f>SUM(L153:L158)</f>
        <v>9596.16</v>
      </c>
      <c r="M159" s="555"/>
      <c r="N159" s="169" t="s">
        <v>597</v>
      </c>
      <c r="P159" s="171"/>
      <c r="Q159" s="171"/>
      <c r="R159" s="203">
        <f>SUM(R153:R158)</f>
        <v>9596.16</v>
      </c>
      <c r="S159" s="203">
        <f>SUM(S153:S158)</f>
        <v>0</v>
      </c>
      <c r="T159" s="203">
        <f>SUM(T153:T158)</f>
        <v>0</v>
      </c>
      <c r="U159" s="188"/>
      <c r="V159" s="166"/>
      <c r="X159" s="203">
        <f>SUM(X153:X158)</f>
        <v>0</v>
      </c>
      <c r="Y159" s="203">
        <f>SUM(Y153:Y158)</f>
        <v>3.5</v>
      </c>
      <c r="Z159" s="203" t="e">
        <f>SUM(Z153:Z158)</f>
        <v>#DIV/0!</v>
      </c>
      <c r="AA159" s="203" t="e">
        <f>SUM(AA153:AA158)</f>
        <v>#DIV/0!</v>
      </c>
    </row>
    <row r="160" spans="1:27" x14ac:dyDescent="0.2">
      <c r="A160" s="194" t="s">
        <v>298</v>
      </c>
      <c r="B160" s="195"/>
      <c r="C160" s="197"/>
      <c r="D160" s="197"/>
      <c r="E160" s="197"/>
      <c r="F160" s="213"/>
      <c r="G160" s="213"/>
      <c r="H160" s="213"/>
      <c r="I160" s="197"/>
      <c r="J160" s="197"/>
      <c r="K160" s="214"/>
      <c r="L160" s="215"/>
      <c r="M160" s="556"/>
      <c r="N160" s="172"/>
      <c r="U160" s="188"/>
      <c r="V160" s="166"/>
    </row>
    <row r="161" spans="1:32" ht="20.399999999999999" x14ac:dyDescent="0.2">
      <c r="A161" s="146" t="s">
        <v>648</v>
      </c>
      <c r="B161" s="85">
        <v>0</v>
      </c>
      <c r="C161" s="89">
        <v>0.25</v>
      </c>
      <c r="D161" s="89">
        <v>1</v>
      </c>
      <c r="E161" s="89">
        <v>0.25</v>
      </c>
      <c r="F161" s="32">
        <f>ROUND(Costs!$B$3*B161+Costs!$B$4*C161+Costs!$B$5*D161+Costs!$B$6*E161,2)</f>
        <v>107.89</v>
      </c>
      <c r="G161" s="32" t="str">
        <f>Costs!$B$62</f>
        <v xml:space="preserve"> </v>
      </c>
      <c r="H161" s="32">
        <f>Costs!$B$19</f>
        <v>4.4000000000000004</v>
      </c>
      <c r="I161" s="86">
        <f>ROUND((O161*(Universe!C$6)),0)</f>
        <v>0</v>
      </c>
      <c r="J161" s="86">
        <f>ROUND((P161*Universe!C$2),0)</f>
        <v>0</v>
      </c>
      <c r="K161" s="87">
        <f>ROUND((B161+C161+D161+E161)*(I161+J161),2)</f>
        <v>0</v>
      </c>
      <c r="L161" s="32">
        <f>(I161+J161)*SUM(F161:H161)</f>
        <v>0</v>
      </c>
      <c r="M161" s="555"/>
      <c r="N161" s="165" t="e">
        <f>L161/(I161+J161)</f>
        <v>#DIV/0!</v>
      </c>
      <c r="O161" s="167">
        <v>0</v>
      </c>
      <c r="P161" s="167">
        <v>0.05</v>
      </c>
      <c r="Q161" s="167"/>
      <c r="R161" s="168">
        <f>F161*(I161+J161)</f>
        <v>0</v>
      </c>
      <c r="S161" s="168">
        <f>G161*(I161+J161)</f>
        <v>0</v>
      </c>
      <c r="T161" s="168">
        <f>H161*(I161+J161)</f>
        <v>0</v>
      </c>
      <c r="U161" s="188">
        <f>ROUND(((I161)*($B161+$C161+$D161+$E161))/(Universe!$C$6),2)</f>
        <v>0</v>
      </c>
      <c r="V161" s="188" t="e">
        <f>ROUND(((J161)*($B161+$C161+$D161+$E161))/(Universe!$C$2),2)</f>
        <v>#DIV/0!</v>
      </c>
      <c r="W161" s="167">
        <v>1</v>
      </c>
      <c r="X161" s="408">
        <f>IF(W161=1,U161,0)</f>
        <v>0</v>
      </c>
      <c r="Y161" s="408">
        <f>IF(W161=2,U161,0)</f>
        <v>0</v>
      </c>
      <c r="Z161" s="408" t="e">
        <f>IF(W161=1,V161,0)</f>
        <v>#DIV/0!</v>
      </c>
      <c r="AA161" s="408">
        <f>IF(W161=2,V161,0)</f>
        <v>0</v>
      </c>
      <c r="AE161" s="171">
        <f>I161</f>
        <v>0</v>
      </c>
      <c r="AF161" s="171">
        <f>J161</f>
        <v>0</v>
      </c>
    </row>
    <row r="162" spans="1:32" ht="10.8" thickBot="1" x14ac:dyDescent="0.25">
      <c r="A162" s="189" t="s">
        <v>649</v>
      </c>
      <c r="B162" s="190">
        <v>0</v>
      </c>
      <c r="C162" s="207">
        <v>0</v>
      </c>
      <c r="D162" s="207">
        <v>8</v>
      </c>
      <c r="E162" s="207">
        <v>1</v>
      </c>
      <c r="F162" s="191">
        <f>ROUND(Costs!$B$3*B162+Costs!$B$4*C162+Costs!$B$5*D162+Costs!$B$6*E162,2)</f>
        <v>624.54999999999995</v>
      </c>
      <c r="G162" s="191" t="str">
        <f>Costs!$B$62</f>
        <v xml:space="preserve"> </v>
      </c>
      <c r="H162" s="191">
        <f>Costs!$B$19</f>
        <v>4.4000000000000004</v>
      </c>
      <c r="I162" s="192">
        <f>ROUND((O162*(Universe!C$6)),0)</f>
        <v>0</v>
      </c>
      <c r="J162" s="192">
        <f>ROUND((P162*Universe!C$2),0)</f>
        <v>0</v>
      </c>
      <c r="K162" s="193">
        <f>ROUND((B162+C162+D162+E162)*(I162+J162),2)</f>
        <v>0</v>
      </c>
      <c r="L162" s="191">
        <f>(I162+J162)*SUM(F162:H162)</f>
        <v>0</v>
      </c>
      <c r="M162" s="555"/>
      <c r="N162" s="165" t="e">
        <f>L162/(I162+J162)</f>
        <v>#DIV/0!</v>
      </c>
      <c r="O162" s="167">
        <v>0</v>
      </c>
      <c r="P162" s="167">
        <v>0.05</v>
      </c>
      <c r="Q162" s="167"/>
      <c r="R162" s="168">
        <f>F162*(I162+J162)</f>
        <v>0</v>
      </c>
      <c r="S162" s="168">
        <f>G162*(I162+J162)</f>
        <v>0</v>
      </c>
      <c r="T162" s="168">
        <f>H162*(I162+J162)</f>
        <v>0</v>
      </c>
      <c r="U162" s="188">
        <f>ROUND(((I162)*($B162+$C162+$D162+$E162))/(Universe!$C$6),2)</f>
        <v>0</v>
      </c>
      <c r="V162" s="188" t="e">
        <f>ROUND(((J162)*($B162+$C162+$D162+$E162))/(Universe!$C$2),2)</f>
        <v>#DIV/0!</v>
      </c>
      <c r="W162" s="167">
        <v>1</v>
      </c>
      <c r="X162" s="408">
        <f>IF(W162=1,U162,0)</f>
        <v>0</v>
      </c>
      <c r="Y162" s="408">
        <f>IF(W162=2,U162,0)</f>
        <v>0</v>
      </c>
      <c r="Z162" s="408" t="e">
        <f>IF(W162=1,V162,0)</f>
        <v>#DIV/0!</v>
      </c>
      <c r="AA162" s="408">
        <f>IF(W162=2,V162,0)</f>
        <v>0</v>
      </c>
      <c r="AE162" s="171">
        <f>I162</f>
        <v>0</v>
      </c>
      <c r="AF162" s="171">
        <f>J162</f>
        <v>0</v>
      </c>
    </row>
    <row r="163" spans="1:32" ht="10.8" thickBot="1" x14ac:dyDescent="0.25">
      <c r="A163" s="200" t="s">
        <v>596</v>
      </c>
      <c r="B163" s="201" t="s">
        <v>597</v>
      </c>
      <c r="C163" s="201" t="s">
        <v>597</v>
      </c>
      <c r="D163" s="201" t="s">
        <v>597</v>
      </c>
      <c r="E163" s="201" t="s">
        <v>597</v>
      </c>
      <c r="F163" s="201" t="s">
        <v>597</v>
      </c>
      <c r="G163" s="201" t="s">
        <v>597</v>
      </c>
      <c r="H163" s="201" t="s">
        <v>597</v>
      </c>
      <c r="I163" s="202" t="s">
        <v>597</v>
      </c>
      <c r="J163" s="202" t="s">
        <v>597</v>
      </c>
      <c r="K163" s="203">
        <f>SUM(K161:K162)</f>
        <v>0</v>
      </c>
      <c r="L163" s="204">
        <f>SUM(L161:L162)</f>
        <v>0</v>
      </c>
      <c r="M163" s="555"/>
      <c r="N163" s="169" t="s">
        <v>597</v>
      </c>
      <c r="P163" s="171"/>
      <c r="Q163" s="171"/>
      <c r="R163" s="203">
        <f>SUM(R161:R162)</f>
        <v>0</v>
      </c>
      <c r="S163" s="203">
        <f>SUM(S161:S162)</f>
        <v>0</v>
      </c>
      <c r="T163" s="203">
        <f>SUM(T161:T162)</f>
        <v>0</v>
      </c>
      <c r="U163" s="414"/>
      <c r="V163" s="188"/>
      <c r="X163" s="203">
        <f>SUM(X161:X162)</f>
        <v>0</v>
      </c>
      <c r="Y163" s="203">
        <f>SUM(Y161:Y162)</f>
        <v>0</v>
      </c>
      <c r="Z163" s="203" t="e">
        <f>SUM(Z161:Z162)</f>
        <v>#DIV/0!</v>
      </c>
      <c r="AA163" s="203">
        <f>SUM(AA161:AA162)</f>
        <v>0</v>
      </c>
    </row>
    <row r="164" spans="1:32" x14ac:dyDescent="0.2">
      <c r="A164" s="194" t="s">
        <v>299</v>
      </c>
      <c r="B164" s="195"/>
      <c r="C164" s="197"/>
      <c r="D164" s="197"/>
      <c r="E164" s="197"/>
      <c r="F164" s="213"/>
      <c r="G164" s="213"/>
      <c r="H164" s="213"/>
      <c r="I164" s="205"/>
      <c r="J164" s="205"/>
      <c r="K164" s="214"/>
      <c r="L164" s="215"/>
      <c r="M164" s="556"/>
      <c r="N164" s="172"/>
      <c r="U164" s="188"/>
      <c r="V164" s="166"/>
    </row>
    <row r="165" spans="1:32" x14ac:dyDescent="0.2">
      <c r="A165" s="146" t="s">
        <v>650</v>
      </c>
      <c r="B165" s="85">
        <v>0</v>
      </c>
      <c r="C165" s="89">
        <v>0.25</v>
      </c>
      <c r="D165" s="89">
        <v>0.5</v>
      </c>
      <c r="E165" s="89">
        <v>0.25</v>
      </c>
      <c r="F165" s="32">
        <f>ROUND(Costs!$B$3*B165+Costs!$B$4*C165+Costs!$B$5*D165+Costs!$B$6*E165,2)</f>
        <v>71.59</v>
      </c>
      <c r="G165" s="32" t="str">
        <f>Costs!$B$62</f>
        <v xml:space="preserve"> </v>
      </c>
      <c r="H165" s="32">
        <f>Costs!$B$19</f>
        <v>4.4000000000000004</v>
      </c>
      <c r="I165" s="86">
        <f>ROUND((O165*(Universe!C$6)),0)</f>
        <v>0</v>
      </c>
      <c r="J165" s="86">
        <f>Universe!$C$4</f>
        <v>0</v>
      </c>
      <c r="K165" s="87">
        <f>ROUND((B165+C165+D165+E165)*(I165+J165),2)</f>
        <v>0</v>
      </c>
      <c r="L165" s="32">
        <f>(I165+J165)*SUM(F165:H165)</f>
        <v>0</v>
      </c>
      <c r="M165" s="555"/>
      <c r="N165" s="165">
        <f>IF(I165=0,0,L165/(N165+I165))</f>
        <v>0</v>
      </c>
      <c r="O165" s="167">
        <v>0</v>
      </c>
      <c r="P165" s="167">
        <v>0</v>
      </c>
      <c r="Q165" s="167"/>
      <c r="R165" s="168">
        <f>F165*(I165+J165)</f>
        <v>0</v>
      </c>
      <c r="S165" s="168">
        <f>G165*(I165+J165)</f>
        <v>0</v>
      </c>
      <c r="T165" s="168">
        <f>H165*(I165+J165)</f>
        <v>0</v>
      </c>
      <c r="U165" s="188">
        <f>ROUND(((I165)*($B165+$C165+$D165+$E165))/(Universe!$C$6),2)</f>
        <v>0</v>
      </c>
      <c r="V165" s="188" t="e">
        <f>ROUND(((J165)*($B165+$C165+$D165+$E165))/(Universe!$C$2),2)</f>
        <v>#DIV/0!</v>
      </c>
      <c r="W165" s="167">
        <v>1</v>
      </c>
      <c r="X165" s="408">
        <f>IF(W165=1,U165,0)</f>
        <v>0</v>
      </c>
      <c r="Y165" s="408">
        <f>IF(W165=2,U165,0)</f>
        <v>0</v>
      </c>
      <c r="Z165" s="408" t="e">
        <f>IF(W165=1,V165,0)</f>
        <v>#DIV/0!</v>
      </c>
      <c r="AA165" s="408">
        <f>IF(W165=2,V165,0)</f>
        <v>0</v>
      </c>
      <c r="AE165" s="171">
        <f>I165</f>
        <v>0</v>
      </c>
      <c r="AF165" s="171">
        <f>J165</f>
        <v>0</v>
      </c>
    </row>
    <row r="166" spans="1:32" ht="10.8" thickBot="1" x14ac:dyDescent="0.25">
      <c r="A166" s="189" t="s">
        <v>651</v>
      </c>
      <c r="B166" s="190">
        <v>0</v>
      </c>
      <c r="C166" s="207">
        <v>0</v>
      </c>
      <c r="D166" s="207">
        <v>0</v>
      </c>
      <c r="E166" s="207">
        <v>1</v>
      </c>
      <c r="F166" s="191">
        <f>ROUND(Costs!$B$3*B166+Costs!$B$4*C166+Costs!$B$5*D166+Costs!$B$6*E166,2)</f>
        <v>43.67</v>
      </c>
      <c r="G166" s="191" t="str">
        <f>Costs!$B$62</f>
        <v xml:space="preserve"> </v>
      </c>
      <c r="H166" s="191">
        <f>Costs!$B$19</f>
        <v>4.4000000000000004</v>
      </c>
      <c r="I166" s="192">
        <f>ROUND((O166*(Universe!C$6)),0)</f>
        <v>0</v>
      </c>
      <c r="J166" s="192">
        <f>Universe!$C$4</f>
        <v>0</v>
      </c>
      <c r="K166" s="193">
        <f>ROUND((B166+C166+D166+E166)*(I166+J166),2)</f>
        <v>0</v>
      </c>
      <c r="L166" s="191">
        <f>(I166+J166)*SUM(F166:H166)</f>
        <v>0</v>
      </c>
      <c r="M166" s="555"/>
      <c r="N166" s="165">
        <f>IF(I166=0,0,L166/(N166+I166))</f>
        <v>0</v>
      </c>
      <c r="O166" s="167">
        <v>0</v>
      </c>
      <c r="P166" s="167">
        <v>0</v>
      </c>
      <c r="Q166" s="167"/>
      <c r="R166" s="168">
        <f>F166*(I166+J166)</f>
        <v>0</v>
      </c>
      <c r="S166" s="168">
        <f>G166*(I166+J166)</f>
        <v>0</v>
      </c>
      <c r="T166" s="168">
        <f>H166*(I166+J166)</f>
        <v>0</v>
      </c>
      <c r="U166" s="188">
        <f>ROUND(((I166)*($B166+$C166+$D166+$E166))/(Universe!$C$6),2)</f>
        <v>0</v>
      </c>
      <c r="V166" s="188" t="e">
        <f>ROUND(((J166)*($B166+$C166+$D166+$E166))/(Universe!$C$2),2)</f>
        <v>#DIV/0!</v>
      </c>
      <c r="W166" s="167">
        <v>1</v>
      </c>
      <c r="X166" s="408">
        <f>IF(W166=1,U166,0)</f>
        <v>0</v>
      </c>
      <c r="Y166" s="408">
        <f>IF(W166=2,U166,0)</f>
        <v>0</v>
      </c>
      <c r="Z166" s="408" t="e">
        <f>IF(W166=1,V166,0)</f>
        <v>#DIV/0!</v>
      </c>
      <c r="AA166" s="408">
        <f>IF(W166=2,V166,0)</f>
        <v>0</v>
      </c>
      <c r="AE166" s="171">
        <f>I166</f>
        <v>0</v>
      </c>
      <c r="AF166" s="171">
        <f>J166</f>
        <v>0</v>
      </c>
    </row>
    <row r="167" spans="1:32" ht="10.8" thickBot="1" x14ac:dyDescent="0.25">
      <c r="A167" s="200" t="s">
        <v>596</v>
      </c>
      <c r="B167" s="201" t="s">
        <v>597</v>
      </c>
      <c r="C167" s="201" t="s">
        <v>597</v>
      </c>
      <c r="D167" s="201" t="s">
        <v>597</v>
      </c>
      <c r="E167" s="201" t="s">
        <v>597</v>
      </c>
      <c r="F167" s="201" t="s">
        <v>597</v>
      </c>
      <c r="G167" s="201" t="s">
        <v>597</v>
      </c>
      <c r="H167" s="201" t="s">
        <v>597</v>
      </c>
      <c r="I167" s="202" t="s">
        <v>597</v>
      </c>
      <c r="J167" s="202" t="s">
        <v>597</v>
      </c>
      <c r="K167" s="203">
        <f>SUM(K165:K166)</f>
        <v>0</v>
      </c>
      <c r="L167" s="204">
        <f>SUM(L165:L166)</f>
        <v>0</v>
      </c>
      <c r="M167" s="555"/>
      <c r="N167" s="169" t="s">
        <v>597</v>
      </c>
      <c r="P167" s="171"/>
      <c r="Q167" s="171"/>
      <c r="R167" s="203">
        <f>SUM(R165:R166)</f>
        <v>0</v>
      </c>
      <c r="S167" s="203">
        <f>SUM(S165:S166)</f>
        <v>0</v>
      </c>
      <c r="T167" s="203">
        <f>SUM(T165:T166)</f>
        <v>0</v>
      </c>
      <c r="U167" s="188"/>
      <c r="V167" s="188"/>
      <c r="X167" s="203">
        <f>SUM(X165:X166)</f>
        <v>0</v>
      </c>
      <c r="Y167" s="203">
        <f>SUM(Y165:Y166)</f>
        <v>0</v>
      </c>
      <c r="Z167" s="203" t="e">
        <f>SUM(Z165:Z166)</f>
        <v>#DIV/0!</v>
      </c>
      <c r="AA167" s="203">
        <f>SUM(AA165:AA166)</f>
        <v>0</v>
      </c>
    </row>
    <row r="168" spans="1:32" x14ac:dyDescent="0.2">
      <c r="A168" s="194" t="s">
        <v>300</v>
      </c>
      <c r="B168" s="195"/>
      <c r="C168" s="197"/>
      <c r="D168" s="197"/>
      <c r="E168" s="197"/>
      <c r="F168" s="213"/>
      <c r="G168" s="213"/>
      <c r="H168" s="213"/>
      <c r="I168" s="205"/>
      <c r="J168" s="205"/>
      <c r="K168" s="214"/>
      <c r="L168" s="215"/>
      <c r="M168" s="556"/>
      <c r="N168" s="172"/>
      <c r="U168" s="188"/>
      <c r="V168" s="188"/>
    </row>
    <row r="169" spans="1:32" ht="30.6" x14ac:dyDescent="0.2">
      <c r="A169" s="146" t="s">
        <v>364</v>
      </c>
      <c r="B169" s="85">
        <v>0</v>
      </c>
      <c r="C169" s="89">
        <v>4</v>
      </c>
      <c r="D169" s="89">
        <v>80</v>
      </c>
      <c r="E169" s="89">
        <v>1</v>
      </c>
      <c r="F169" s="32">
        <f>ROUND(Costs!$B$3*B169+Costs!$B$4*C169+Costs!$B$5*D169+Costs!$B$6*E169,2)</f>
        <v>6242.27</v>
      </c>
      <c r="G169" s="32" t="str">
        <f>Costs!$B$62</f>
        <v xml:space="preserve"> </v>
      </c>
      <c r="H169" s="32">
        <f>Costs!$B$19</f>
        <v>4.4000000000000004</v>
      </c>
      <c r="I169" s="86">
        <f>ROUND((O169*(Universe!C$6)),0)</f>
        <v>0</v>
      </c>
      <c r="J169" s="86">
        <f>ROUND(Universe!$C$4*0.05,0)</f>
        <v>0</v>
      </c>
      <c r="K169" s="87">
        <f>ROUND((B169+C169+D169+E169)*(I169+J169),2)</f>
        <v>0</v>
      </c>
      <c r="L169" s="32">
        <f>(I169+J169)*SUM(F169:H169)</f>
        <v>0</v>
      </c>
      <c r="M169" s="555"/>
      <c r="N169" s="165">
        <f>IF(I169=0,0,L169/(N169+I169))</f>
        <v>0</v>
      </c>
      <c r="O169" s="167">
        <v>0</v>
      </c>
      <c r="P169" s="167">
        <v>0</v>
      </c>
      <c r="Q169" s="167"/>
      <c r="R169" s="168">
        <f>F169*(I169+J169)</f>
        <v>0</v>
      </c>
      <c r="S169" s="168">
        <f>G169*(I169+J169)</f>
        <v>0</v>
      </c>
      <c r="T169" s="168">
        <f>H169*(I169+J169)</f>
        <v>0</v>
      </c>
      <c r="U169" s="188">
        <f>ROUND(((I169)*($B169+$C169+$D169+$E169))/(Universe!$C$6),2)</f>
        <v>0</v>
      </c>
      <c r="V169" s="188" t="e">
        <f>ROUND(((J169)*($B169+$C169+$D169+$E169))/(Universe!$C$2),2)</f>
        <v>#DIV/0!</v>
      </c>
      <c r="W169" s="167">
        <v>1</v>
      </c>
      <c r="X169" s="408">
        <f>IF(W169=1,U169,0)</f>
        <v>0</v>
      </c>
      <c r="Y169" s="408">
        <f>IF(W169=2,U169,0)</f>
        <v>0</v>
      </c>
      <c r="Z169" s="408" t="e">
        <f>IF(W169=1,V169,0)</f>
        <v>#DIV/0!</v>
      </c>
      <c r="AA169" s="408">
        <f>IF(W169=2,V169,0)</f>
        <v>0</v>
      </c>
      <c r="AE169" s="171">
        <f t="shared" ref="AE169:AF171" si="38">I169</f>
        <v>0</v>
      </c>
      <c r="AF169" s="171">
        <f t="shared" si="38"/>
        <v>0</v>
      </c>
    </row>
    <row r="170" spans="1:32" ht="30.6" x14ac:dyDescent="0.2">
      <c r="A170" s="146" t="s">
        <v>365</v>
      </c>
      <c r="B170" s="85">
        <v>0</v>
      </c>
      <c r="C170" s="89">
        <v>4</v>
      </c>
      <c r="D170" s="89">
        <v>80</v>
      </c>
      <c r="E170" s="89">
        <v>1</v>
      </c>
      <c r="F170" s="32">
        <f>ROUND(Costs!$B$3*B170+Costs!$B$4*C170+Costs!$B$5*D170+Costs!$B$6*E170,2)</f>
        <v>6242.27</v>
      </c>
      <c r="G170" s="32" t="str">
        <f>Costs!$B$62</f>
        <v xml:space="preserve"> </v>
      </c>
      <c r="H170" s="32">
        <f>Costs!$B$19</f>
        <v>4.4000000000000004</v>
      </c>
      <c r="I170" s="86">
        <f>ROUND((O170*(Universe!C$6)),0)</f>
        <v>0</v>
      </c>
      <c r="J170" s="86">
        <f>ROUND(Universe!$C$4*0.05,0)</f>
        <v>0</v>
      </c>
      <c r="K170" s="87">
        <f>ROUND((B170+C170+D170+E170)*(I170+J170),2)</f>
        <v>0</v>
      </c>
      <c r="L170" s="32">
        <f>(I170+J170)*SUM(F170:H170)</f>
        <v>0</v>
      </c>
      <c r="M170" s="555"/>
      <c r="N170" s="165">
        <f>IF(I170=0,0,L170/(N170+I170))</f>
        <v>0</v>
      </c>
      <c r="O170" s="167">
        <v>0</v>
      </c>
      <c r="P170" s="167">
        <v>0</v>
      </c>
      <c r="Q170" s="167"/>
      <c r="R170" s="168">
        <f>F170*(I170+J170)</f>
        <v>0</v>
      </c>
      <c r="S170" s="168">
        <f>G170*(I170+J170)</f>
        <v>0</v>
      </c>
      <c r="T170" s="168">
        <f>H170*(I170+J170)</f>
        <v>0</v>
      </c>
      <c r="U170" s="188">
        <f>ROUND(((I170)*($B170+$C170+$D170+$E170))/(Universe!$C$6),2)</f>
        <v>0</v>
      </c>
      <c r="V170" s="188" t="e">
        <f>ROUND(((J170)*($B170+$C170+$D170+$E170))/(Universe!$C$2),2)</f>
        <v>#DIV/0!</v>
      </c>
      <c r="W170" s="167">
        <v>1</v>
      </c>
      <c r="X170" s="408">
        <f>IF(W170=1,U170,0)</f>
        <v>0</v>
      </c>
      <c r="Y170" s="408">
        <f>IF(W170=2,U170,0)</f>
        <v>0</v>
      </c>
      <c r="Z170" s="408" t="e">
        <f>IF(W170=1,V170,0)</f>
        <v>#DIV/0!</v>
      </c>
      <c r="AA170" s="408">
        <f>IF(W170=2,V170,0)</f>
        <v>0</v>
      </c>
      <c r="AE170" s="171">
        <f t="shared" si="38"/>
        <v>0</v>
      </c>
      <c r="AF170" s="171">
        <f t="shared" si="38"/>
        <v>0</v>
      </c>
    </row>
    <row r="171" spans="1:32" ht="31.2" thickBot="1" x14ac:dyDescent="0.25">
      <c r="A171" s="189" t="s">
        <v>366</v>
      </c>
      <c r="B171" s="190">
        <v>0</v>
      </c>
      <c r="C171" s="190">
        <v>4</v>
      </c>
      <c r="D171" s="190">
        <v>100</v>
      </c>
      <c r="E171" s="190">
        <v>1</v>
      </c>
      <c r="F171" s="191">
        <f>ROUND(Costs!$B$3*B171+Costs!$B$4*C171+Costs!$B$5*D171+Costs!$B$6*E171,2)</f>
        <v>7694.47</v>
      </c>
      <c r="G171" s="191" t="str">
        <f>Costs!$B$62</f>
        <v xml:space="preserve"> </v>
      </c>
      <c r="H171" s="191">
        <f>Costs!$B$19</f>
        <v>4.4000000000000004</v>
      </c>
      <c r="I171" s="192">
        <f>ROUND((O171*(Universe!C$6)),0)</f>
        <v>0</v>
      </c>
      <c r="J171" s="192">
        <f>ROUND(Universe!$C$4*0.05,0)</f>
        <v>0</v>
      </c>
      <c r="K171" s="193">
        <f>ROUND((B171+C171+D171+E171)*(I171+J171),2)</f>
        <v>0</v>
      </c>
      <c r="L171" s="191">
        <f>(I171+J171)*SUM(F171:H171)</f>
        <v>0</v>
      </c>
      <c r="M171" s="555"/>
      <c r="N171" s="165">
        <f>IF(I171=0,0,L171/(N171+I171))</f>
        <v>0</v>
      </c>
      <c r="O171" s="167">
        <v>0</v>
      </c>
      <c r="P171" s="167">
        <v>0</v>
      </c>
      <c r="Q171" s="167"/>
      <c r="R171" s="168">
        <f>F171*(I171+J171)</f>
        <v>0</v>
      </c>
      <c r="S171" s="168">
        <f>G171*(I171+J171)</f>
        <v>0</v>
      </c>
      <c r="T171" s="168">
        <f>H171*(I171+J171)</f>
        <v>0</v>
      </c>
      <c r="U171" s="188">
        <f>ROUND(((I171)*($B171+$C171+$D171+$E171))/(Universe!$C$6),2)</f>
        <v>0</v>
      </c>
      <c r="V171" s="188" t="e">
        <f>ROUND(((J171)*($B171+$C171+$D171+$E171))/(Universe!$C$2),2)</f>
        <v>#DIV/0!</v>
      </c>
      <c r="W171" s="167">
        <v>1</v>
      </c>
      <c r="X171" s="408">
        <f>IF(W171=1,U171,0)</f>
        <v>0</v>
      </c>
      <c r="Y171" s="408">
        <f>IF(W171=2,U171,0)</f>
        <v>0</v>
      </c>
      <c r="Z171" s="408" t="e">
        <f>IF(W171=1,V171,0)</f>
        <v>#DIV/0!</v>
      </c>
      <c r="AA171" s="408">
        <f>IF(W171=2,V171,0)</f>
        <v>0</v>
      </c>
      <c r="AE171" s="171">
        <f t="shared" si="38"/>
        <v>0</v>
      </c>
      <c r="AF171" s="171">
        <f t="shared" si="38"/>
        <v>0</v>
      </c>
    </row>
    <row r="172" spans="1:32" ht="10.8" thickBot="1" x14ac:dyDescent="0.25">
      <c r="A172" s="200" t="s">
        <v>596</v>
      </c>
      <c r="B172" s="201" t="s">
        <v>597</v>
      </c>
      <c r="C172" s="201" t="s">
        <v>597</v>
      </c>
      <c r="D172" s="201" t="s">
        <v>597</v>
      </c>
      <c r="E172" s="201" t="s">
        <v>597</v>
      </c>
      <c r="F172" s="201" t="s">
        <v>597</v>
      </c>
      <c r="G172" s="201" t="s">
        <v>597</v>
      </c>
      <c r="H172" s="201" t="s">
        <v>597</v>
      </c>
      <c r="I172" s="202" t="s">
        <v>597</v>
      </c>
      <c r="J172" s="202" t="s">
        <v>597</v>
      </c>
      <c r="K172" s="203">
        <f>SUM(K169:K171)</f>
        <v>0</v>
      </c>
      <c r="L172" s="204">
        <f>SUM(L169:L171)</f>
        <v>0</v>
      </c>
      <c r="M172" s="555"/>
      <c r="N172" s="169" t="s">
        <v>597</v>
      </c>
      <c r="P172" s="171"/>
      <c r="Q172" s="171"/>
      <c r="R172" s="203">
        <f>SUM(R169:R171)</f>
        <v>0</v>
      </c>
      <c r="S172" s="203">
        <f>SUM(S169:S171)</f>
        <v>0</v>
      </c>
      <c r="T172" s="203">
        <f>SUM(T169:T171)</f>
        <v>0</v>
      </c>
      <c r="U172" s="188"/>
      <c r="V172" s="188"/>
      <c r="X172" s="203">
        <f>SUM(X169:X171)</f>
        <v>0</v>
      </c>
      <c r="Y172" s="203">
        <f>SUM(Y169:Y171)</f>
        <v>0</v>
      </c>
      <c r="Z172" s="203" t="e">
        <f>SUM(Z169:Z171)</f>
        <v>#DIV/0!</v>
      </c>
      <c r="AA172" s="203">
        <f>SUM(AA169:AA171)</f>
        <v>0</v>
      </c>
    </row>
    <row r="173" spans="1:32" x14ac:dyDescent="0.2">
      <c r="A173" s="194" t="s">
        <v>301</v>
      </c>
      <c r="B173" s="195"/>
      <c r="C173" s="197"/>
      <c r="D173" s="197"/>
      <c r="E173" s="197"/>
      <c r="F173" s="213"/>
      <c r="G173" s="213"/>
      <c r="H173" s="213"/>
      <c r="I173" s="205"/>
      <c r="J173" s="205"/>
      <c r="K173" s="214"/>
      <c r="L173" s="215"/>
      <c r="M173" s="556"/>
      <c r="N173" s="172"/>
      <c r="U173" s="188"/>
      <c r="V173" s="188"/>
    </row>
    <row r="174" spans="1:32" x14ac:dyDescent="0.2">
      <c r="A174" s="146" t="s">
        <v>652</v>
      </c>
      <c r="B174" s="85">
        <v>0</v>
      </c>
      <c r="C174" s="89">
        <v>0</v>
      </c>
      <c r="D174" s="376">
        <v>1</v>
      </c>
      <c r="E174" s="89">
        <v>0</v>
      </c>
      <c r="F174" s="32">
        <f>ROUND(Costs!$B$3*B174+Costs!$B$4*C174+Costs!$B$5*D174+Costs!$B$6*E174,2)</f>
        <v>72.61</v>
      </c>
      <c r="G174" s="32" t="str">
        <f>Costs!$B$62</f>
        <v xml:space="preserve"> </v>
      </c>
      <c r="H174" s="32">
        <f>Costs!B24</f>
        <v>600</v>
      </c>
      <c r="I174" s="86">
        <f>ROUND((O174*(Universe!C$6)),0)</f>
        <v>0</v>
      </c>
      <c r="J174" s="86">
        <f>ROUND((P174*Universe!C$2),0)</f>
        <v>0</v>
      </c>
      <c r="K174" s="87">
        <f>ROUND((B174+C174+D174+E174)*(I174+J174),2)</f>
        <v>0</v>
      </c>
      <c r="L174" s="32">
        <f>(I174+J174)*SUM(F174:H174)</f>
        <v>0</v>
      </c>
      <c r="M174" s="555"/>
      <c r="N174" s="165">
        <f>IF(I174=0,0,L174/(N174+I174))</f>
        <v>0</v>
      </c>
      <c r="O174" s="167">
        <v>0</v>
      </c>
      <c r="P174" s="167">
        <v>0</v>
      </c>
      <c r="Q174" s="167"/>
      <c r="R174" s="168">
        <f>F174*(I174+J174)</f>
        <v>0</v>
      </c>
      <c r="S174" s="168">
        <f>G174*(I174+J174)</f>
        <v>0</v>
      </c>
      <c r="T174" s="168">
        <f>H174*(I174+J174)</f>
        <v>0</v>
      </c>
      <c r="U174" s="188">
        <f>ROUND(((I174)*($B174+$C174+$D174+$E174))/(Universe!$C$6),2)</f>
        <v>0</v>
      </c>
      <c r="V174" s="188" t="e">
        <f>ROUND(((J174)*($B174+$C174+$D174+$E174))/(Universe!$C$2),2)</f>
        <v>#DIV/0!</v>
      </c>
      <c r="W174" s="167">
        <v>1</v>
      </c>
      <c r="X174" s="408">
        <f>IF(W174=1,U174,0)</f>
        <v>0</v>
      </c>
      <c r="Y174" s="408">
        <f>IF(W174=2,U174,0)</f>
        <v>0</v>
      </c>
      <c r="Z174" s="408" t="e">
        <f>IF(W174=1,V174,0)</f>
        <v>#DIV/0!</v>
      </c>
      <c r="AA174" s="408">
        <f>IF(W174=2,V174,0)</f>
        <v>0</v>
      </c>
    </row>
    <row r="175" spans="1:32" x14ac:dyDescent="0.2">
      <c r="A175" s="374" t="s">
        <v>302</v>
      </c>
      <c r="B175" s="375">
        <v>0</v>
      </c>
      <c r="C175" s="376">
        <v>0</v>
      </c>
      <c r="D175" s="376">
        <v>3</v>
      </c>
      <c r="E175" s="376">
        <v>2</v>
      </c>
      <c r="F175" s="377">
        <f>ROUND(Costs!$B$3*B175+Costs!$B$4*C175+Costs!$B$5*D175+Costs!$B$6*E175,2)</f>
        <v>305.17</v>
      </c>
      <c r="G175" s="377" t="str">
        <f>Costs!$B$62</f>
        <v xml:space="preserve"> </v>
      </c>
      <c r="H175" s="377">
        <f>Costs!$B$16</f>
        <v>0</v>
      </c>
      <c r="I175" s="378">
        <f>ROUND((O175*(Universe!C$6)),0)</f>
        <v>0</v>
      </c>
      <c r="J175" s="378">
        <f>ROUND((P175*Universe!C$2),0)</f>
        <v>0</v>
      </c>
      <c r="K175" s="87">
        <f>ROUND((B175+C175+D175+E175)*(I175+J175),2)</f>
        <v>0</v>
      </c>
      <c r="L175" s="32">
        <f>(I175+J175)*SUM(F175:H175)</f>
        <v>0</v>
      </c>
      <c r="M175" s="555"/>
      <c r="N175" s="165">
        <f>IF(I175=0,0,L175/(N175+I175))</f>
        <v>0</v>
      </c>
      <c r="O175" s="167">
        <v>0</v>
      </c>
      <c r="P175" s="167">
        <v>0</v>
      </c>
      <c r="Q175" s="167"/>
      <c r="R175" s="168">
        <f>F175*(I175+J175)</f>
        <v>0</v>
      </c>
      <c r="S175" s="168">
        <f>G175*(I175+J175)</f>
        <v>0</v>
      </c>
      <c r="T175" s="168">
        <f>H175*(I175+J175)</f>
        <v>0</v>
      </c>
      <c r="U175" s="188">
        <f>ROUND(((I175)*($B175+$C175+$D175+$E175))/(Universe!$C$6),2)</f>
        <v>0</v>
      </c>
      <c r="V175" s="188" t="e">
        <f>ROUND(((J175)*($B175+$C175+$D175+$E175))/(Universe!$C$2),2)</f>
        <v>#DIV/0!</v>
      </c>
      <c r="W175" s="167">
        <v>1</v>
      </c>
      <c r="X175" s="408">
        <f>IF(W175=1,U175,0)</f>
        <v>0</v>
      </c>
      <c r="Y175" s="408">
        <f>IF(W175=2,U175,0)</f>
        <v>0</v>
      </c>
      <c r="Z175" s="408" t="e">
        <f>IF(W175=1,V175,0)</f>
        <v>#DIV/0!</v>
      </c>
      <c r="AA175" s="408">
        <f>IF(W175=2,V175,0)</f>
        <v>0</v>
      </c>
    </row>
    <row r="176" spans="1:32" ht="10.8" thickBot="1" x14ac:dyDescent="0.25">
      <c r="A176" s="224" t="s">
        <v>653</v>
      </c>
      <c r="B176" s="225">
        <v>0</v>
      </c>
      <c r="C176" s="380">
        <v>1</v>
      </c>
      <c r="D176" s="380">
        <v>1</v>
      </c>
      <c r="E176" s="380">
        <v>1</v>
      </c>
      <c r="F176" s="226">
        <f>ROUND(Costs!$B$3*B176+Costs!$B$4*C176+Costs!$B$5*D176+Costs!$B$6*E176,2)</f>
        <v>213.73</v>
      </c>
      <c r="G176" s="226" t="str">
        <f>Costs!$B$62</f>
        <v xml:space="preserve"> </v>
      </c>
      <c r="H176" s="226">
        <f>Costs!$B$19</f>
        <v>4.4000000000000004</v>
      </c>
      <c r="I176" s="381">
        <f>ROUND((O176*(Universe!C$6)),0)</f>
        <v>0</v>
      </c>
      <c r="J176" s="381">
        <f>ROUND((P176*Universe!C$2),0)</f>
        <v>0</v>
      </c>
      <c r="K176" s="87">
        <f>ROUND((B176+C176+D176+E176)*(I176+J176),2)</f>
        <v>0</v>
      </c>
      <c r="L176" s="32">
        <f>(I176+J176)*SUM(F176:H176)</f>
        <v>0</v>
      </c>
      <c r="M176" s="555"/>
      <c r="N176" s="165">
        <f>IF(I176=0,0,L176/(N176+I176))</f>
        <v>0</v>
      </c>
      <c r="O176" s="167">
        <v>0</v>
      </c>
      <c r="P176" s="167">
        <v>0</v>
      </c>
      <c r="Q176" s="167"/>
      <c r="R176" s="168">
        <f>F176*(I176+J176)</f>
        <v>0</v>
      </c>
      <c r="S176" s="168">
        <f>G176*(I176+J176)</f>
        <v>0</v>
      </c>
      <c r="T176" s="168">
        <f>H176*(I176+J176)</f>
        <v>0</v>
      </c>
      <c r="U176" s="188">
        <f>ROUND(((I176)*($B176+$C176+$D176+$E176))/(Universe!$C$6),2)</f>
        <v>0</v>
      </c>
      <c r="V176" s="188" t="e">
        <f>ROUND(((J176)*($B176+$C176+$D176+$E176))/(Universe!$C$2),2)</f>
        <v>#DIV/0!</v>
      </c>
      <c r="W176" s="167">
        <v>1</v>
      </c>
      <c r="X176" s="408">
        <f>IF(W176=1,U176,0)</f>
        <v>0</v>
      </c>
      <c r="Y176" s="408">
        <f>IF(W176=2,U176,0)</f>
        <v>0</v>
      </c>
      <c r="Z176" s="408" t="e">
        <f>IF(W176=1,V176,0)</f>
        <v>#DIV/0!</v>
      </c>
      <c r="AA176" s="408">
        <f>IF(W176=2,V176,0)</f>
        <v>0</v>
      </c>
      <c r="AE176" s="171">
        <f>I176</f>
        <v>0</v>
      </c>
      <c r="AF176" s="171">
        <f>J176</f>
        <v>0</v>
      </c>
    </row>
    <row r="177" spans="1:27" ht="10.8" thickBot="1" x14ac:dyDescent="0.25">
      <c r="A177" s="218" t="s">
        <v>596</v>
      </c>
      <c r="B177" s="219" t="s">
        <v>597</v>
      </c>
      <c r="C177" s="219" t="s">
        <v>597</v>
      </c>
      <c r="D177" s="219" t="s">
        <v>597</v>
      </c>
      <c r="E177" s="219" t="s">
        <v>597</v>
      </c>
      <c r="F177" s="219" t="s">
        <v>597</v>
      </c>
      <c r="G177" s="219" t="s">
        <v>597</v>
      </c>
      <c r="H177" s="219" t="s">
        <v>597</v>
      </c>
      <c r="I177" s="220" t="s">
        <v>597</v>
      </c>
      <c r="J177" s="220" t="s">
        <v>597</v>
      </c>
      <c r="K177" s="221">
        <f>SUM(K174:K176)</f>
        <v>0</v>
      </c>
      <c r="L177" s="222">
        <f>SUM(L174:L176)</f>
        <v>0</v>
      </c>
      <c r="M177" s="555"/>
      <c r="N177" s="169" t="s">
        <v>597</v>
      </c>
      <c r="P177" s="171"/>
      <c r="Q177" s="171"/>
      <c r="R177" s="221">
        <f>SUM(R174:R176)</f>
        <v>0</v>
      </c>
      <c r="S177" s="221">
        <f>SUM(S174:S176)</f>
        <v>0</v>
      </c>
      <c r="T177" s="221">
        <f>SUM(T174:T176)</f>
        <v>0</v>
      </c>
      <c r="U177" s="188"/>
      <c r="V177" s="166"/>
      <c r="X177" s="221">
        <f>SUM(X174:X176)</f>
        <v>0</v>
      </c>
      <c r="Y177" s="221">
        <f>SUM(Y174:Y176)</f>
        <v>0</v>
      </c>
      <c r="Z177" s="221" t="e">
        <f>SUM(Z174:Z176)</f>
        <v>#DIV/0!</v>
      </c>
      <c r="AA177" s="221">
        <f>SUM(AA174:AA176)</f>
        <v>0</v>
      </c>
    </row>
    <row r="178" spans="1:27" ht="10.8" thickBot="1" x14ac:dyDescent="0.25">
      <c r="A178" s="200" t="s">
        <v>567</v>
      </c>
      <c r="B178" s="201" t="s">
        <v>597</v>
      </c>
      <c r="C178" s="201" t="s">
        <v>597</v>
      </c>
      <c r="D178" s="201" t="s">
        <v>597</v>
      </c>
      <c r="E178" s="201" t="s">
        <v>597</v>
      </c>
      <c r="F178" s="201" t="s">
        <v>597</v>
      </c>
      <c r="G178" s="201" t="s">
        <v>597</v>
      </c>
      <c r="H178" s="201" t="s">
        <v>597</v>
      </c>
      <c r="I178" s="202" t="s">
        <v>597</v>
      </c>
      <c r="J178" s="202" t="s">
        <v>597</v>
      </c>
      <c r="K178" s="203">
        <f>K159+K163+K167+K172+K177</f>
        <v>126</v>
      </c>
      <c r="L178" s="204">
        <f>L159+L163+L167+L172+L177</f>
        <v>9596.16</v>
      </c>
      <c r="M178" s="555"/>
      <c r="N178" s="169" t="s">
        <v>597</v>
      </c>
      <c r="P178" s="171"/>
      <c r="Q178" s="171"/>
      <c r="R178" s="203">
        <f>R159+R163+R167+R172+R177</f>
        <v>9596.16</v>
      </c>
      <c r="S178" s="203">
        <f>S159+S163+S167+S172+S177</f>
        <v>0</v>
      </c>
      <c r="T178" s="203">
        <f>T159+T163+T167+T172+T177</f>
        <v>0</v>
      </c>
      <c r="U178" s="188"/>
      <c r="V178" s="166"/>
      <c r="X178" s="203">
        <f>X159+X163+X167+X172+X177</f>
        <v>0</v>
      </c>
      <c r="Y178" s="203">
        <f>Y159+Y163+Y167+Y172+Y177</f>
        <v>3.5</v>
      </c>
      <c r="Z178" s="203" t="e">
        <f>Z159+Z163+Z167+Z172+Z177</f>
        <v>#DIV/0!</v>
      </c>
      <c r="AA178" s="203" t="e">
        <f>AA159+AA163+AA167+AA172+AA177</f>
        <v>#DIV/0!</v>
      </c>
    </row>
    <row r="179" spans="1:27" x14ac:dyDescent="0.2">
      <c r="B179" s="18"/>
      <c r="F179" s="34"/>
      <c r="G179" s="34"/>
      <c r="I179" s="17"/>
      <c r="J179" s="17"/>
      <c r="U179" s="188"/>
      <c r="V179" s="166"/>
      <c r="X179" s="410"/>
      <c r="Y179" s="410"/>
    </row>
    <row r="180" spans="1:27" x14ac:dyDescent="0.2">
      <c r="B180" s="18"/>
      <c r="F180" s="34"/>
      <c r="G180" s="34"/>
      <c r="I180" s="17"/>
      <c r="J180" s="17"/>
      <c r="U180" s="188"/>
      <c r="V180" s="166"/>
    </row>
    <row r="181" spans="1:27" ht="2.25" customHeight="1" x14ac:dyDescent="0.2">
      <c r="B181" s="18"/>
      <c r="F181" s="34"/>
      <c r="G181" s="34"/>
      <c r="I181" s="17"/>
      <c r="J181" s="17"/>
      <c r="U181" s="188"/>
      <c r="V181" s="166"/>
      <c r="X181" s="410"/>
      <c r="Y181" s="410"/>
    </row>
    <row r="182" spans="1:27" ht="3.75" customHeight="1" x14ac:dyDescent="0.2">
      <c r="B182" s="18"/>
      <c r="F182" s="34"/>
      <c r="G182" s="34"/>
      <c r="I182" s="17"/>
      <c r="J182" s="17"/>
      <c r="U182" s="188"/>
      <c r="V182" s="166"/>
    </row>
    <row r="183" spans="1:27" ht="18" x14ac:dyDescent="0.35">
      <c r="A183" s="568" t="s">
        <v>694</v>
      </c>
      <c r="B183" s="18"/>
      <c r="F183" s="34"/>
      <c r="G183" s="34"/>
      <c r="I183" s="17"/>
      <c r="J183" s="17"/>
      <c r="U183" s="188"/>
      <c r="V183" s="166"/>
    </row>
    <row r="184" spans="1:27" ht="18" x14ac:dyDescent="0.35">
      <c r="A184" s="568" t="s">
        <v>599</v>
      </c>
      <c r="B184" s="18"/>
      <c r="F184" s="34"/>
      <c r="G184" s="34"/>
      <c r="U184" s="188"/>
      <c r="V184" s="166"/>
    </row>
    <row r="185" spans="1:27" ht="18" x14ac:dyDescent="0.35">
      <c r="A185" s="568" t="s">
        <v>654</v>
      </c>
      <c r="B185" s="18"/>
      <c r="F185" s="34"/>
      <c r="G185" s="34"/>
      <c r="I185" s="17"/>
      <c r="J185" s="17"/>
      <c r="U185" s="188"/>
      <c r="V185" s="166"/>
    </row>
    <row r="186" spans="1:27" ht="18" x14ac:dyDescent="0.35">
      <c r="A186" s="568" t="s">
        <v>601</v>
      </c>
      <c r="F186" s="34"/>
      <c r="G186" s="34"/>
      <c r="U186" s="188"/>
    </row>
    <row r="187" spans="1:27" x14ac:dyDescent="0.2">
      <c r="B187" s="18"/>
      <c r="F187" s="34"/>
      <c r="G187" s="34"/>
      <c r="I187" s="17"/>
      <c r="J187" s="17"/>
      <c r="U187" s="188"/>
      <c r="V187" s="166"/>
    </row>
    <row r="188" spans="1:27" x14ac:dyDescent="0.2">
      <c r="I188" s="57" t="s">
        <v>602</v>
      </c>
      <c r="J188" s="58"/>
      <c r="K188" s="64"/>
      <c r="P188" s="161"/>
      <c r="Q188" s="161"/>
      <c r="R188" s="161"/>
      <c r="U188" s="188"/>
      <c r="V188" s="166"/>
    </row>
    <row r="189" spans="1:27" x14ac:dyDescent="0.2">
      <c r="B189" s="57" t="s">
        <v>576</v>
      </c>
      <c r="C189" s="58"/>
      <c r="D189" s="58"/>
      <c r="E189" s="58"/>
      <c r="F189" s="61"/>
      <c r="G189" s="58"/>
      <c r="H189" s="60"/>
      <c r="I189" s="57" t="s">
        <v>593</v>
      </c>
      <c r="J189" s="58"/>
      <c r="K189" s="66" t="s">
        <v>577</v>
      </c>
      <c r="L189" s="60"/>
      <c r="M189" s="63"/>
      <c r="P189" s="161"/>
      <c r="Q189" s="161"/>
      <c r="R189" s="161"/>
      <c r="U189" s="188"/>
      <c r="V189" s="166"/>
    </row>
    <row r="190" spans="1:27" x14ac:dyDescent="0.2">
      <c r="B190" s="54"/>
      <c r="C190" s="51"/>
      <c r="D190" s="51"/>
      <c r="E190" s="51"/>
      <c r="F190" s="52"/>
      <c r="G190" s="51"/>
      <c r="H190" s="53"/>
      <c r="I190" s="55"/>
      <c r="J190" s="56"/>
      <c r="K190" s="67"/>
      <c r="L190" s="56"/>
      <c r="M190" s="33"/>
      <c r="P190" s="162"/>
      <c r="Q190" s="162"/>
      <c r="R190" s="162"/>
      <c r="U190" s="188"/>
      <c r="V190" s="166"/>
    </row>
    <row r="191" spans="1:27" x14ac:dyDescent="0.2">
      <c r="B191" s="19" t="s">
        <v>569</v>
      </c>
      <c r="C191" s="19" t="s">
        <v>570</v>
      </c>
      <c r="D191" s="19" t="s">
        <v>571</v>
      </c>
      <c r="E191" s="19" t="s">
        <v>572</v>
      </c>
      <c r="F191" s="28" t="s">
        <v>578</v>
      </c>
      <c r="G191" s="19" t="s">
        <v>579</v>
      </c>
      <c r="K191" s="68" t="s">
        <v>580</v>
      </c>
      <c r="L191" s="35" t="s">
        <v>580</v>
      </c>
      <c r="M191" s="35"/>
      <c r="N191" s="173"/>
      <c r="S191" s="173"/>
      <c r="T191" s="173"/>
      <c r="U191" s="188"/>
      <c r="V191" s="166"/>
    </row>
    <row r="192" spans="1:27" x14ac:dyDescent="0.2">
      <c r="B192" s="10">
        <f>Costs!$B$3</f>
        <v>164.9</v>
      </c>
      <c r="C192" s="10">
        <f>Costs!$B$4</f>
        <v>97.45</v>
      </c>
      <c r="D192" s="10">
        <f>Costs!$B$5</f>
        <v>72.61</v>
      </c>
      <c r="E192" s="10">
        <f>Costs!$B$6</f>
        <v>43.67</v>
      </c>
      <c r="F192" s="28" t="s">
        <v>583</v>
      </c>
      <c r="G192" s="19" t="s">
        <v>584</v>
      </c>
      <c r="H192" s="35" t="s">
        <v>585</v>
      </c>
      <c r="J192" s="19" t="s">
        <v>604</v>
      </c>
      <c r="K192" s="68" t="s">
        <v>582</v>
      </c>
      <c r="L192" s="35" t="s">
        <v>583</v>
      </c>
      <c r="M192" s="35"/>
      <c r="N192" s="173"/>
      <c r="S192" s="173"/>
      <c r="T192" s="173"/>
      <c r="U192" s="188"/>
      <c r="V192" s="166"/>
    </row>
    <row r="193" spans="1:27" x14ac:dyDescent="0.2">
      <c r="A193" s="20" t="s">
        <v>588</v>
      </c>
      <c r="B193" s="19" t="s">
        <v>590</v>
      </c>
      <c r="C193" s="19" t="s">
        <v>590</v>
      </c>
      <c r="D193" s="19" t="s">
        <v>590</v>
      </c>
      <c r="E193" s="19" t="s">
        <v>590</v>
      </c>
      <c r="F193" s="28" t="s">
        <v>607</v>
      </c>
      <c r="G193" s="19" t="s">
        <v>592</v>
      </c>
      <c r="H193" s="35" t="s">
        <v>592</v>
      </c>
      <c r="I193" s="19" t="s">
        <v>574</v>
      </c>
      <c r="J193" s="19" t="s">
        <v>606</v>
      </c>
      <c r="K193" s="68" t="s">
        <v>591</v>
      </c>
      <c r="L193" s="35" t="s">
        <v>591</v>
      </c>
      <c r="M193" s="35"/>
      <c r="N193" s="173"/>
      <c r="S193" s="173"/>
      <c r="T193" s="173"/>
      <c r="U193" s="188"/>
      <c r="V193" s="166"/>
    </row>
    <row r="194" spans="1:27" x14ac:dyDescent="0.2">
      <c r="A194" s="148" t="s">
        <v>655</v>
      </c>
      <c r="B194" s="149"/>
      <c r="C194" s="150"/>
      <c r="D194" s="150"/>
      <c r="E194" s="150"/>
      <c r="F194" s="153"/>
      <c r="G194" s="153"/>
      <c r="H194" s="153"/>
      <c r="I194" s="150"/>
      <c r="J194" s="150"/>
      <c r="K194" s="157"/>
      <c r="L194" s="158"/>
      <c r="M194" s="556"/>
      <c r="N194" s="172"/>
      <c r="U194" s="188"/>
      <c r="V194" s="166"/>
    </row>
    <row r="195" spans="1:27" ht="20.399999999999999" x14ac:dyDescent="0.2">
      <c r="A195" s="224" t="s">
        <v>544</v>
      </c>
      <c r="B195" s="225">
        <v>0</v>
      </c>
      <c r="C195" s="225">
        <v>2</v>
      </c>
      <c r="D195" s="225">
        <v>8</v>
      </c>
      <c r="E195" s="225">
        <v>0</v>
      </c>
      <c r="F195" s="226">
        <f>ROUND(Costs!$B$3*B195+Costs!$B$4*C195+Costs!$B$5*D195+Costs!$B$6*E195,2)</f>
        <v>775.78</v>
      </c>
      <c r="G195" s="226" t="str">
        <f>Costs!$B$62</f>
        <v xml:space="preserve"> </v>
      </c>
      <c r="H195" s="226">
        <f>Costs!$B$16</f>
        <v>0</v>
      </c>
      <c r="I195" s="381">
        <f>ROUND((O195*(Universe!C$8)),0)</f>
        <v>1</v>
      </c>
      <c r="J195" s="381">
        <f>Universe!C32</f>
        <v>0</v>
      </c>
      <c r="K195" s="227">
        <f>ROUND((B195+C195+D195+E195)*(I195+J195),2)</f>
        <v>10</v>
      </c>
      <c r="L195" s="226">
        <f>(I195+J195)*SUM(F195:H195)</f>
        <v>775.78</v>
      </c>
      <c r="M195" s="165"/>
      <c r="N195" s="165">
        <f>L195/(I195+J195)</f>
        <v>775.78</v>
      </c>
      <c r="O195" s="167">
        <v>1</v>
      </c>
      <c r="P195" s="167">
        <v>1</v>
      </c>
      <c r="Q195" s="167"/>
      <c r="R195" s="168">
        <f>F195*(I195+J195)</f>
        <v>775.78</v>
      </c>
      <c r="S195" s="168">
        <f>G195*(I195+J195)</f>
        <v>0</v>
      </c>
      <c r="T195" s="168">
        <f>H195*(I195+J195)</f>
        <v>0</v>
      </c>
      <c r="U195" s="188">
        <f>ROUND(((I195)*($B195+$C195+$D195+$E195))/(Universe!$C$8),2)</f>
        <v>10</v>
      </c>
      <c r="V195" s="188" t="e">
        <f>ROUND(((J195)*($B195+$C195+$D195+$E195))/(Universe!$C$2),2)</f>
        <v>#DIV/0!</v>
      </c>
      <c r="W195" s="167">
        <v>2</v>
      </c>
      <c r="X195" s="408">
        <f>IF(W195=1,U195,0)</f>
        <v>0</v>
      </c>
      <c r="Y195" s="408">
        <f>IF(W195=2,U195,0)</f>
        <v>10</v>
      </c>
      <c r="Z195" s="408">
        <f>IF(W195=1,V195,0)</f>
        <v>0</v>
      </c>
      <c r="AA195" s="408" t="e">
        <f>IF(W195=2,V195,0)</f>
        <v>#DIV/0!</v>
      </c>
    </row>
    <row r="196" spans="1:27" ht="21" thickBot="1" x14ac:dyDescent="0.25">
      <c r="A196" s="224" t="s">
        <v>543</v>
      </c>
      <c r="B196" s="225">
        <v>0</v>
      </c>
      <c r="C196" s="225">
        <v>2</v>
      </c>
      <c r="D196" s="225">
        <v>8</v>
      </c>
      <c r="E196" s="225">
        <v>0</v>
      </c>
      <c r="F196" s="226">
        <f>ROUND(Costs!$B$3*B196+Costs!$B$4*C196+Costs!$B$5*D196+Costs!$B$6*E196,2)</f>
        <v>775.78</v>
      </c>
      <c r="G196" s="226" t="str">
        <f>Costs!$B$62</f>
        <v xml:space="preserve"> </v>
      </c>
      <c r="H196" s="226">
        <f>Costs!$B$16</f>
        <v>0</v>
      </c>
      <c r="I196" s="381">
        <f>ROUND((O195*(Universe!C$6)),0)-I195</f>
        <v>35</v>
      </c>
      <c r="J196" s="381">
        <f>ROUND((P195*Universe!C$2),0)</f>
        <v>0</v>
      </c>
      <c r="K196" s="227">
        <f>ROUND((B196+C196+D196+E196)*(I196+J196),2)</f>
        <v>350</v>
      </c>
      <c r="L196" s="226">
        <f>(I196+J196)*SUM(F196:H196)</f>
        <v>27152.3</v>
      </c>
      <c r="M196" s="165"/>
      <c r="N196" s="165">
        <f>L196/(I196+J196)</f>
        <v>775.78</v>
      </c>
      <c r="O196" s="167">
        <v>1</v>
      </c>
      <c r="P196" s="167">
        <v>1</v>
      </c>
      <c r="Q196" s="167"/>
      <c r="R196" s="168">
        <f>F196*(I196+J196)</f>
        <v>27152.3</v>
      </c>
      <c r="S196" s="168">
        <f>G196*(I196+J196)</f>
        <v>0</v>
      </c>
      <c r="T196" s="168">
        <f>H196*(I196+J196)</f>
        <v>0</v>
      </c>
      <c r="U196" s="188">
        <f>ROUND(((I196)*($B196+$C196+$D196+$E196))/(Universe!$C$8),2)</f>
        <v>350</v>
      </c>
      <c r="V196" s="188" t="e">
        <f>ROUND(((J196)*($B196+$C196+$D196+$E196))/(Universe!$C$2),2)</f>
        <v>#DIV/0!</v>
      </c>
      <c r="W196" s="167">
        <v>2</v>
      </c>
      <c r="X196" s="408">
        <f>IF(W196=1,U196,0)</f>
        <v>0</v>
      </c>
      <c r="Y196" s="408">
        <f>IF(W196=2,U196,0)</f>
        <v>350</v>
      </c>
      <c r="Z196" s="408">
        <f>IF(W196=1,V196,0)</f>
        <v>0</v>
      </c>
      <c r="AA196" s="408" t="e">
        <f>IF(W196=2,V196,0)</f>
        <v>#DIV/0!</v>
      </c>
    </row>
    <row r="197" spans="1:27" ht="10.8" thickBot="1" x14ac:dyDescent="0.25">
      <c r="A197" s="200" t="s">
        <v>596</v>
      </c>
      <c r="B197" s="201" t="s">
        <v>597</v>
      </c>
      <c r="C197" s="201" t="s">
        <v>597</v>
      </c>
      <c r="D197" s="201" t="s">
        <v>597</v>
      </c>
      <c r="E197" s="201" t="s">
        <v>597</v>
      </c>
      <c r="F197" s="201" t="s">
        <v>597</v>
      </c>
      <c r="G197" s="201" t="s">
        <v>597</v>
      </c>
      <c r="H197" s="201" t="s">
        <v>597</v>
      </c>
      <c r="I197" s="202" t="s">
        <v>597</v>
      </c>
      <c r="J197" s="202" t="s">
        <v>597</v>
      </c>
      <c r="K197" s="203">
        <f>SUM(K195:K196)</f>
        <v>360</v>
      </c>
      <c r="L197" s="204">
        <f>SUM(L195:L196)</f>
        <v>27928.079999999998</v>
      </c>
      <c r="M197" s="555"/>
      <c r="N197" s="169" t="s">
        <v>597</v>
      </c>
      <c r="P197" s="171"/>
      <c r="Q197" s="171"/>
      <c r="R197" s="203">
        <f>SUM(R195:R196)</f>
        <v>27928.079999999998</v>
      </c>
      <c r="S197" s="203">
        <f>SUM(S195:S196)</f>
        <v>0</v>
      </c>
      <c r="T197" s="203">
        <f>SUM(T195:T196)</f>
        <v>0</v>
      </c>
      <c r="U197" s="188"/>
      <c r="V197" s="166"/>
      <c r="X197" s="203">
        <f>SUM(X195:X196)</f>
        <v>0</v>
      </c>
      <c r="Y197" s="203">
        <f>SUM(Y195:Y196)</f>
        <v>360</v>
      </c>
      <c r="Z197" s="203">
        <f>SUM(Z195:Z196)</f>
        <v>0</v>
      </c>
      <c r="AA197" s="203" t="e">
        <f>SUM(AA195:AA196)</f>
        <v>#DIV/0!</v>
      </c>
    </row>
    <row r="198" spans="1:27" x14ac:dyDescent="0.2">
      <c r="A198" s="194" t="s">
        <v>303</v>
      </c>
      <c r="B198" s="195"/>
      <c r="C198" s="197"/>
      <c r="D198" s="197"/>
      <c r="E198" s="197"/>
      <c r="F198" s="213"/>
      <c r="G198" s="213"/>
      <c r="H198" s="213"/>
      <c r="I198" s="205"/>
      <c r="J198" s="205"/>
      <c r="K198" s="214"/>
      <c r="L198" s="215"/>
      <c r="M198" s="556"/>
      <c r="N198" s="172"/>
      <c r="U198" s="188"/>
      <c r="V198" s="166"/>
    </row>
    <row r="199" spans="1:27" ht="30.6" x14ac:dyDescent="0.2">
      <c r="A199" s="146" t="s">
        <v>304</v>
      </c>
      <c r="B199" s="85">
        <v>2</v>
      </c>
      <c r="C199" s="89">
        <v>0.5</v>
      </c>
      <c r="D199" s="376">
        <v>5.5</v>
      </c>
      <c r="E199" s="89">
        <v>1</v>
      </c>
      <c r="F199" s="32">
        <f>ROUND(Costs!$B$3*B199+Costs!$B$4*C199+Costs!$B$5*D199+Costs!$B$6*E199,2)</f>
        <v>821.55</v>
      </c>
      <c r="G199" s="32" t="str">
        <f>Costs!$B$62</f>
        <v xml:space="preserve"> </v>
      </c>
      <c r="H199" s="32">
        <f>Costs!$B$19</f>
        <v>4.4000000000000004</v>
      </c>
      <c r="I199" s="86">
        <f>ROUND(ROUND((O199*(Universe!C$6)),0)*0.2,0)</f>
        <v>6</v>
      </c>
      <c r="J199" s="86">
        <f>ROUND((P199*Universe!C$2),0)</f>
        <v>0</v>
      </c>
      <c r="K199" s="87">
        <f>ROUND((B199+C199+D199+E199)*(I199+J199),2)</f>
        <v>54</v>
      </c>
      <c r="L199" s="32">
        <f>(I199+J199)*SUM(F199:H199)</f>
        <v>4955.7</v>
      </c>
      <c r="M199" s="555"/>
      <c r="N199" s="165">
        <f>L199/(I199+J199)</f>
        <v>825.94999999999993</v>
      </c>
      <c r="O199" s="167">
        <v>0.81</v>
      </c>
      <c r="P199" s="167">
        <v>0</v>
      </c>
      <c r="Q199" s="167"/>
      <c r="R199" s="168">
        <f>F199*(I199+J199)</f>
        <v>4929.2999999999993</v>
      </c>
      <c r="S199" s="168">
        <f>G199*(I199+J199)</f>
        <v>0</v>
      </c>
      <c r="T199" s="168">
        <f>H199*(I199+J199)</f>
        <v>26.400000000000002</v>
      </c>
      <c r="U199" s="188">
        <f>ROUND(((I199)*($B199+$C199+$D199+$E199))/(Universe!$C$6),2)</f>
        <v>1.5</v>
      </c>
      <c r="V199" s="188" t="e">
        <f>ROUND(((J199)*($B199+$C199+$D199+$E199))/(Universe!$C$2),2)</f>
        <v>#DIV/0!</v>
      </c>
      <c r="W199" s="167">
        <v>1</v>
      </c>
      <c r="X199" s="408">
        <f>IF(W199=1,U199,0)</f>
        <v>1.5</v>
      </c>
      <c r="Y199" s="408">
        <f>IF(W199=2,U199,0)</f>
        <v>0</v>
      </c>
      <c r="Z199" s="408" t="e">
        <f>IF(W199=1,V199,0)</f>
        <v>#DIV/0!</v>
      </c>
      <c r="AA199" s="408">
        <f>IF(W199=2,V199,0)</f>
        <v>0</v>
      </c>
    </row>
    <row r="200" spans="1:27" ht="31.2" thickBot="1" x14ac:dyDescent="0.25">
      <c r="A200" s="189" t="s">
        <v>305</v>
      </c>
      <c r="B200" s="190">
        <v>1</v>
      </c>
      <c r="C200" s="207">
        <v>0.5</v>
      </c>
      <c r="D200" s="207">
        <v>1.25</v>
      </c>
      <c r="E200" s="207">
        <v>0.25</v>
      </c>
      <c r="F200" s="191">
        <f>ROUND(Costs!$B$3*B200+Costs!$B$4*C200+Costs!$B$5*D200+Costs!$B$6*E200,2)</f>
        <v>315.31</v>
      </c>
      <c r="G200" s="191" t="str">
        <f>Costs!$B$62</f>
        <v xml:space="preserve"> </v>
      </c>
      <c r="H200" s="191">
        <f>Costs!$B$16</f>
        <v>0</v>
      </c>
      <c r="I200" s="192">
        <f>ROUND(I199*0.1,0)</f>
        <v>1</v>
      </c>
      <c r="J200" s="192">
        <f>ROUND((P200*Universe!C$2),0)</f>
        <v>0</v>
      </c>
      <c r="K200" s="193">
        <f>ROUND((B200+C200+D200+E200)*(I200+J200),2)</f>
        <v>3</v>
      </c>
      <c r="L200" s="191">
        <f>(I200+J200)*SUM(F200:H200)</f>
        <v>315.31</v>
      </c>
      <c r="M200" s="555"/>
      <c r="N200" s="165">
        <f>IF(I200=0,0,L200/(J200+I200))</f>
        <v>315.31</v>
      </c>
      <c r="P200" s="167">
        <v>0</v>
      </c>
      <c r="Q200" s="167"/>
      <c r="R200" s="168">
        <f>F200*(I200+J200)</f>
        <v>315.31</v>
      </c>
      <c r="S200" s="168">
        <f>G200*(I200+J200)</f>
        <v>0</v>
      </c>
      <c r="T200" s="168">
        <f>H200*(I200+J200)</f>
        <v>0</v>
      </c>
      <c r="U200" s="188">
        <f>ROUND(((I200)*($B200+$C200+$D200+$E200))/(Universe!$C$6),2)</f>
        <v>0.08</v>
      </c>
      <c r="V200" s="188" t="e">
        <f>ROUND(((J200)*($B200+$C200+$D200+$E200))/(Universe!$C$2),2)</f>
        <v>#DIV/0!</v>
      </c>
      <c r="W200" s="167">
        <v>1</v>
      </c>
      <c r="X200" s="408">
        <f>IF(W200=1,U200,0)</f>
        <v>0.08</v>
      </c>
      <c r="Y200" s="408">
        <f>IF(W200=2,U200,0)</f>
        <v>0</v>
      </c>
      <c r="Z200" s="408" t="e">
        <f>IF(W200=1,V200,0)</f>
        <v>#DIV/0!</v>
      </c>
      <c r="AA200" s="408">
        <f>IF(W200=2,V200,0)</f>
        <v>0</v>
      </c>
    </row>
    <row r="201" spans="1:27" ht="10.8" thickBot="1" x14ac:dyDescent="0.25">
      <c r="A201" s="200" t="s">
        <v>596</v>
      </c>
      <c r="B201" s="201" t="s">
        <v>597</v>
      </c>
      <c r="C201" s="201" t="s">
        <v>597</v>
      </c>
      <c r="D201" s="201" t="s">
        <v>597</v>
      </c>
      <c r="E201" s="201" t="s">
        <v>597</v>
      </c>
      <c r="F201" s="201" t="s">
        <v>597</v>
      </c>
      <c r="G201" s="201" t="s">
        <v>597</v>
      </c>
      <c r="H201" s="201" t="s">
        <v>597</v>
      </c>
      <c r="I201" s="202" t="s">
        <v>597</v>
      </c>
      <c r="J201" s="202" t="s">
        <v>597</v>
      </c>
      <c r="K201" s="203">
        <f>SUM(K199:K200)</f>
        <v>57</v>
      </c>
      <c r="L201" s="204">
        <f>SUM(L199:L200)</f>
        <v>5271.01</v>
      </c>
      <c r="M201" s="555"/>
      <c r="N201" s="169" t="s">
        <v>597</v>
      </c>
      <c r="P201" s="171"/>
      <c r="Q201" s="171"/>
      <c r="R201" s="203">
        <f>SUM(R199:R200)</f>
        <v>5244.61</v>
      </c>
      <c r="S201" s="203">
        <f>SUM(S199:S200)</f>
        <v>0</v>
      </c>
      <c r="T201" s="203">
        <f>SUM(T199:T200)</f>
        <v>26.400000000000002</v>
      </c>
      <c r="U201" s="188"/>
      <c r="V201" s="166"/>
      <c r="X201" s="203">
        <f>SUM(X199:X200)</f>
        <v>1.58</v>
      </c>
      <c r="Y201" s="203">
        <f>SUM(Y199:Y200)</f>
        <v>0</v>
      </c>
      <c r="Z201" s="203" t="e">
        <f>SUM(Z199:Z200)</f>
        <v>#DIV/0!</v>
      </c>
      <c r="AA201" s="203">
        <f>SUM(AA199:AA200)</f>
        <v>0</v>
      </c>
    </row>
    <row r="202" spans="1:27" x14ac:dyDescent="0.2">
      <c r="A202" s="194" t="s">
        <v>656</v>
      </c>
      <c r="B202" s="195"/>
      <c r="C202" s="197"/>
      <c r="D202" s="197"/>
      <c r="E202" s="197"/>
      <c r="F202" s="213"/>
      <c r="G202" s="213"/>
      <c r="H202" s="213"/>
      <c r="I202" s="205"/>
      <c r="J202" s="205"/>
      <c r="K202" s="214"/>
      <c r="L202" s="215"/>
      <c r="M202" s="556"/>
      <c r="N202" s="172"/>
      <c r="U202" s="188"/>
      <c r="V202" s="166"/>
    </row>
    <row r="203" spans="1:27" x14ac:dyDescent="0.2">
      <c r="A203" s="146" t="s">
        <v>545</v>
      </c>
      <c r="B203" s="85">
        <v>0</v>
      </c>
      <c r="C203" s="89">
        <v>0</v>
      </c>
      <c r="D203" s="89">
        <v>0.5</v>
      </c>
      <c r="E203" s="89">
        <v>0</v>
      </c>
      <c r="F203" s="32">
        <f>ROUND(Costs!$B$3*B203+Costs!$B$4*C203+Costs!$B$5*D203+Costs!$B$6*E203,2)</f>
        <v>36.31</v>
      </c>
      <c r="G203" s="32" t="str">
        <f>Costs!$B$62</f>
        <v xml:space="preserve"> </v>
      </c>
      <c r="H203" s="32">
        <f>Costs!$B$16</f>
        <v>0</v>
      </c>
      <c r="I203" s="86">
        <f>ROUND((O203*(Universe!C$6)),0)</f>
        <v>36</v>
      </c>
      <c r="J203" s="86">
        <f>ROUND((P203*Universe!C$2),0)</f>
        <v>0</v>
      </c>
      <c r="K203" s="87">
        <f>ROUND((B203+C203+D203+E203)*(I203+J203),2)</f>
        <v>18</v>
      </c>
      <c r="L203" s="32">
        <f>(I203+J203)*SUM(F203:H203)</f>
        <v>1307.1600000000001</v>
      </c>
      <c r="M203" s="555"/>
      <c r="N203" s="165">
        <f>L203/(I203+J203)</f>
        <v>36.31</v>
      </c>
      <c r="O203" s="167">
        <v>1</v>
      </c>
      <c r="P203" s="167">
        <v>1</v>
      </c>
      <c r="Q203" s="167"/>
      <c r="R203" s="168">
        <f>F203*(I203+J203)</f>
        <v>1307.1600000000001</v>
      </c>
      <c r="S203" s="168">
        <f>G203*(I203+J203)</f>
        <v>0</v>
      </c>
      <c r="T203" s="168">
        <f>H203*(I203+J203)</f>
        <v>0</v>
      </c>
      <c r="U203" s="188">
        <f>ROUND(((I203)*($B203+$C203+$D203+$E203))/(Universe!$C$6),2)</f>
        <v>0.5</v>
      </c>
      <c r="V203" s="188" t="e">
        <f>ROUND(((J203)*($B203+$C203+$D203+$E203))/(Universe!$C$2),2)</f>
        <v>#DIV/0!</v>
      </c>
      <c r="W203" s="167">
        <v>2</v>
      </c>
      <c r="X203" s="408">
        <f>IF(W203=1,U203,0)</f>
        <v>0</v>
      </c>
      <c r="Y203" s="408">
        <f>IF(W203=2,U203,0)</f>
        <v>0.5</v>
      </c>
      <c r="Z203" s="408">
        <f>IF(W203=1,V203,0)</f>
        <v>0</v>
      </c>
      <c r="AA203" s="408" t="e">
        <f>IF(W203=2,V203,0)</f>
        <v>#DIV/0!</v>
      </c>
    </row>
    <row r="204" spans="1:27" ht="21" thickBot="1" x14ac:dyDescent="0.25">
      <c r="A204" s="146" t="s">
        <v>306</v>
      </c>
      <c r="B204" s="85">
        <v>0</v>
      </c>
      <c r="C204" s="89">
        <v>0.5</v>
      </c>
      <c r="D204" s="89">
        <v>6.5</v>
      </c>
      <c r="E204" s="89">
        <v>0.5</v>
      </c>
      <c r="F204" s="32">
        <f>ROUND(Costs!$B$3*B204+Costs!$B$4*C204+Costs!$B$5*D204+Costs!$B$6*E204,2)</f>
        <v>542.53</v>
      </c>
      <c r="G204" s="32" t="str">
        <f>Costs!$B$62</f>
        <v xml:space="preserve"> </v>
      </c>
      <c r="H204" s="32">
        <f>Costs!$B$16</f>
        <v>0</v>
      </c>
      <c r="I204" s="86">
        <f>ROUND((O204*(Universe!C$6)),0)</f>
        <v>0</v>
      </c>
      <c r="J204" s="86">
        <f>ROUND((P204*Universe!C$2),0)</f>
        <v>0</v>
      </c>
      <c r="K204" s="87">
        <f>ROUND((B204+C204+D204+E204)*(I204+J204),2)</f>
        <v>0</v>
      </c>
      <c r="L204" s="32">
        <f>(I204+J204)*SUM(F204:H204)</f>
        <v>0</v>
      </c>
      <c r="M204" s="555"/>
      <c r="N204" s="165" t="e">
        <f>L204/(I204+J204)</f>
        <v>#DIV/0!</v>
      </c>
      <c r="O204" s="167">
        <v>0</v>
      </c>
      <c r="P204" s="167">
        <v>0.05</v>
      </c>
      <c r="Q204" s="167"/>
      <c r="R204" s="168">
        <f>F204*(I204+J204)</f>
        <v>0</v>
      </c>
      <c r="S204" s="168">
        <f>G204*(I204+J204)</f>
        <v>0</v>
      </c>
      <c r="T204" s="168">
        <f>H204*(I204+J204)</f>
        <v>0</v>
      </c>
      <c r="U204" s="188">
        <f>ROUND(((I204)*($B204+$C204+$D204+$E204))/(Universe!$C$6),2)</f>
        <v>0</v>
      </c>
      <c r="V204" s="188" t="e">
        <f>ROUND(((J204)*($B204+$C204+$D204+$E204))/(Universe!$C$2),2)</f>
        <v>#DIV/0!</v>
      </c>
      <c r="W204" s="167">
        <v>2</v>
      </c>
      <c r="X204" s="408">
        <f>IF(W204=1,U204,0)</f>
        <v>0</v>
      </c>
      <c r="Y204" s="408">
        <f>IF(W204=2,U204,0)</f>
        <v>0</v>
      </c>
      <c r="Z204" s="408">
        <f>IF(W204=1,V204,0)</f>
        <v>0</v>
      </c>
      <c r="AA204" s="408" t="e">
        <f>IF(W204=2,V204,0)</f>
        <v>#DIV/0!</v>
      </c>
    </row>
    <row r="205" spans="1:27" ht="10.8" thickBot="1" x14ac:dyDescent="0.25">
      <c r="A205" s="200" t="s">
        <v>596</v>
      </c>
      <c r="B205" s="201" t="s">
        <v>597</v>
      </c>
      <c r="C205" s="201" t="s">
        <v>597</v>
      </c>
      <c r="D205" s="201" t="s">
        <v>597</v>
      </c>
      <c r="E205" s="201" t="s">
        <v>597</v>
      </c>
      <c r="F205" s="201" t="s">
        <v>597</v>
      </c>
      <c r="G205" s="201" t="s">
        <v>597</v>
      </c>
      <c r="H205" s="201" t="s">
        <v>597</v>
      </c>
      <c r="I205" s="202" t="s">
        <v>597</v>
      </c>
      <c r="J205" s="202" t="s">
        <v>597</v>
      </c>
      <c r="K205" s="203">
        <f>SUM(K203:K204)</f>
        <v>18</v>
      </c>
      <c r="L205" s="204">
        <f>SUM(L203:L204)</f>
        <v>1307.1600000000001</v>
      </c>
      <c r="M205" s="555"/>
      <c r="N205" s="169" t="s">
        <v>597</v>
      </c>
      <c r="P205" s="171"/>
      <c r="Q205" s="171"/>
      <c r="R205" s="203">
        <f>SUM(R203:R204)</f>
        <v>1307.1600000000001</v>
      </c>
      <c r="S205" s="203">
        <f>SUM(S203:S204)</f>
        <v>0</v>
      </c>
      <c r="T205" s="203">
        <f>SUM(T203:T204)</f>
        <v>0</v>
      </c>
      <c r="U205" s="188"/>
      <c r="V205" s="166"/>
      <c r="X205" s="203">
        <f>SUM(X203:X204)</f>
        <v>0</v>
      </c>
      <c r="Y205" s="203">
        <f>SUM(Y203:Y204)</f>
        <v>0.5</v>
      </c>
      <c r="Z205" s="203">
        <f>SUM(Z203:Z204)</f>
        <v>0</v>
      </c>
      <c r="AA205" s="203" t="e">
        <f>SUM(AA203:AA204)</f>
        <v>#DIV/0!</v>
      </c>
    </row>
    <row r="206" spans="1:27" x14ac:dyDescent="0.2">
      <c r="A206" s="194" t="s">
        <v>657</v>
      </c>
      <c r="B206" s="195"/>
      <c r="C206" s="197"/>
      <c r="D206" s="197"/>
      <c r="E206" s="197"/>
      <c r="F206" s="213"/>
      <c r="G206" s="213"/>
      <c r="H206" s="213"/>
      <c r="I206" s="205"/>
      <c r="J206" s="205"/>
      <c r="K206" s="214"/>
      <c r="L206" s="215"/>
      <c r="M206" s="556"/>
      <c r="N206" s="172"/>
      <c r="U206" s="188"/>
      <c r="V206" s="166"/>
    </row>
    <row r="207" spans="1:27" ht="20.399999999999999" x14ac:dyDescent="0.2">
      <c r="A207" s="374" t="s">
        <v>307</v>
      </c>
      <c r="B207" s="375">
        <v>0</v>
      </c>
      <c r="C207" s="376">
        <v>2</v>
      </c>
      <c r="D207" s="376">
        <v>4</v>
      </c>
      <c r="E207" s="376">
        <v>2</v>
      </c>
      <c r="F207" s="377">
        <f>ROUND(Costs!$B$3*B207+Costs!$B$4*C207+Costs!$B$5*D207+Costs!$B$6*E207,2)</f>
        <v>572.67999999999995</v>
      </c>
      <c r="G207" s="377" t="str">
        <f>Costs!$B$62</f>
        <v xml:space="preserve"> </v>
      </c>
      <c r="H207" s="377">
        <f>Costs!$B$19</f>
        <v>4.4000000000000004</v>
      </c>
      <c r="I207" s="378">
        <f>ROUND((O207*(Universe!C$6)),0)</f>
        <v>0</v>
      </c>
      <c r="J207" s="378">
        <f>ROUND((P207*Universe!C$2),0)</f>
        <v>0</v>
      </c>
      <c r="K207" s="87">
        <f>ROUND((B207+C207+D207+E207)*(I207+J207),2)</f>
        <v>0</v>
      </c>
      <c r="L207" s="32">
        <f>(I207+J207)*SUM(F207:H207)</f>
        <v>0</v>
      </c>
      <c r="M207" s="555"/>
      <c r="N207" s="165">
        <v>0</v>
      </c>
      <c r="O207" s="167">
        <v>0</v>
      </c>
      <c r="P207" s="167">
        <v>0</v>
      </c>
      <c r="Q207" s="167"/>
      <c r="R207" s="168">
        <f>F207*(I207+J207)</f>
        <v>0</v>
      </c>
      <c r="S207" s="168">
        <f>G207*(I207+J207)</f>
        <v>0</v>
      </c>
      <c r="T207" s="168">
        <f>H207*(I207+J207)</f>
        <v>0</v>
      </c>
      <c r="U207" s="188">
        <f>ROUND(((I207)*($B207+$C207+$D207+$E207))/(Universe!$C$6),2)</f>
        <v>0</v>
      </c>
      <c r="V207" s="188" t="e">
        <f>ROUND(((J207)*($B207+$C207+$D207+$E207))/(Universe!$C$2),2)</f>
        <v>#DIV/0!</v>
      </c>
      <c r="W207" s="167">
        <v>1</v>
      </c>
      <c r="X207" s="408">
        <f>IF(W207=1,U207,0)</f>
        <v>0</v>
      </c>
      <c r="Y207" s="408">
        <f>IF(W207=2,U207,0)</f>
        <v>0</v>
      </c>
      <c r="Z207" s="408" t="e">
        <f>IF(W207=1,V207,0)</f>
        <v>#DIV/0!</v>
      </c>
      <c r="AA207" s="408">
        <f>IF(W207=2,V207,0)</f>
        <v>0</v>
      </c>
    </row>
    <row r="208" spans="1:27" x14ac:dyDescent="0.2">
      <c r="A208" s="146" t="s">
        <v>658</v>
      </c>
      <c r="B208" s="85">
        <v>4</v>
      </c>
      <c r="C208" s="89">
        <v>1.5</v>
      </c>
      <c r="D208" s="89">
        <v>2</v>
      </c>
      <c r="E208" s="89">
        <v>0.5</v>
      </c>
      <c r="F208" s="32">
        <f>ROUND(Costs!$B$3*B208+Costs!$B$4*C208+Costs!$B$5*D208+Costs!$B$6*E208,2)</f>
        <v>972.83</v>
      </c>
      <c r="G208" s="32" t="str">
        <f>Costs!$B$62</f>
        <v xml:space="preserve"> </v>
      </c>
      <c r="H208" s="32">
        <f>Costs!$B$16</f>
        <v>0</v>
      </c>
      <c r="I208" s="86">
        <f>ROUND((O208*(Universe!C$6)),0)</f>
        <v>0</v>
      </c>
      <c r="J208" s="86">
        <f>ROUND((P208*Universe!C$2),0)</f>
        <v>0</v>
      </c>
      <c r="K208" s="87">
        <f>ROUND((B208+C208+D208+E208)*(I208+J208),2)</f>
        <v>0</v>
      </c>
      <c r="L208" s="32">
        <f>(I208+J208)*SUM(F208:H208)</f>
        <v>0</v>
      </c>
      <c r="M208" s="555"/>
      <c r="N208" s="165">
        <v>0</v>
      </c>
      <c r="O208" s="167">
        <v>0</v>
      </c>
      <c r="P208" s="167">
        <v>0</v>
      </c>
      <c r="Q208" s="167"/>
      <c r="R208" s="168">
        <f>F208*(I208+J208)</f>
        <v>0</v>
      </c>
      <c r="S208" s="168">
        <f>G208*(I208+J208)</f>
        <v>0</v>
      </c>
      <c r="T208" s="168">
        <f>H208*(I208+J208)</f>
        <v>0</v>
      </c>
      <c r="U208" s="188">
        <f>ROUND(((I208)*($B208+$C208+$D208+$E208))/(Universe!$C$6),2)</f>
        <v>0</v>
      </c>
      <c r="V208" s="188" t="e">
        <f>ROUND(((J208)*($B208+$C208+$D208+$E208))/(Universe!$C$2),2)</f>
        <v>#DIV/0!</v>
      </c>
      <c r="W208" s="167">
        <v>1</v>
      </c>
      <c r="X208" s="408">
        <f>IF(W208=1,U208,0)</f>
        <v>0</v>
      </c>
      <c r="Y208" s="408">
        <f>IF(W208=2,U208,0)</f>
        <v>0</v>
      </c>
      <c r="Z208" s="408" t="e">
        <f>IF(W208=1,V208,0)</f>
        <v>#DIV/0!</v>
      </c>
      <c r="AA208" s="408">
        <f>IF(W208=2,V208,0)</f>
        <v>0</v>
      </c>
    </row>
    <row r="209" spans="1:27" ht="20.399999999999999" x14ac:dyDescent="0.2">
      <c r="A209" s="146" t="s">
        <v>308</v>
      </c>
      <c r="B209" s="85">
        <v>0</v>
      </c>
      <c r="C209" s="89">
        <v>0</v>
      </c>
      <c r="D209" s="89">
        <v>0</v>
      </c>
      <c r="E209" s="89">
        <v>0.5</v>
      </c>
      <c r="F209" s="32">
        <f>ROUND(Costs!$B$3*B209+Costs!$B$4*C209+Costs!$B$5*D209+Costs!$B$6*E209,2)</f>
        <v>21.84</v>
      </c>
      <c r="G209" s="32" t="str">
        <f>Costs!$B$62</f>
        <v xml:space="preserve"> </v>
      </c>
      <c r="H209" s="32">
        <f>Costs!$B$19</f>
        <v>4.4000000000000004</v>
      </c>
      <c r="I209" s="86">
        <f>ROUND((O209*(Universe!C$6)),0)</f>
        <v>0</v>
      </c>
      <c r="J209" s="86">
        <f>ROUND((P209*Universe!C$2),0)</f>
        <v>0</v>
      </c>
      <c r="K209" s="87">
        <f>ROUND((B209+C209+D209+E209)*(I209+J209),2)</f>
        <v>0</v>
      </c>
      <c r="L209" s="32">
        <f>(I209+J209)*SUM(F209:H209)</f>
        <v>0</v>
      </c>
      <c r="M209" s="555"/>
      <c r="N209" s="165">
        <v>0</v>
      </c>
      <c r="O209" s="167">
        <v>0</v>
      </c>
      <c r="P209" s="167">
        <v>0</v>
      </c>
      <c r="Q209" s="167"/>
      <c r="R209" s="168">
        <f>F209*(I209+J209)</f>
        <v>0</v>
      </c>
      <c r="S209" s="168">
        <f>G209*(I209+J209)</f>
        <v>0</v>
      </c>
      <c r="T209" s="168">
        <f>H209*(I209+J209)</f>
        <v>0</v>
      </c>
      <c r="U209" s="188">
        <f>ROUND(((I209)*($B209+$C209+$D209+$E209))/(Universe!$C$6),2)</f>
        <v>0</v>
      </c>
      <c r="V209" s="188" t="e">
        <f>ROUND(((J209)*($B209+$C209+$D209+$E209))/(Universe!$C$2),2)</f>
        <v>#DIV/0!</v>
      </c>
      <c r="W209" s="167">
        <v>1</v>
      </c>
      <c r="X209" s="408">
        <f>IF(W209=1,U209,0)</f>
        <v>0</v>
      </c>
      <c r="Y209" s="408">
        <f>IF(W209=2,U209,0)</f>
        <v>0</v>
      </c>
      <c r="Z209" s="408" t="e">
        <f>IF(W209=1,V209,0)</f>
        <v>#DIV/0!</v>
      </c>
      <c r="AA209" s="408">
        <f>IF(W209=2,V209,0)</f>
        <v>0</v>
      </c>
    </row>
    <row r="210" spans="1:27" ht="20.399999999999999" x14ac:dyDescent="0.2">
      <c r="A210" s="146" t="s">
        <v>309</v>
      </c>
      <c r="B210" s="85">
        <v>0</v>
      </c>
      <c r="C210" s="89">
        <v>0</v>
      </c>
      <c r="D210" s="89">
        <v>0</v>
      </c>
      <c r="E210" s="89">
        <v>1</v>
      </c>
      <c r="F210" s="32">
        <f>ROUND(Costs!$B$3*B210+Costs!$B$4*C210+Costs!$B$5*D210+Costs!$B$6*E210,2)</f>
        <v>43.67</v>
      </c>
      <c r="G210" s="32" t="str">
        <f>Costs!$B$62</f>
        <v xml:space="preserve"> </v>
      </c>
      <c r="H210" s="32">
        <f>Costs!$B$19</f>
        <v>4.4000000000000004</v>
      </c>
      <c r="I210" s="86">
        <f>ROUND((O210*(Universe!C$6)),0)</f>
        <v>0</v>
      </c>
      <c r="J210" s="86">
        <f>ROUND((P210*Universe!C$2),0)</f>
        <v>0</v>
      </c>
      <c r="K210" s="87">
        <f>ROUND((B210+C210+D210+E210)*(I210+J210),2)</f>
        <v>0</v>
      </c>
      <c r="L210" s="32">
        <f>(I210+J210)*SUM(F210:H210)</f>
        <v>0</v>
      </c>
      <c r="M210" s="555"/>
      <c r="N210" s="165">
        <v>0</v>
      </c>
      <c r="O210" s="167">
        <v>0</v>
      </c>
      <c r="P210" s="167">
        <v>0</v>
      </c>
      <c r="Q210" s="167"/>
      <c r="R210" s="168">
        <f>F210*(I210+J210)</f>
        <v>0</v>
      </c>
      <c r="S210" s="168">
        <f>G210*(I210+J210)</f>
        <v>0</v>
      </c>
      <c r="T210" s="168">
        <f>H210*(I210+J210)</f>
        <v>0</v>
      </c>
      <c r="U210" s="188">
        <f>ROUND(((I210)*($B210+$C210+$D210+$E210))/(Universe!$C$6),2)</f>
        <v>0</v>
      </c>
      <c r="V210" s="188" t="e">
        <f>ROUND(((J210)*($B210+$C210+$D210+$E210))/(Universe!$C$2),2)</f>
        <v>#DIV/0!</v>
      </c>
      <c r="W210" s="167">
        <v>1</v>
      </c>
      <c r="X210" s="408">
        <f>IF(W210=1,U210,0)</f>
        <v>0</v>
      </c>
      <c r="Y210" s="408">
        <f>IF(W210=2,U210,0)</f>
        <v>0</v>
      </c>
      <c r="Z210" s="408" t="e">
        <f>IF(W210=1,V210,0)</f>
        <v>#DIV/0!</v>
      </c>
      <c r="AA210" s="408">
        <f>IF(W210=2,V210,0)</f>
        <v>0</v>
      </c>
    </row>
    <row r="211" spans="1:27" ht="21" thickBot="1" x14ac:dyDescent="0.25">
      <c r="A211" s="189" t="s">
        <v>310</v>
      </c>
      <c r="B211" s="190">
        <v>2</v>
      </c>
      <c r="C211" s="207">
        <v>1</v>
      </c>
      <c r="D211" s="207">
        <v>0.75</v>
      </c>
      <c r="E211" s="207">
        <v>0.25</v>
      </c>
      <c r="F211" s="191">
        <f>ROUND(Costs!$B$3*B211+Costs!$B$4*C211+Costs!$B$5*D211+Costs!$B$6*E211,2)</f>
        <v>492.63</v>
      </c>
      <c r="G211" s="191" t="str">
        <f>Costs!$B$62</f>
        <v xml:space="preserve"> </v>
      </c>
      <c r="H211" s="191">
        <f>Costs!$B$19</f>
        <v>4.4000000000000004</v>
      </c>
      <c r="I211" s="192">
        <f>ROUND((O211*(Universe!C$6)),0)</f>
        <v>0</v>
      </c>
      <c r="J211" s="192">
        <f>ROUND((P211*Universe!C$2),0)</f>
        <v>0</v>
      </c>
      <c r="K211" s="193">
        <f>ROUND((B211+C211+D211+E211)*(I211+J211),2)</f>
        <v>0</v>
      </c>
      <c r="L211" s="191">
        <f>(I211+J211)*SUM(F211:H211)</f>
        <v>0</v>
      </c>
      <c r="M211" s="555"/>
      <c r="N211" s="165" t="e">
        <f>L211/(I211+J211)</f>
        <v>#DIV/0!</v>
      </c>
      <c r="O211" s="167">
        <v>0</v>
      </c>
      <c r="P211" s="167">
        <v>0.05</v>
      </c>
      <c r="Q211" s="167"/>
      <c r="R211" s="168">
        <f>F211*(I211+J211)</f>
        <v>0</v>
      </c>
      <c r="S211" s="168">
        <f>G211*(I211+J211)</f>
        <v>0</v>
      </c>
      <c r="T211" s="168">
        <f>H211*(I211+J211)</f>
        <v>0</v>
      </c>
      <c r="U211" s="188">
        <f>ROUND(((I211)*($B211+$C211+$D211+$E211))/(Universe!$C$6),2)</f>
        <v>0</v>
      </c>
      <c r="V211" s="188" t="e">
        <f>ROUND(((J211)*($B211+$C211+$D211+$E211))/(Universe!$C$2),2)</f>
        <v>#DIV/0!</v>
      </c>
      <c r="W211" s="167">
        <v>1</v>
      </c>
      <c r="X211" s="408">
        <f>IF(W211=1,U211,0)</f>
        <v>0</v>
      </c>
      <c r="Y211" s="408">
        <f>IF(W211=2,U211,0)</f>
        <v>0</v>
      </c>
      <c r="Z211" s="408" t="e">
        <f>IF(W211=1,V211,0)</f>
        <v>#DIV/0!</v>
      </c>
      <c r="AA211" s="408">
        <f>IF(W211=2,V211,0)</f>
        <v>0</v>
      </c>
    </row>
    <row r="212" spans="1:27" ht="10.8" thickBot="1" x14ac:dyDescent="0.25">
      <c r="A212" s="200" t="s">
        <v>596</v>
      </c>
      <c r="B212" s="201" t="s">
        <v>597</v>
      </c>
      <c r="C212" s="201" t="s">
        <v>597</v>
      </c>
      <c r="D212" s="201" t="s">
        <v>597</v>
      </c>
      <c r="E212" s="201" t="s">
        <v>597</v>
      </c>
      <c r="F212" s="201" t="s">
        <v>597</v>
      </c>
      <c r="G212" s="201" t="s">
        <v>597</v>
      </c>
      <c r="H212" s="201" t="s">
        <v>597</v>
      </c>
      <c r="I212" s="202" t="s">
        <v>597</v>
      </c>
      <c r="J212" s="202" t="s">
        <v>597</v>
      </c>
      <c r="K212" s="203">
        <f>SUM(K207:K211)</f>
        <v>0</v>
      </c>
      <c r="L212" s="204">
        <f>SUM(L207:L211)</f>
        <v>0</v>
      </c>
      <c r="M212" s="555"/>
      <c r="N212" s="169" t="s">
        <v>597</v>
      </c>
      <c r="P212" s="171"/>
      <c r="Q212" s="171"/>
      <c r="R212" s="203">
        <f>SUM(R207:R211)</f>
        <v>0</v>
      </c>
      <c r="S212" s="203">
        <f>SUM(S207:S211)</f>
        <v>0</v>
      </c>
      <c r="T212" s="203">
        <f>SUM(T207:T211)</f>
        <v>0</v>
      </c>
      <c r="U212" s="188"/>
      <c r="V212" s="166"/>
      <c r="X212" s="203">
        <f>SUM(X207:X211)</f>
        <v>0</v>
      </c>
      <c r="Y212" s="203">
        <f>SUM(Y207:Y211)</f>
        <v>0</v>
      </c>
      <c r="Z212" s="203" t="e">
        <f>SUM(Z207:Z211)</f>
        <v>#DIV/0!</v>
      </c>
      <c r="AA212" s="203">
        <f>SUM(AA207:AA211)</f>
        <v>0</v>
      </c>
    </row>
    <row r="213" spans="1:27" x14ac:dyDescent="0.2">
      <c r="A213" s="194" t="s">
        <v>311</v>
      </c>
      <c r="B213" s="195"/>
      <c r="C213" s="197"/>
      <c r="D213" s="197"/>
      <c r="E213" s="197"/>
      <c r="F213" s="213"/>
      <c r="G213" s="213"/>
      <c r="H213" s="213"/>
      <c r="I213" s="205"/>
      <c r="J213" s="205"/>
      <c r="K213" s="214"/>
      <c r="L213" s="215"/>
      <c r="M213" s="556"/>
      <c r="N213" s="172"/>
      <c r="U213" s="188"/>
      <c r="V213" s="166"/>
    </row>
    <row r="214" spans="1:27" ht="20.399999999999999" x14ac:dyDescent="0.2">
      <c r="A214" s="374" t="s">
        <v>307</v>
      </c>
      <c r="B214" s="375">
        <v>0</v>
      </c>
      <c r="C214" s="376">
        <v>2</v>
      </c>
      <c r="D214" s="376">
        <v>4</v>
      </c>
      <c r="E214" s="376">
        <v>2</v>
      </c>
      <c r="F214" s="377">
        <f>ROUND(Costs!$B$3*B214+Costs!$B$4*C214+Costs!$B$5*D214+Costs!$B$6*E214,2)</f>
        <v>572.67999999999995</v>
      </c>
      <c r="G214" s="377" t="str">
        <f>Costs!$B$62</f>
        <v xml:space="preserve"> </v>
      </c>
      <c r="H214" s="377">
        <f>Costs!$B$19</f>
        <v>4.4000000000000004</v>
      </c>
      <c r="I214" s="378">
        <f>ROUND((O214*(Universe!C$6)),0)</f>
        <v>0</v>
      </c>
      <c r="J214" s="378">
        <f>ROUND((P214*Universe!C$2),0)</f>
        <v>0</v>
      </c>
      <c r="K214" s="87">
        <f t="shared" ref="K214:K219" si="39">ROUND((B214+C214+D214+E214)*(I214+J214),2)</f>
        <v>0</v>
      </c>
      <c r="L214" s="32">
        <f t="shared" ref="L214:L219" si="40">(I214+J214)*SUM(F214:H214)</f>
        <v>0</v>
      </c>
      <c r="M214" s="555"/>
      <c r="N214" s="165">
        <v>0</v>
      </c>
      <c r="O214" s="167">
        <v>0</v>
      </c>
      <c r="P214" s="167">
        <v>0</v>
      </c>
      <c r="Q214" s="167"/>
      <c r="R214" s="168">
        <f t="shared" ref="R214:R219" si="41">F214*(I214+J214)</f>
        <v>0</v>
      </c>
      <c r="S214" s="168">
        <f t="shared" ref="S214:S219" si="42">G214*(I214+J214)</f>
        <v>0</v>
      </c>
      <c r="T214" s="168">
        <f t="shared" ref="T214:T219" si="43">H214*(I214+J214)</f>
        <v>0</v>
      </c>
      <c r="U214" s="188">
        <f>ROUND(((I214)*($B214+$C214+$D214+$E214))/(Universe!$C$6),2)</f>
        <v>0</v>
      </c>
      <c r="V214" s="188" t="e">
        <f>ROUND(((J214)*($B214+$C214+$D214+$E214))/(Universe!$C$2),2)</f>
        <v>#DIV/0!</v>
      </c>
      <c r="W214" s="167">
        <v>1</v>
      </c>
      <c r="X214" s="408">
        <f t="shared" ref="X214:X219" si="44">IF(W214=1,U214,0)</f>
        <v>0</v>
      </c>
      <c r="Y214" s="408">
        <f t="shared" ref="Y214:Y219" si="45">IF(W214=2,U214,0)</f>
        <v>0</v>
      </c>
      <c r="Z214" s="408" t="e">
        <f t="shared" ref="Z214:Z219" si="46">IF(W214=1,V214,0)</f>
        <v>#DIV/0!</v>
      </c>
      <c r="AA214" s="408">
        <f t="shared" ref="AA214:AA219" si="47">IF(W214=2,V214,0)</f>
        <v>0</v>
      </c>
    </row>
    <row r="215" spans="1:27" x14ac:dyDescent="0.2">
      <c r="A215" s="146" t="s">
        <v>659</v>
      </c>
      <c r="B215" s="85">
        <v>4</v>
      </c>
      <c r="C215" s="89">
        <v>1.5</v>
      </c>
      <c r="D215" s="89">
        <v>2</v>
      </c>
      <c r="E215" s="89">
        <v>0.5</v>
      </c>
      <c r="F215" s="32">
        <f>ROUND(Costs!$B$3*B215+Costs!$B$4*C215+Costs!$B$5*D215+Costs!$B$6*E215,2)</f>
        <v>972.83</v>
      </c>
      <c r="G215" s="32" t="str">
        <f>Costs!$B$62</f>
        <v xml:space="preserve"> </v>
      </c>
      <c r="H215" s="32">
        <f>Costs!$B$16</f>
        <v>0</v>
      </c>
      <c r="I215" s="86">
        <f>ROUND((O215*(Universe!C$6)),0)</f>
        <v>0</v>
      </c>
      <c r="J215" s="86">
        <f>ROUND((P215*Universe!C$2),0)</f>
        <v>0</v>
      </c>
      <c r="K215" s="87">
        <f t="shared" si="39"/>
        <v>0</v>
      </c>
      <c r="L215" s="32">
        <f t="shared" si="40"/>
        <v>0</v>
      </c>
      <c r="M215" s="555"/>
      <c r="N215" s="165">
        <v>0</v>
      </c>
      <c r="O215" s="167">
        <v>0</v>
      </c>
      <c r="P215" s="167">
        <v>0</v>
      </c>
      <c r="Q215" s="167"/>
      <c r="R215" s="168">
        <f t="shared" si="41"/>
        <v>0</v>
      </c>
      <c r="S215" s="168">
        <f t="shared" si="42"/>
        <v>0</v>
      </c>
      <c r="T215" s="168">
        <f t="shared" si="43"/>
        <v>0</v>
      </c>
      <c r="U215" s="188">
        <f>ROUND(((I215)*($B215+$C215+$D215+$E215))/(Universe!$C$6),2)</f>
        <v>0</v>
      </c>
      <c r="V215" s="188" t="e">
        <f>ROUND(((J215)*($B215+$C215+$D215+$E215))/(Universe!$C$2),2)</f>
        <v>#DIV/0!</v>
      </c>
      <c r="W215" s="167">
        <v>1</v>
      </c>
      <c r="X215" s="408">
        <f t="shared" si="44"/>
        <v>0</v>
      </c>
      <c r="Y215" s="408">
        <f t="shared" si="45"/>
        <v>0</v>
      </c>
      <c r="Z215" s="408" t="e">
        <f t="shared" si="46"/>
        <v>#DIV/0!</v>
      </c>
      <c r="AA215" s="408">
        <f t="shared" si="47"/>
        <v>0</v>
      </c>
    </row>
    <row r="216" spans="1:27" ht="20.399999999999999" x14ac:dyDescent="0.2">
      <c r="A216" s="146" t="s">
        <v>312</v>
      </c>
      <c r="B216" s="85">
        <v>0</v>
      </c>
      <c r="C216" s="89">
        <v>0</v>
      </c>
      <c r="D216" s="89">
        <v>0</v>
      </c>
      <c r="E216" s="89">
        <v>0.5</v>
      </c>
      <c r="F216" s="32">
        <f>ROUND(Costs!$B$3*B216+Costs!$B$4*C216+Costs!$B$5*D216+Costs!$B$6*E216,2)</f>
        <v>21.84</v>
      </c>
      <c r="G216" s="32" t="str">
        <f>Costs!$B$62</f>
        <v xml:space="preserve"> </v>
      </c>
      <c r="H216" s="32">
        <f>Costs!$B$19</f>
        <v>4.4000000000000004</v>
      </c>
      <c r="I216" s="86">
        <f>ROUND((O216*(Universe!C$6)),0)</f>
        <v>0</v>
      </c>
      <c r="J216" s="86">
        <f>ROUND((P216*Universe!C$2),0)</f>
        <v>0</v>
      </c>
      <c r="K216" s="87">
        <f t="shared" si="39"/>
        <v>0</v>
      </c>
      <c r="L216" s="32">
        <f t="shared" si="40"/>
        <v>0</v>
      </c>
      <c r="M216" s="555"/>
      <c r="N216" s="165">
        <v>0</v>
      </c>
      <c r="O216" s="167">
        <v>0</v>
      </c>
      <c r="P216" s="167">
        <v>0</v>
      </c>
      <c r="Q216" s="167"/>
      <c r="R216" s="168">
        <f t="shared" si="41"/>
        <v>0</v>
      </c>
      <c r="S216" s="168">
        <f t="shared" si="42"/>
        <v>0</v>
      </c>
      <c r="T216" s="168">
        <f t="shared" si="43"/>
        <v>0</v>
      </c>
      <c r="U216" s="188">
        <f>ROUND(((I216)*($B216+$C216+$D216+$E216))/(Universe!$C$6),2)</f>
        <v>0</v>
      </c>
      <c r="V216" s="188" t="e">
        <f>ROUND(((J216)*($B216+$C216+$D216+$E216))/(Universe!$C$2),2)</f>
        <v>#DIV/0!</v>
      </c>
      <c r="W216" s="167">
        <v>1</v>
      </c>
      <c r="X216" s="408">
        <f t="shared" si="44"/>
        <v>0</v>
      </c>
      <c r="Y216" s="408">
        <f t="shared" si="45"/>
        <v>0</v>
      </c>
      <c r="Z216" s="408" t="e">
        <f t="shared" si="46"/>
        <v>#DIV/0!</v>
      </c>
      <c r="AA216" s="408">
        <f t="shared" si="47"/>
        <v>0</v>
      </c>
    </row>
    <row r="217" spans="1:27" ht="20.399999999999999" x14ac:dyDescent="0.2">
      <c r="A217" s="146" t="s">
        <v>313</v>
      </c>
      <c r="B217" s="85">
        <v>0</v>
      </c>
      <c r="C217" s="89">
        <v>0</v>
      </c>
      <c r="D217" s="89">
        <v>0</v>
      </c>
      <c r="E217" s="89">
        <v>1</v>
      </c>
      <c r="F217" s="32">
        <f>ROUND(Costs!$B$3*B217+Costs!$B$4*C217+Costs!$B$5*D217+Costs!$B$6*E217,2)</f>
        <v>43.67</v>
      </c>
      <c r="G217" s="32" t="str">
        <f>Costs!$B$62</f>
        <v xml:space="preserve"> </v>
      </c>
      <c r="H217" s="32">
        <f>Costs!$B$19</f>
        <v>4.4000000000000004</v>
      </c>
      <c r="I217" s="86">
        <f>ROUND((O217*(Universe!C$6)),0)</f>
        <v>0</v>
      </c>
      <c r="J217" s="86">
        <f>ROUND((P217*Universe!C$2),0)</f>
        <v>0</v>
      </c>
      <c r="K217" s="87">
        <f t="shared" si="39"/>
        <v>0</v>
      </c>
      <c r="L217" s="32">
        <f t="shared" si="40"/>
        <v>0</v>
      </c>
      <c r="M217" s="555"/>
      <c r="N217" s="165">
        <v>0</v>
      </c>
      <c r="O217" s="167">
        <v>0</v>
      </c>
      <c r="P217" s="167">
        <v>0</v>
      </c>
      <c r="Q217" s="167"/>
      <c r="R217" s="168">
        <f t="shared" si="41"/>
        <v>0</v>
      </c>
      <c r="S217" s="168">
        <f t="shared" si="42"/>
        <v>0</v>
      </c>
      <c r="T217" s="168">
        <f t="shared" si="43"/>
        <v>0</v>
      </c>
      <c r="U217" s="188">
        <f>ROUND(((I217)*($B217+$C217+$D217+$E217))/(Universe!$C$6),2)</f>
        <v>0</v>
      </c>
      <c r="V217" s="188" t="e">
        <f>ROUND(((J217)*($B217+$C217+$D217+$E217))/(Universe!$C$2),2)</f>
        <v>#DIV/0!</v>
      </c>
      <c r="W217" s="167">
        <v>1</v>
      </c>
      <c r="X217" s="408">
        <f t="shared" si="44"/>
        <v>0</v>
      </c>
      <c r="Y217" s="408">
        <f t="shared" si="45"/>
        <v>0</v>
      </c>
      <c r="Z217" s="408" t="e">
        <f t="shared" si="46"/>
        <v>#DIV/0!</v>
      </c>
      <c r="AA217" s="408">
        <f t="shared" si="47"/>
        <v>0</v>
      </c>
    </row>
    <row r="218" spans="1:27" ht="20.399999999999999" x14ac:dyDescent="0.2">
      <c r="A218" s="146" t="s">
        <v>314</v>
      </c>
      <c r="B218" s="85">
        <v>2.25</v>
      </c>
      <c r="C218" s="89">
        <v>0.75</v>
      </c>
      <c r="D218" s="89">
        <v>1</v>
      </c>
      <c r="E218" s="89">
        <v>0</v>
      </c>
      <c r="F218" s="32">
        <f>ROUND(Costs!$B$3*B218+Costs!$B$4*C218+Costs!$B$5*D218+Costs!$B$6*E218,2)</f>
        <v>516.72</v>
      </c>
      <c r="G218" s="32" t="str">
        <f>Costs!$B$62</f>
        <v xml:space="preserve"> </v>
      </c>
      <c r="H218" s="32">
        <f>Costs!$B$16</f>
        <v>0</v>
      </c>
      <c r="I218" s="86">
        <f>ROUND((O218*(Universe!C$6)),0)</f>
        <v>0</v>
      </c>
      <c r="J218" s="86">
        <f>ROUND((P218*Universe!C$2),0)</f>
        <v>0</v>
      </c>
      <c r="K218" s="87">
        <f t="shared" si="39"/>
        <v>0</v>
      </c>
      <c r="L218" s="32">
        <f t="shared" si="40"/>
        <v>0</v>
      </c>
      <c r="M218" s="555"/>
      <c r="N218" s="165" t="e">
        <f>L218/(I218+J218)</f>
        <v>#DIV/0!</v>
      </c>
      <c r="O218" s="167">
        <v>0</v>
      </c>
      <c r="P218" s="167">
        <v>2.5000000000000001E-2</v>
      </c>
      <c r="Q218" s="167"/>
      <c r="R218" s="168">
        <f t="shared" si="41"/>
        <v>0</v>
      </c>
      <c r="S218" s="168">
        <f t="shared" si="42"/>
        <v>0</v>
      </c>
      <c r="T218" s="168">
        <f t="shared" si="43"/>
        <v>0</v>
      </c>
      <c r="U218" s="188">
        <f>ROUND(((I218)*($B218+$C218+$D218+$E218))/(Universe!$C$6),2)</f>
        <v>0</v>
      </c>
      <c r="V218" s="188" t="e">
        <f>ROUND(((J218)*($B218+$C218+$D218+$E218))/(Universe!$C$2),2)</f>
        <v>#DIV/0!</v>
      </c>
      <c r="W218" s="167">
        <v>1</v>
      </c>
      <c r="X218" s="408">
        <f t="shared" si="44"/>
        <v>0</v>
      </c>
      <c r="Y218" s="408">
        <f t="shared" si="45"/>
        <v>0</v>
      </c>
      <c r="Z218" s="408" t="e">
        <f t="shared" si="46"/>
        <v>#DIV/0!</v>
      </c>
      <c r="AA218" s="408">
        <f t="shared" si="47"/>
        <v>0</v>
      </c>
    </row>
    <row r="219" spans="1:27" ht="10.8" thickBot="1" x14ac:dyDescent="0.25">
      <c r="A219" s="189" t="s">
        <v>660</v>
      </c>
      <c r="B219" s="190">
        <v>0</v>
      </c>
      <c r="C219" s="207">
        <v>0</v>
      </c>
      <c r="D219" s="207">
        <v>0</v>
      </c>
      <c r="E219" s="207">
        <v>1</v>
      </c>
      <c r="F219" s="191">
        <f>ROUND(Costs!$B$3*B219+Costs!$B$4*C219+Costs!$B$5*D219+Costs!$B$6*E219,2)</f>
        <v>43.67</v>
      </c>
      <c r="G219" s="191" t="str">
        <f>Costs!$B$62</f>
        <v xml:space="preserve"> </v>
      </c>
      <c r="H219" s="191">
        <f>Costs!$B$19</f>
        <v>4.4000000000000004</v>
      </c>
      <c r="I219" s="192">
        <f>ROUND((O219*(Universe!C$6)),0)</f>
        <v>0</v>
      </c>
      <c r="J219" s="192">
        <f>J218</f>
        <v>0</v>
      </c>
      <c r="K219" s="193">
        <f t="shared" si="39"/>
        <v>0</v>
      </c>
      <c r="L219" s="191">
        <f t="shared" si="40"/>
        <v>0</v>
      </c>
      <c r="M219" s="555"/>
      <c r="N219" s="165" t="e">
        <f>L219/(I219+J219)</f>
        <v>#DIV/0!</v>
      </c>
      <c r="O219" s="167">
        <v>0</v>
      </c>
      <c r="P219" s="167">
        <v>0</v>
      </c>
      <c r="Q219" s="167"/>
      <c r="R219" s="168">
        <f t="shared" si="41"/>
        <v>0</v>
      </c>
      <c r="S219" s="168">
        <f t="shared" si="42"/>
        <v>0</v>
      </c>
      <c r="T219" s="168">
        <f t="shared" si="43"/>
        <v>0</v>
      </c>
      <c r="U219" s="188">
        <f>ROUND(((I219)*($B219+$C219+$D219+$E219))/(Universe!$C$6),2)</f>
        <v>0</v>
      </c>
      <c r="V219" s="188" t="e">
        <f>ROUND(((J219)*($B219+$C219+$D219+$E219))/(Universe!$C$2),2)</f>
        <v>#DIV/0!</v>
      </c>
      <c r="W219" s="167">
        <v>1</v>
      </c>
      <c r="X219" s="408">
        <f t="shared" si="44"/>
        <v>0</v>
      </c>
      <c r="Y219" s="408">
        <f t="shared" si="45"/>
        <v>0</v>
      </c>
      <c r="Z219" s="408" t="e">
        <f t="shared" si="46"/>
        <v>#DIV/0!</v>
      </c>
      <c r="AA219" s="408">
        <f t="shared" si="47"/>
        <v>0</v>
      </c>
    </row>
    <row r="220" spans="1:27" ht="10.8" thickBot="1" x14ac:dyDescent="0.25">
      <c r="A220" s="200" t="s">
        <v>596</v>
      </c>
      <c r="B220" s="201" t="s">
        <v>597</v>
      </c>
      <c r="C220" s="201" t="s">
        <v>597</v>
      </c>
      <c r="D220" s="201" t="s">
        <v>597</v>
      </c>
      <c r="E220" s="201" t="s">
        <v>597</v>
      </c>
      <c r="F220" s="201" t="s">
        <v>597</v>
      </c>
      <c r="G220" s="201" t="s">
        <v>597</v>
      </c>
      <c r="H220" s="201" t="s">
        <v>597</v>
      </c>
      <c r="I220" s="202" t="s">
        <v>597</v>
      </c>
      <c r="J220" s="202" t="s">
        <v>597</v>
      </c>
      <c r="K220" s="203">
        <f>SUM(K214:K219)</f>
        <v>0</v>
      </c>
      <c r="L220" s="204">
        <f>SUM(L214:L219)</f>
        <v>0</v>
      </c>
      <c r="M220" s="555"/>
      <c r="N220" s="169" t="s">
        <v>597</v>
      </c>
      <c r="P220" s="171"/>
      <c r="Q220" s="171"/>
      <c r="R220" s="203">
        <f>SUM(R214:R219)</f>
        <v>0</v>
      </c>
      <c r="S220" s="203">
        <f>SUM(S214:S219)</f>
        <v>0</v>
      </c>
      <c r="T220" s="203">
        <f>SUM(T214:T219)</f>
        <v>0</v>
      </c>
      <c r="U220" s="188"/>
      <c r="V220" s="166"/>
      <c r="X220" s="203">
        <f>SUM(X214:X219)</f>
        <v>0</v>
      </c>
      <c r="Y220" s="203">
        <f>SUM(Y214:Y219)</f>
        <v>0</v>
      </c>
      <c r="Z220" s="203" t="e">
        <f>SUM(Z214:Z219)</f>
        <v>#DIV/0!</v>
      </c>
      <c r="AA220" s="203">
        <f>SUM(AA214:AA219)</f>
        <v>0</v>
      </c>
    </row>
    <row r="221" spans="1:27" x14ac:dyDescent="0.2">
      <c r="A221" s="194" t="s">
        <v>661</v>
      </c>
      <c r="B221" s="195"/>
      <c r="C221" s="197"/>
      <c r="D221" s="197"/>
      <c r="E221" s="197"/>
      <c r="F221" s="213"/>
      <c r="G221" s="213"/>
      <c r="H221" s="213"/>
      <c r="I221" s="205"/>
      <c r="J221" s="205"/>
      <c r="K221" s="214"/>
      <c r="L221" s="215"/>
      <c r="M221" s="556"/>
      <c r="N221" s="172"/>
      <c r="U221" s="188"/>
      <c r="V221" s="166"/>
    </row>
    <row r="222" spans="1:27" ht="20.399999999999999" x14ac:dyDescent="0.2">
      <c r="A222" s="374" t="s">
        <v>307</v>
      </c>
      <c r="B222" s="375">
        <v>0</v>
      </c>
      <c r="C222" s="376">
        <v>2</v>
      </c>
      <c r="D222" s="376">
        <v>4</v>
      </c>
      <c r="E222" s="376">
        <v>2</v>
      </c>
      <c r="F222" s="377">
        <f>ROUND(Costs!$B$3*B222+Costs!$B$4*C222+Costs!$B$5*D222+Costs!$B$6*E222,2)</f>
        <v>572.67999999999995</v>
      </c>
      <c r="G222" s="377" t="str">
        <f>Costs!$B$62</f>
        <v xml:space="preserve"> </v>
      </c>
      <c r="H222" s="377">
        <f>Costs!$B$19</f>
        <v>4.4000000000000004</v>
      </c>
      <c r="I222" s="378">
        <f>ROUND((O222*(Universe!C$6)),0)</f>
        <v>0</v>
      </c>
      <c r="J222" s="378">
        <f>ROUND((P222*Universe!C$2),0)</f>
        <v>0</v>
      </c>
      <c r="K222" s="87">
        <f t="shared" ref="K222:K227" si="48">ROUND((B222+C222+D222+E222)*(I222+J222),2)</f>
        <v>0</v>
      </c>
      <c r="L222" s="32">
        <f t="shared" ref="L222:L227" si="49">(I222+J222)*SUM(F222:H222)</f>
        <v>0</v>
      </c>
      <c r="M222" s="555"/>
      <c r="N222" s="165">
        <v>0</v>
      </c>
      <c r="O222" s="167">
        <v>0</v>
      </c>
      <c r="P222" s="167">
        <v>0</v>
      </c>
      <c r="Q222" s="167"/>
      <c r="R222" s="168">
        <f t="shared" ref="R222:R227" si="50">F222*(I222+J222)</f>
        <v>0</v>
      </c>
      <c r="S222" s="168">
        <f t="shared" ref="S222:S227" si="51">G222*(I222+J222)</f>
        <v>0</v>
      </c>
      <c r="T222" s="168">
        <f t="shared" ref="T222:T227" si="52">H222*(I222+J222)</f>
        <v>0</v>
      </c>
      <c r="U222" s="188">
        <f>ROUND(((I222)*($B222+$C222+$D222+$E222))/(Universe!$C$6),2)</f>
        <v>0</v>
      </c>
      <c r="V222" s="188" t="e">
        <f>ROUND(((J222)*($B222+$C222+$D222+$E222))/(Universe!$C$2),2)</f>
        <v>#DIV/0!</v>
      </c>
      <c r="W222" s="167">
        <v>1</v>
      </c>
      <c r="X222" s="408">
        <f t="shared" ref="X222:X227" si="53">IF(W222=1,U222,0)</f>
        <v>0</v>
      </c>
      <c r="Y222" s="408">
        <f t="shared" ref="Y222:Y227" si="54">IF(W222=2,U222,0)</f>
        <v>0</v>
      </c>
      <c r="Z222" s="408" t="e">
        <f t="shared" ref="Z222:Z227" si="55">IF(W222=1,V222,0)</f>
        <v>#DIV/0!</v>
      </c>
      <c r="AA222" s="408">
        <f t="shared" ref="AA222:AA227" si="56">IF(W222=2,V222,0)</f>
        <v>0</v>
      </c>
    </row>
    <row r="223" spans="1:27" ht="20.399999999999999" x14ac:dyDescent="0.2">
      <c r="A223" s="146" t="s">
        <v>315</v>
      </c>
      <c r="B223" s="85">
        <v>4</v>
      </c>
      <c r="C223" s="89">
        <v>1.5</v>
      </c>
      <c r="D223" s="89">
        <v>2</v>
      </c>
      <c r="E223" s="89">
        <v>0.5</v>
      </c>
      <c r="F223" s="32">
        <f>ROUND(Costs!$B$3*B223+Costs!$B$4*C223+Costs!$B$5*D223+Costs!$B$6*E223,2)</f>
        <v>972.83</v>
      </c>
      <c r="G223" s="32" t="str">
        <f>Costs!$B$62</f>
        <v xml:space="preserve"> </v>
      </c>
      <c r="H223" s="32">
        <f>Costs!$B$19</f>
        <v>4.4000000000000004</v>
      </c>
      <c r="I223" s="86">
        <f>ROUND((O223*(Universe!C$6)),0)</f>
        <v>0</v>
      </c>
      <c r="J223" s="86">
        <f>ROUND((P223*Universe!C$2),0)</f>
        <v>0</v>
      </c>
      <c r="K223" s="87">
        <f t="shared" si="48"/>
        <v>0</v>
      </c>
      <c r="L223" s="32">
        <f t="shared" si="49"/>
        <v>0</v>
      </c>
      <c r="M223" s="555"/>
      <c r="N223" s="165">
        <v>0</v>
      </c>
      <c r="O223" s="167">
        <v>0</v>
      </c>
      <c r="P223" s="167">
        <v>0</v>
      </c>
      <c r="Q223" s="167"/>
      <c r="R223" s="168">
        <f t="shared" si="50"/>
        <v>0</v>
      </c>
      <c r="S223" s="168">
        <f t="shared" si="51"/>
        <v>0</v>
      </c>
      <c r="T223" s="168">
        <f t="shared" si="52"/>
        <v>0</v>
      </c>
      <c r="U223" s="188">
        <f>ROUND(((I223)*($B223+$C223+$D223+$E223))/(Universe!$C$6),2)</f>
        <v>0</v>
      </c>
      <c r="V223" s="188" t="e">
        <f>ROUND(((J223)*($B223+$C223+$D223+$E223))/(Universe!$C$2),2)</f>
        <v>#DIV/0!</v>
      </c>
      <c r="W223" s="167">
        <v>1</v>
      </c>
      <c r="X223" s="408">
        <f t="shared" si="53"/>
        <v>0</v>
      </c>
      <c r="Y223" s="408">
        <f t="shared" si="54"/>
        <v>0</v>
      </c>
      <c r="Z223" s="408" t="e">
        <f t="shared" si="55"/>
        <v>#DIV/0!</v>
      </c>
      <c r="AA223" s="408">
        <f t="shared" si="56"/>
        <v>0</v>
      </c>
    </row>
    <row r="224" spans="1:27" ht="20.399999999999999" x14ac:dyDescent="0.2">
      <c r="A224" s="146" t="s">
        <v>316</v>
      </c>
      <c r="B224" s="85">
        <v>1.25</v>
      </c>
      <c r="C224" s="89">
        <v>0.25</v>
      </c>
      <c r="D224" s="89">
        <v>0</v>
      </c>
      <c r="E224" s="89">
        <v>0.5</v>
      </c>
      <c r="F224" s="32">
        <f>ROUND(Costs!$B$3*B224+Costs!$B$4*C224+Costs!$B$5*D224+Costs!$B$6*E224,2)</f>
        <v>252.32</v>
      </c>
      <c r="G224" s="32" t="str">
        <f>Costs!$B$62</f>
        <v xml:space="preserve"> </v>
      </c>
      <c r="H224" s="32">
        <f>Costs!$B$19</f>
        <v>4.4000000000000004</v>
      </c>
      <c r="I224" s="86">
        <f>ROUND((O224*(Universe!C$6)),0)</f>
        <v>0</v>
      </c>
      <c r="J224" s="86">
        <f>ROUND((P224*Universe!C$2),0)</f>
        <v>0</v>
      </c>
      <c r="K224" s="87">
        <f t="shared" si="48"/>
        <v>0</v>
      </c>
      <c r="L224" s="32">
        <f t="shared" si="49"/>
        <v>0</v>
      </c>
      <c r="M224" s="555"/>
      <c r="N224" s="165">
        <v>0</v>
      </c>
      <c r="O224" s="167">
        <v>0</v>
      </c>
      <c r="P224" s="167">
        <v>0</v>
      </c>
      <c r="Q224" s="167"/>
      <c r="R224" s="168">
        <f t="shared" si="50"/>
        <v>0</v>
      </c>
      <c r="S224" s="168">
        <f t="shared" si="51"/>
        <v>0</v>
      </c>
      <c r="T224" s="168">
        <f t="shared" si="52"/>
        <v>0</v>
      </c>
      <c r="U224" s="188">
        <f>ROUND(((I224)*($B224+$C224+$D224+$E224))/(Universe!$C$6),2)</f>
        <v>0</v>
      </c>
      <c r="V224" s="188" t="e">
        <f>ROUND(((J224)*($B224+$C224+$D224+$E224))/(Universe!$C$2),2)</f>
        <v>#DIV/0!</v>
      </c>
      <c r="W224" s="167">
        <v>1</v>
      </c>
      <c r="X224" s="408">
        <f t="shared" si="53"/>
        <v>0</v>
      </c>
      <c r="Y224" s="408">
        <f t="shared" si="54"/>
        <v>0</v>
      </c>
      <c r="Z224" s="408" t="e">
        <f t="shared" si="55"/>
        <v>#DIV/0!</v>
      </c>
      <c r="AA224" s="408">
        <f t="shared" si="56"/>
        <v>0</v>
      </c>
    </row>
    <row r="225" spans="1:27" ht="20.399999999999999" x14ac:dyDescent="0.2">
      <c r="A225" s="146" t="s">
        <v>317</v>
      </c>
      <c r="B225" s="85">
        <v>0</v>
      </c>
      <c r="C225" s="89">
        <v>0</v>
      </c>
      <c r="D225" s="89">
        <v>0</v>
      </c>
      <c r="E225" s="89">
        <v>0.5</v>
      </c>
      <c r="F225" s="32">
        <f>ROUND(Costs!$B$3*B225+Costs!$B$4*C225+Costs!$B$5*D225+Costs!$B$6*E225,2)</f>
        <v>21.84</v>
      </c>
      <c r="G225" s="32" t="str">
        <f>Costs!$B$62</f>
        <v xml:space="preserve"> </v>
      </c>
      <c r="H225" s="32">
        <f>Costs!$B$19</f>
        <v>4.4000000000000004</v>
      </c>
      <c r="I225" s="86">
        <f>ROUND((O225*(Universe!C$6)),0)</f>
        <v>0</v>
      </c>
      <c r="J225" s="86">
        <f>ROUND((P225*Universe!C$2),0)</f>
        <v>0</v>
      </c>
      <c r="K225" s="87">
        <f t="shared" si="48"/>
        <v>0</v>
      </c>
      <c r="L225" s="32">
        <f t="shared" si="49"/>
        <v>0</v>
      </c>
      <c r="M225" s="555"/>
      <c r="N225" s="165">
        <v>0</v>
      </c>
      <c r="O225" s="167">
        <v>0</v>
      </c>
      <c r="P225" s="167">
        <v>0</v>
      </c>
      <c r="Q225" s="167"/>
      <c r="R225" s="168">
        <f t="shared" si="50"/>
        <v>0</v>
      </c>
      <c r="S225" s="168">
        <f t="shared" si="51"/>
        <v>0</v>
      </c>
      <c r="T225" s="168">
        <f t="shared" si="52"/>
        <v>0</v>
      </c>
      <c r="U225" s="188">
        <f>ROUND(((I225)*($B225+$C225+$D225+$E225))/(Universe!$C$6),2)</f>
        <v>0</v>
      </c>
      <c r="V225" s="188" t="e">
        <f>ROUND(((J225)*($B225+$C225+$D225+$E225))/(Universe!$C$2),2)</f>
        <v>#DIV/0!</v>
      </c>
      <c r="W225" s="167">
        <v>1</v>
      </c>
      <c r="X225" s="408">
        <f t="shared" si="53"/>
        <v>0</v>
      </c>
      <c r="Y225" s="408">
        <f t="shared" si="54"/>
        <v>0</v>
      </c>
      <c r="Z225" s="408" t="e">
        <f t="shared" si="55"/>
        <v>#DIV/0!</v>
      </c>
      <c r="AA225" s="408">
        <f t="shared" si="56"/>
        <v>0</v>
      </c>
    </row>
    <row r="226" spans="1:27" ht="20.399999999999999" x14ac:dyDescent="0.2">
      <c r="A226" s="146" t="s">
        <v>318</v>
      </c>
      <c r="B226" s="85">
        <v>0.75</v>
      </c>
      <c r="C226" s="89">
        <v>0.5</v>
      </c>
      <c r="D226" s="89">
        <v>0.75</v>
      </c>
      <c r="E226" s="89">
        <v>0</v>
      </c>
      <c r="F226" s="32">
        <f>ROUND(Costs!$B$3*B226+Costs!$B$4*C226+Costs!$B$5*D226+Costs!$B$6*E226,2)</f>
        <v>226.86</v>
      </c>
      <c r="G226" s="32" t="str">
        <f>Costs!$B$62</f>
        <v xml:space="preserve"> </v>
      </c>
      <c r="H226" s="32">
        <f>Costs!$B$16</f>
        <v>0</v>
      </c>
      <c r="I226" s="86">
        <f>ROUND((O226*(Universe!C$6)),0)</f>
        <v>0</v>
      </c>
      <c r="J226" s="86">
        <f>ROUND((P226*Universe!C$2),0)</f>
        <v>0</v>
      </c>
      <c r="K226" s="87">
        <f t="shared" si="48"/>
        <v>0</v>
      </c>
      <c r="L226" s="32">
        <f t="shared" si="49"/>
        <v>0</v>
      </c>
      <c r="M226" s="555"/>
      <c r="N226" s="165" t="e">
        <f>L226/(I226+J226)</f>
        <v>#DIV/0!</v>
      </c>
      <c r="O226" s="167">
        <v>0</v>
      </c>
      <c r="P226" s="167">
        <v>2.5000000000000001E-2</v>
      </c>
      <c r="Q226" s="167"/>
      <c r="R226" s="168">
        <f t="shared" si="50"/>
        <v>0</v>
      </c>
      <c r="S226" s="168">
        <f t="shared" si="51"/>
        <v>0</v>
      </c>
      <c r="T226" s="168">
        <f t="shared" si="52"/>
        <v>0</v>
      </c>
      <c r="U226" s="188">
        <f>ROUND(((I226)*($B226+$C226+$D226+$E226))/(Universe!$C$6),2)</f>
        <v>0</v>
      </c>
      <c r="V226" s="188" t="e">
        <f>ROUND(((J226)*($B226+$C226+$D226+$E226))/(Universe!$C$2),2)</f>
        <v>#DIV/0!</v>
      </c>
      <c r="W226" s="167">
        <v>1</v>
      </c>
      <c r="X226" s="408">
        <f t="shared" si="53"/>
        <v>0</v>
      </c>
      <c r="Y226" s="408">
        <f t="shared" si="54"/>
        <v>0</v>
      </c>
      <c r="Z226" s="408" t="e">
        <f t="shared" si="55"/>
        <v>#DIV/0!</v>
      </c>
      <c r="AA226" s="408">
        <f t="shared" si="56"/>
        <v>0</v>
      </c>
    </row>
    <row r="227" spans="1:27" ht="10.8" thickBot="1" x14ac:dyDescent="0.25">
      <c r="A227" s="189" t="s">
        <v>660</v>
      </c>
      <c r="B227" s="190">
        <v>0</v>
      </c>
      <c r="C227" s="207">
        <v>0</v>
      </c>
      <c r="D227" s="207">
        <v>0</v>
      </c>
      <c r="E227" s="207">
        <v>1</v>
      </c>
      <c r="F227" s="191">
        <f>ROUND(Costs!$B$3*B227+Costs!$B$4*C227+Costs!$B$5*D227+Costs!$B$6*E227,2)</f>
        <v>43.67</v>
      </c>
      <c r="G227" s="191" t="str">
        <f>Costs!$B$62</f>
        <v xml:space="preserve"> </v>
      </c>
      <c r="H227" s="191">
        <f>Costs!$B$19</f>
        <v>4.4000000000000004</v>
      </c>
      <c r="I227" s="192">
        <f>ROUND((O227*(Universe!C$6)),0)</f>
        <v>0</v>
      </c>
      <c r="J227" s="192">
        <f>J226</f>
        <v>0</v>
      </c>
      <c r="K227" s="193">
        <f t="shared" si="48"/>
        <v>0</v>
      </c>
      <c r="L227" s="191">
        <f t="shared" si="49"/>
        <v>0</v>
      </c>
      <c r="M227" s="555"/>
      <c r="N227" s="165" t="e">
        <f>L227/(I227+J227)</f>
        <v>#DIV/0!</v>
      </c>
      <c r="O227" s="167">
        <v>0</v>
      </c>
      <c r="P227" s="167">
        <v>0</v>
      </c>
      <c r="Q227" s="167"/>
      <c r="R227" s="168">
        <f t="shared" si="50"/>
        <v>0</v>
      </c>
      <c r="S227" s="168">
        <f t="shared" si="51"/>
        <v>0</v>
      </c>
      <c r="T227" s="168">
        <f t="shared" si="52"/>
        <v>0</v>
      </c>
      <c r="U227" s="188">
        <f>ROUND(((I227)*($B227+$C227+$D227+$E227))/(Universe!$C$6),2)</f>
        <v>0</v>
      </c>
      <c r="V227" s="188" t="e">
        <f>ROUND(((J227)*($B227+$C227+$D227+$E227))/(Universe!$C$2),2)</f>
        <v>#DIV/0!</v>
      </c>
      <c r="W227" s="167">
        <v>1</v>
      </c>
      <c r="X227" s="408">
        <f t="shared" si="53"/>
        <v>0</v>
      </c>
      <c r="Y227" s="408">
        <f t="shared" si="54"/>
        <v>0</v>
      </c>
      <c r="Z227" s="408" t="e">
        <f t="shared" si="55"/>
        <v>#DIV/0!</v>
      </c>
      <c r="AA227" s="408">
        <f t="shared" si="56"/>
        <v>0</v>
      </c>
    </row>
    <row r="228" spans="1:27" ht="10.8" thickBot="1" x14ac:dyDescent="0.25">
      <c r="A228" s="200" t="s">
        <v>596</v>
      </c>
      <c r="B228" s="201" t="s">
        <v>597</v>
      </c>
      <c r="C228" s="201" t="s">
        <v>597</v>
      </c>
      <c r="D228" s="201" t="s">
        <v>597</v>
      </c>
      <c r="E228" s="201" t="s">
        <v>597</v>
      </c>
      <c r="F228" s="201" t="s">
        <v>597</v>
      </c>
      <c r="G228" s="201" t="s">
        <v>597</v>
      </c>
      <c r="H228" s="201" t="s">
        <v>597</v>
      </c>
      <c r="I228" s="202" t="s">
        <v>597</v>
      </c>
      <c r="J228" s="202" t="s">
        <v>597</v>
      </c>
      <c r="K228" s="203">
        <f>SUM(K222:K227)</f>
        <v>0</v>
      </c>
      <c r="L228" s="204">
        <f>SUM(L222:L227)</f>
        <v>0</v>
      </c>
      <c r="M228" s="555"/>
      <c r="N228" s="169" t="s">
        <v>597</v>
      </c>
      <c r="P228" s="171"/>
      <c r="Q228" s="171"/>
      <c r="R228" s="203">
        <f>SUM(R222:R227)</f>
        <v>0</v>
      </c>
      <c r="S228" s="203">
        <f>SUM(S222:S227)</f>
        <v>0</v>
      </c>
      <c r="T228" s="203">
        <f>SUM(T222:T227)</f>
        <v>0</v>
      </c>
      <c r="U228" s="188"/>
      <c r="V228" s="188"/>
      <c r="X228" s="203">
        <f>SUM(X222:X227)</f>
        <v>0</v>
      </c>
      <c r="Y228" s="203">
        <f>SUM(Y222:Y227)</f>
        <v>0</v>
      </c>
      <c r="Z228" s="203" t="e">
        <f>SUM(Z222:Z227)</f>
        <v>#DIV/0!</v>
      </c>
      <c r="AA228" s="203">
        <f>SUM(AA222:AA227)</f>
        <v>0</v>
      </c>
    </row>
    <row r="229" spans="1:27" x14ac:dyDescent="0.2">
      <c r="A229" s="194" t="s">
        <v>662</v>
      </c>
      <c r="B229" s="195"/>
      <c r="C229" s="197"/>
      <c r="D229" s="197"/>
      <c r="E229" s="197"/>
      <c r="F229" s="213"/>
      <c r="G229" s="213"/>
      <c r="H229" s="213"/>
      <c r="I229" s="205"/>
      <c r="J229" s="205"/>
      <c r="K229" s="214"/>
      <c r="L229" s="215"/>
      <c r="M229" s="556"/>
      <c r="N229" s="172"/>
      <c r="U229" s="188"/>
      <c r="V229" s="188"/>
    </row>
    <row r="230" spans="1:27" ht="20.399999999999999" x14ac:dyDescent="0.2">
      <c r="A230" s="374" t="s">
        <v>307</v>
      </c>
      <c r="B230" s="375">
        <v>0</v>
      </c>
      <c r="C230" s="376">
        <v>2</v>
      </c>
      <c r="D230" s="376">
        <v>4</v>
      </c>
      <c r="E230" s="376">
        <v>2</v>
      </c>
      <c r="F230" s="377">
        <f>ROUND(Costs!$B$3*B230+Costs!$B$4*C230+Costs!$B$5*D230+Costs!$B$6*E230,2)</f>
        <v>572.67999999999995</v>
      </c>
      <c r="G230" s="377" t="str">
        <f>Costs!$B$62</f>
        <v xml:space="preserve"> </v>
      </c>
      <c r="H230" s="377">
        <f>Costs!$B$19</f>
        <v>4.4000000000000004</v>
      </c>
      <c r="I230" s="378">
        <f>ROUND((O230*(Universe!C$6)),0)</f>
        <v>0</v>
      </c>
      <c r="J230" s="378">
        <f>ROUND((P230*Universe!C$2),0)</f>
        <v>0</v>
      </c>
      <c r="K230" s="87">
        <f t="shared" ref="K230:K235" si="57">ROUND((B230+C230+D230+E230)*(I230+J230),2)</f>
        <v>0</v>
      </c>
      <c r="L230" s="32">
        <f t="shared" ref="L230:L235" si="58">(I230+J230)*SUM(F230:H230)</f>
        <v>0</v>
      </c>
      <c r="M230" s="555"/>
      <c r="N230" s="165">
        <v>0</v>
      </c>
      <c r="O230" s="167">
        <v>0</v>
      </c>
      <c r="P230" s="167">
        <v>0</v>
      </c>
      <c r="Q230" s="167"/>
      <c r="R230" s="168">
        <f t="shared" ref="R230:R235" si="59">F230*(I230+J230)</f>
        <v>0</v>
      </c>
      <c r="S230" s="168">
        <f t="shared" ref="S230:S235" si="60">G230*(I230+J230)</f>
        <v>0</v>
      </c>
      <c r="T230" s="168">
        <f t="shared" ref="T230:T235" si="61">H230*(I230+J230)</f>
        <v>0</v>
      </c>
      <c r="U230" s="188">
        <f>ROUND(((I230)*($B230+$C230+$D230+$E230))/(Universe!$C$6),2)</f>
        <v>0</v>
      </c>
      <c r="V230" s="188" t="e">
        <f>ROUND(((J230)*($B230+$C230+$D230+$E230))/(Universe!$C$2),2)</f>
        <v>#DIV/0!</v>
      </c>
      <c r="W230" s="167">
        <v>1</v>
      </c>
      <c r="X230" s="408">
        <f t="shared" ref="X230:X235" si="62">IF(W230=1,U230,0)</f>
        <v>0</v>
      </c>
      <c r="Y230" s="408">
        <f t="shared" ref="Y230:Y235" si="63">IF(W230=2,U230,0)</f>
        <v>0</v>
      </c>
      <c r="Z230" s="408" t="e">
        <f t="shared" ref="Z230:Z235" si="64">IF(W230=1,V230,0)</f>
        <v>#DIV/0!</v>
      </c>
      <c r="AA230" s="408">
        <f t="shared" ref="AA230:AA235" si="65">IF(W230=2,V230,0)</f>
        <v>0</v>
      </c>
    </row>
    <row r="231" spans="1:27" x14ac:dyDescent="0.2">
      <c r="A231" s="374" t="s">
        <v>546</v>
      </c>
      <c r="B231" s="375">
        <v>4</v>
      </c>
      <c r="C231" s="376">
        <v>1.5</v>
      </c>
      <c r="D231" s="376">
        <v>2</v>
      </c>
      <c r="E231" s="376">
        <v>0.5</v>
      </c>
      <c r="F231" s="377">
        <f>ROUND(Costs!$B$3*B231+Costs!$B$4*C231+Costs!$B$5*D231+Costs!$B$6*E231,2)</f>
        <v>972.83</v>
      </c>
      <c r="G231" s="377" t="str">
        <f>Costs!$B$62</f>
        <v xml:space="preserve"> </v>
      </c>
      <c r="H231" s="377">
        <f>Costs!$B$19</f>
        <v>4.4000000000000004</v>
      </c>
      <c r="I231" s="378">
        <f>ROUND((O231*(Universe!C$6)),0)</f>
        <v>0</v>
      </c>
      <c r="J231" s="378">
        <f>ROUND((P231*Universe!C$2),0)</f>
        <v>0</v>
      </c>
      <c r="K231" s="87">
        <f t="shared" si="57"/>
        <v>0</v>
      </c>
      <c r="L231" s="32">
        <f t="shared" si="58"/>
        <v>0</v>
      </c>
      <c r="M231" s="555"/>
      <c r="N231" s="165">
        <v>0</v>
      </c>
      <c r="O231" s="167">
        <v>0</v>
      </c>
      <c r="P231" s="167">
        <v>0</v>
      </c>
      <c r="Q231" s="167"/>
      <c r="R231" s="168">
        <f t="shared" si="59"/>
        <v>0</v>
      </c>
      <c r="S231" s="168">
        <f t="shared" si="60"/>
        <v>0</v>
      </c>
      <c r="T231" s="168">
        <f t="shared" si="61"/>
        <v>0</v>
      </c>
      <c r="U231" s="188">
        <f>ROUND(((I231)*($B231+$C231+$D231+$E231))/(Universe!$C$6),2)</f>
        <v>0</v>
      </c>
      <c r="V231" s="188" t="e">
        <f>ROUND(((J231)*($B231+$C231+$D231+$E231))/(Universe!$C$2),2)</f>
        <v>#DIV/0!</v>
      </c>
      <c r="W231" s="167">
        <v>1</v>
      </c>
      <c r="X231" s="408">
        <f t="shared" si="62"/>
        <v>0</v>
      </c>
      <c r="Y231" s="408">
        <f t="shared" si="63"/>
        <v>0</v>
      </c>
      <c r="Z231" s="408" t="e">
        <f t="shared" si="64"/>
        <v>#DIV/0!</v>
      </c>
      <c r="AA231" s="408">
        <f t="shared" si="65"/>
        <v>0</v>
      </c>
    </row>
    <row r="232" spans="1:27" x14ac:dyDescent="0.2">
      <c r="A232" s="146" t="s">
        <v>663</v>
      </c>
      <c r="B232" s="85">
        <v>0</v>
      </c>
      <c r="C232" s="89">
        <v>0</v>
      </c>
      <c r="D232" s="89">
        <v>0</v>
      </c>
      <c r="E232" s="89">
        <v>0.5</v>
      </c>
      <c r="F232" s="32">
        <f>ROUND(Costs!$B$3*B232+Costs!$B$4*C232+Costs!$B$5*D232+Costs!$B$6*E232,2)</f>
        <v>21.84</v>
      </c>
      <c r="G232" s="32" t="str">
        <f>Costs!$B$62</f>
        <v xml:space="preserve"> </v>
      </c>
      <c r="H232" s="32">
        <f>Costs!$B$19</f>
        <v>4.4000000000000004</v>
      </c>
      <c r="I232" s="86">
        <f>ROUND((O232*(Universe!C$6)),0)</f>
        <v>0</v>
      </c>
      <c r="J232" s="86">
        <f>ROUND((P232*Universe!C$2),0)</f>
        <v>0</v>
      </c>
      <c r="K232" s="87">
        <f t="shared" si="57"/>
        <v>0</v>
      </c>
      <c r="L232" s="32">
        <f t="shared" si="58"/>
        <v>0</v>
      </c>
      <c r="M232" s="555"/>
      <c r="N232" s="165">
        <v>0</v>
      </c>
      <c r="O232" s="167">
        <v>0</v>
      </c>
      <c r="P232" s="167">
        <v>0</v>
      </c>
      <c r="Q232" s="167"/>
      <c r="R232" s="168">
        <f t="shared" si="59"/>
        <v>0</v>
      </c>
      <c r="S232" s="168">
        <f t="shared" si="60"/>
        <v>0</v>
      </c>
      <c r="T232" s="168">
        <f t="shared" si="61"/>
        <v>0</v>
      </c>
      <c r="U232" s="188">
        <f>ROUND(((I232)*($B232+$C232+$D232+$E232))/(Universe!$C$6),2)</f>
        <v>0</v>
      </c>
      <c r="V232" s="188" t="e">
        <f>ROUND(((J232)*($B232+$C232+$D232+$E232))/(Universe!$C$2),2)</f>
        <v>#DIV/0!</v>
      </c>
      <c r="W232" s="167">
        <v>1</v>
      </c>
      <c r="X232" s="408">
        <f t="shared" si="62"/>
        <v>0</v>
      </c>
      <c r="Y232" s="408">
        <f t="shared" si="63"/>
        <v>0</v>
      </c>
      <c r="Z232" s="408" t="e">
        <f t="shared" si="64"/>
        <v>#DIV/0!</v>
      </c>
      <c r="AA232" s="408">
        <f t="shared" si="65"/>
        <v>0</v>
      </c>
    </row>
    <row r="233" spans="1:27" ht="20.399999999999999" x14ac:dyDescent="0.2">
      <c r="A233" s="146" t="s">
        <v>319</v>
      </c>
      <c r="B233" s="85">
        <v>0</v>
      </c>
      <c r="C233" s="89">
        <v>0</v>
      </c>
      <c r="D233" s="89">
        <v>0</v>
      </c>
      <c r="E233" s="89">
        <v>1</v>
      </c>
      <c r="F233" s="32">
        <f>ROUND(Costs!$B$3*B233+Costs!$B$4*C233+Costs!$B$5*D233+Costs!$B$6*E233,2)</f>
        <v>43.67</v>
      </c>
      <c r="G233" s="32" t="str">
        <f>Costs!$B$62</f>
        <v xml:space="preserve"> </v>
      </c>
      <c r="H233" s="32">
        <f>Costs!$B$19</f>
        <v>4.4000000000000004</v>
      </c>
      <c r="I233" s="86">
        <f>ROUND((O233*(Universe!C$6)),0)</f>
        <v>0</v>
      </c>
      <c r="J233" s="86">
        <f>ROUND((P233*Universe!C$2),0)</f>
        <v>0</v>
      </c>
      <c r="K233" s="87">
        <f t="shared" si="57"/>
        <v>0</v>
      </c>
      <c r="L233" s="32">
        <f t="shared" si="58"/>
        <v>0</v>
      </c>
      <c r="M233" s="555"/>
      <c r="N233" s="165">
        <v>0</v>
      </c>
      <c r="O233" s="167">
        <v>0</v>
      </c>
      <c r="P233" s="167">
        <v>0</v>
      </c>
      <c r="Q233" s="167"/>
      <c r="R233" s="168">
        <f t="shared" si="59"/>
        <v>0</v>
      </c>
      <c r="S233" s="168">
        <f t="shared" si="60"/>
        <v>0</v>
      </c>
      <c r="T233" s="168">
        <f t="shared" si="61"/>
        <v>0</v>
      </c>
      <c r="U233" s="188">
        <f>ROUND(((I233)*($B233+$C233+$D233+$E233))/(Universe!$C$6),2)</f>
        <v>0</v>
      </c>
      <c r="V233" s="188" t="e">
        <f>ROUND(((J233)*($B233+$C233+$D233+$E233))/(Universe!$C$2),2)</f>
        <v>#DIV/0!</v>
      </c>
      <c r="W233" s="167">
        <v>1</v>
      </c>
      <c r="X233" s="408">
        <f t="shared" si="62"/>
        <v>0</v>
      </c>
      <c r="Y233" s="408">
        <f t="shared" si="63"/>
        <v>0</v>
      </c>
      <c r="Z233" s="408" t="e">
        <f t="shared" si="64"/>
        <v>#DIV/0!</v>
      </c>
      <c r="AA233" s="408">
        <f t="shared" si="65"/>
        <v>0</v>
      </c>
    </row>
    <row r="234" spans="1:27" ht="20.399999999999999" x14ac:dyDescent="0.2">
      <c r="A234" s="146" t="s">
        <v>320</v>
      </c>
      <c r="B234" s="85">
        <v>2.5</v>
      </c>
      <c r="C234" s="89">
        <v>0.5</v>
      </c>
      <c r="D234" s="89">
        <v>0</v>
      </c>
      <c r="E234" s="89">
        <v>0</v>
      </c>
      <c r="F234" s="32">
        <f>ROUND(Costs!$B$3*B234+Costs!$B$4*C234+Costs!$B$5*D234+Costs!$B$6*E234,2)</f>
        <v>460.98</v>
      </c>
      <c r="G234" s="32" t="str">
        <f>Costs!$B$62</f>
        <v xml:space="preserve"> </v>
      </c>
      <c r="H234" s="32">
        <f>Costs!$B$16</f>
        <v>0</v>
      </c>
      <c r="I234" s="86">
        <f>ROUND((O234*(Universe!C$6)),0)</f>
        <v>0</v>
      </c>
      <c r="J234" s="86">
        <f>ROUND((P234*Universe!C$2),0)</f>
        <v>0</v>
      </c>
      <c r="K234" s="87">
        <f t="shared" si="57"/>
        <v>0</v>
      </c>
      <c r="L234" s="32">
        <f t="shared" si="58"/>
        <v>0</v>
      </c>
      <c r="M234" s="555"/>
      <c r="N234" s="165" t="e">
        <f>L234/(I234+J234)</f>
        <v>#DIV/0!</v>
      </c>
      <c r="O234" s="167">
        <v>0</v>
      </c>
      <c r="P234" s="167">
        <v>2.5000000000000001E-2</v>
      </c>
      <c r="Q234" s="167"/>
      <c r="R234" s="168">
        <f t="shared" si="59"/>
        <v>0</v>
      </c>
      <c r="S234" s="168">
        <f t="shared" si="60"/>
        <v>0</v>
      </c>
      <c r="T234" s="168">
        <f t="shared" si="61"/>
        <v>0</v>
      </c>
      <c r="U234" s="188">
        <f>ROUND(((I234)*($B234+$C234+$D234+$E234))/(Universe!$C$6),2)</f>
        <v>0</v>
      </c>
      <c r="V234" s="188" t="e">
        <f>ROUND(((J234)*($B234+$C234+$D234+$E234))/(Universe!$C$2),2)</f>
        <v>#DIV/0!</v>
      </c>
      <c r="W234" s="167">
        <v>1</v>
      </c>
      <c r="X234" s="408">
        <f t="shared" si="62"/>
        <v>0</v>
      </c>
      <c r="Y234" s="408">
        <f t="shared" si="63"/>
        <v>0</v>
      </c>
      <c r="Z234" s="408" t="e">
        <f t="shared" si="64"/>
        <v>#DIV/0!</v>
      </c>
      <c r="AA234" s="408">
        <f t="shared" si="65"/>
        <v>0</v>
      </c>
    </row>
    <row r="235" spans="1:27" ht="10.8" thickBot="1" x14ac:dyDescent="0.25">
      <c r="A235" s="189" t="s">
        <v>660</v>
      </c>
      <c r="B235" s="190">
        <v>0</v>
      </c>
      <c r="C235" s="207">
        <v>0</v>
      </c>
      <c r="D235" s="207">
        <v>0</v>
      </c>
      <c r="E235" s="207">
        <v>1</v>
      </c>
      <c r="F235" s="191">
        <f>ROUND(Costs!$B$3*B235+Costs!$B$4*C235+Costs!$B$5*D235+Costs!$B$6*E235,2)</f>
        <v>43.67</v>
      </c>
      <c r="G235" s="191" t="str">
        <f>Costs!$B$62</f>
        <v xml:space="preserve"> </v>
      </c>
      <c r="H235" s="191">
        <f>Costs!$B$19</f>
        <v>4.4000000000000004</v>
      </c>
      <c r="I235" s="192">
        <f>ROUND((O235*(Universe!C$6)),0)</f>
        <v>0</v>
      </c>
      <c r="J235" s="192">
        <f>J234</f>
        <v>0</v>
      </c>
      <c r="K235" s="193">
        <f t="shared" si="57"/>
        <v>0</v>
      </c>
      <c r="L235" s="191">
        <f t="shared" si="58"/>
        <v>0</v>
      </c>
      <c r="M235" s="555"/>
      <c r="N235" s="165" t="e">
        <f>L235/(I235+J235)</f>
        <v>#DIV/0!</v>
      </c>
      <c r="O235" s="167">
        <v>0</v>
      </c>
      <c r="P235" s="167">
        <v>0</v>
      </c>
      <c r="Q235" s="167"/>
      <c r="R235" s="168">
        <f t="shared" si="59"/>
        <v>0</v>
      </c>
      <c r="S235" s="168">
        <f t="shared" si="60"/>
        <v>0</v>
      </c>
      <c r="T235" s="168">
        <f t="shared" si="61"/>
        <v>0</v>
      </c>
      <c r="U235" s="188">
        <f>ROUND(((I235)*($B235+$C235+$D235+$E235))/(Universe!$C$6),2)</f>
        <v>0</v>
      </c>
      <c r="V235" s="188" t="e">
        <f>ROUND(((J235)*($B235+$C235+$D235+$E235))/(Universe!$C$2),2)</f>
        <v>#DIV/0!</v>
      </c>
      <c r="W235" s="167">
        <v>1</v>
      </c>
      <c r="X235" s="408">
        <f t="shared" si="62"/>
        <v>0</v>
      </c>
      <c r="Y235" s="408">
        <f t="shared" si="63"/>
        <v>0</v>
      </c>
      <c r="Z235" s="408" t="e">
        <f t="shared" si="64"/>
        <v>#DIV/0!</v>
      </c>
      <c r="AA235" s="408">
        <f t="shared" si="65"/>
        <v>0</v>
      </c>
    </row>
    <row r="236" spans="1:27" ht="10.8" thickBot="1" x14ac:dyDescent="0.25">
      <c r="A236" s="200" t="s">
        <v>596</v>
      </c>
      <c r="B236" s="201" t="s">
        <v>597</v>
      </c>
      <c r="C236" s="201" t="s">
        <v>597</v>
      </c>
      <c r="D236" s="201" t="s">
        <v>597</v>
      </c>
      <c r="E236" s="201" t="s">
        <v>597</v>
      </c>
      <c r="F236" s="201" t="s">
        <v>597</v>
      </c>
      <c r="G236" s="201" t="s">
        <v>597</v>
      </c>
      <c r="H236" s="201" t="s">
        <v>597</v>
      </c>
      <c r="I236" s="202" t="s">
        <v>597</v>
      </c>
      <c r="J236" s="202" t="s">
        <v>597</v>
      </c>
      <c r="K236" s="203">
        <f>SUM(K230:K235)</f>
        <v>0</v>
      </c>
      <c r="L236" s="204">
        <f>SUM(L230:L235)</f>
        <v>0</v>
      </c>
      <c r="M236" s="555"/>
      <c r="N236" s="169" t="s">
        <v>597</v>
      </c>
      <c r="P236" s="171"/>
      <c r="Q236" s="171"/>
      <c r="R236" s="203">
        <f>SUM(R230:R235)</f>
        <v>0</v>
      </c>
      <c r="S236" s="203">
        <f>SUM(S230:S235)</f>
        <v>0</v>
      </c>
      <c r="T236" s="203">
        <f>SUM(T230:T235)</f>
        <v>0</v>
      </c>
      <c r="U236" s="188"/>
      <c r="V236" s="166"/>
      <c r="X236" s="203">
        <f>SUM(X230:X235)</f>
        <v>0</v>
      </c>
      <c r="Y236" s="203">
        <f>SUM(Y230:Y235)</f>
        <v>0</v>
      </c>
      <c r="Z236" s="203" t="e">
        <f>SUM(Z230:Z235)</f>
        <v>#DIV/0!</v>
      </c>
      <c r="AA236" s="203">
        <f>SUM(AA230:AA235)</f>
        <v>0</v>
      </c>
    </row>
    <row r="237" spans="1:27" x14ac:dyDescent="0.2">
      <c r="A237" s="194" t="s">
        <v>664</v>
      </c>
      <c r="B237" s="195"/>
      <c r="C237" s="197"/>
      <c r="D237" s="197"/>
      <c r="E237" s="197"/>
      <c r="F237" s="213"/>
      <c r="G237" s="213"/>
      <c r="H237" s="213"/>
      <c r="I237" s="205"/>
      <c r="J237" s="205"/>
      <c r="K237" s="214"/>
      <c r="L237" s="215"/>
      <c r="M237" s="556"/>
      <c r="N237" s="172"/>
      <c r="U237" s="188"/>
      <c r="V237" s="166"/>
    </row>
    <row r="238" spans="1:27" ht="20.399999999999999" x14ac:dyDescent="0.2">
      <c r="A238" s="146" t="s">
        <v>321</v>
      </c>
      <c r="B238" s="85">
        <v>1</v>
      </c>
      <c r="C238" s="89">
        <v>0.25</v>
      </c>
      <c r="D238" s="89">
        <v>2</v>
      </c>
      <c r="E238" s="89">
        <v>0.75</v>
      </c>
      <c r="F238" s="32">
        <f>ROUND(Costs!$B$3*B238+Costs!$B$4*C238+Costs!$B$5*D238+Costs!$B$6*E238,2)</f>
        <v>367.24</v>
      </c>
      <c r="G238" s="32" t="str">
        <f>Costs!$B$62</f>
        <v xml:space="preserve"> </v>
      </c>
      <c r="H238" s="32">
        <f>Costs!$B$19</f>
        <v>4.4000000000000004</v>
      </c>
      <c r="I238" s="86">
        <f>ROUND((O238*(Universe!C$6)),0)</f>
        <v>0</v>
      </c>
      <c r="J238" s="86">
        <f>ROUND((P238*Universe!C$2),0)</f>
        <v>0</v>
      </c>
      <c r="K238" s="87">
        <f t="shared" ref="K238:K245" si="66">ROUND((B238+C238+D238+E238)*(I238+J238),2)</f>
        <v>0</v>
      </c>
      <c r="L238" s="32">
        <f t="shared" ref="L238:L245" si="67">(I238+J238)*SUM(F238:H238)</f>
        <v>0</v>
      </c>
      <c r="M238" s="555"/>
      <c r="N238" s="165">
        <v>0</v>
      </c>
      <c r="O238" s="167">
        <v>0</v>
      </c>
      <c r="P238" s="167">
        <v>0</v>
      </c>
      <c r="Q238" s="167"/>
      <c r="R238" s="168">
        <f t="shared" ref="R238:R245" si="68">F238*(I238+J238)</f>
        <v>0</v>
      </c>
      <c r="S238" s="168">
        <f t="shared" ref="S238:S245" si="69">G238*(I238+J238)</f>
        <v>0</v>
      </c>
      <c r="T238" s="168">
        <f t="shared" ref="T238:T245" si="70">H238*(I238+J238)</f>
        <v>0</v>
      </c>
      <c r="U238" s="188">
        <f>ROUND(((I238)*($B238+$C238+$D238+$E238))/(Universe!$C$6),2)</f>
        <v>0</v>
      </c>
      <c r="V238" s="188" t="e">
        <f>ROUND(((J238)*($B238+$C238+$D238+$E238))/(Universe!$C$2),2)</f>
        <v>#DIV/0!</v>
      </c>
      <c r="W238" s="167">
        <v>1</v>
      </c>
      <c r="X238" s="408">
        <f t="shared" ref="X238:X245" si="71">IF(W238=1,U238,0)</f>
        <v>0</v>
      </c>
      <c r="Y238" s="408">
        <f t="shared" ref="Y238:Y245" si="72">IF(W238=2,U238,0)</f>
        <v>0</v>
      </c>
      <c r="Z238" s="408" t="e">
        <f t="shared" ref="Z238:Z245" si="73">IF(W238=1,V238,0)</f>
        <v>#DIV/0!</v>
      </c>
      <c r="AA238" s="408">
        <f t="shared" ref="AA238:AA245" si="74">IF(W238=2,V238,0)</f>
        <v>0</v>
      </c>
    </row>
    <row r="239" spans="1:27" ht="20.399999999999999" x14ac:dyDescent="0.2">
      <c r="A239" s="374" t="s">
        <v>322</v>
      </c>
      <c r="B239" s="375">
        <v>0</v>
      </c>
      <c r="C239" s="376">
        <v>4</v>
      </c>
      <c r="D239" s="376">
        <v>8</v>
      </c>
      <c r="E239" s="376">
        <v>2</v>
      </c>
      <c r="F239" s="377">
        <f>ROUND(Costs!$B$3*B239+Costs!$B$4*C239+Costs!$B$5*D239+Costs!$B$6*E239,2)</f>
        <v>1058.02</v>
      </c>
      <c r="G239" s="377" t="str">
        <f>Costs!$B$62</f>
        <v xml:space="preserve"> </v>
      </c>
      <c r="H239" s="377">
        <f>Costs!$B$19</f>
        <v>4.4000000000000004</v>
      </c>
      <c r="I239" s="378">
        <f>ROUND((O239*(Universe!C$6)),0)</f>
        <v>0</v>
      </c>
      <c r="J239" s="378">
        <f>ROUND((P239*Universe!C$2),0)</f>
        <v>0</v>
      </c>
      <c r="K239" s="87">
        <f>ROUND((B239+C239+D239+E239)*(I239+J239),2)</f>
        <v>0</v>
      </c>
      <c r="L239" s="32">
        <f>(I239+J239)*SUM(F239:H239)</f>
        <v>0</v>
      </c>
      <c r="M239" s="555"/>
      <c r="N239" s="165">
        <v>0</v>
      </c>
      <c r="O239" s="167">
        <v>0</v>
      </c>
      <c r="P239" s="167">
        <v>0</v>
      </c>
      <c r="Q239" s="167"/>
      <c r="R239" s="168">
        <f t="shared" si="68"/>
        <v>0</v>
      </c>
      <c r="S239" s="168">
        <f t="shared" si="69"/>
        <v>0</v>
      </c>
      <c r="T239" s="168">
        <f t="shared" si="70"/>
        <v>0</v>
      </c>
      <c r="U239" s="188">
        <f>ROUND(((I239)*($B239+$C239+$D239+$E239))/(Universe!$C$6),2)</f>
        <v>0</v>
      </c>
      <c r="V239" s="188" t="e">
        <f>ROUND(((J239)*($B239+$C239+$D239+$E239))/(Universe!$C$2),2)</f>
        <v>#DIV/0!</v>
      </c>
      <c r="W239" s="167">
        <v>1</v>
      </c>
      <c r="X239" s="408">
        <f t="shared" si="71"/>
        <v>0</v>
      </c>
      <c r="Y239" s="408">
        <f t="shared" si="72"/>
        <v>0</v>
      </c>
      <c r="Z239" s="408" t="e">
        <f t="shared" si="73"/>
        <v>#DIV/0!</v>
      </c>
      <c r="AA239" s="408">
        <f t="shared" si="74"/>
        <v>0</v>
      </c>
    </row>
    <row r="240" spans="1:27" ht="20.399999999999999" x14ac:dyDescent="0.2">
      <c r="A240" s="374" t="s">
        <v>323</v>
      </c>
      <c r="B240" s="375">
        <v>0</v>
      </c>
      <c r="C240" s="376">
        <v>0</v>
      </c>
      <c r="D240" s="376">
        <v>0</v>
      </c>
      <c r="E240" s="376">
        <v>1</v>
      </c>
      <c r="F240" s="377">
        <f>ROUND(Costs!$B$3*B240+Costs!$B$4*C240+Costs!$B$5*D240+Costs!$B$6*E240,2)</f>
        <v>43.67</v>
      </c>
      <c r="G240" s="377" t="str">
        <f>Costs!$B$62</f>
        <v xml:space="preserve"> </v>
      </c>
      <c r="H240" s="377">
        <f>Costs!$B$19</f>
        <v>4.4000000000000004</v>
      </c>
      <c r="I240" s="378">
        <f>ROUND((O240*(Universe!C$6)),0)</f>
        <v>0</v>
      </c>
      <c r="J240" s="378">
        <f>ROUND((P240*Universe!C$2),0)</f>
        <v>0</v>
      </c>
      <c r="K240" s="382">
        <f t="shared" si="66"/>
        <v>0</v>
      </c>
      <c r="L240" s="377">
        <f t="shared" si="67"/>
        <v>0</v>
      </c>
      <c r="M240" s="165"/>
      <c r="N240" s="165">
        <v>0</v>
      </c>
      <c r="O240" s="167">
        <v>0</v>
      </c>
      <c r="P240" s="167">
        <v>0</v>
      </c>
      <c r="Q240" s="167"/>
      <c r="R240" s="168">
        <f t="shared" si="68"/>
        <v>0</v>
      </c>
      <c r="S240" s="168">
        <f t="shared" si="69"/>
        <v>0</v>
      </c>
      <c r="T240" s="168">
        <f t="shared" si="70"/>
        <v>0</v>
      </c>
      <c r="U240" s="188">
        <f>ROUND(((I240)*($B240+$C240+$D240+$E240))/(Universe!$C$6),2)</f>
        <v>0</v>
      </c>
      <c r="V240" s="188" t="e">
        <f>ROUND(((J240)*($B240+$C240+$D240+$E240))/(Universe!$C$2),2)</f>
        <v>#DIV/0!</v>
      </c>
      <c r="W240" s="167">
        <v>1</v>
      </c>
      <c r="X240" s="408">
        <f t="shared" si="71"/>
        <v>0</v>
      </c>
      <c r="Y240" s="408">
        <f t="shared" si="72"/>
        <v>0</v>
      </c>
      <c r="Z240" s="408" t="e">
        <f t="shared" si="73"/>
        <v>#DIV/0!</v>
      </c>
      <c r="AA240" s="408">
        <f t="shared" si="74"/>
        <v>0</v>
      </c>
    </row>
    <row r="241" spans="1:27" ht="20.399999999999999" x14ac:dyDescent="0.2">
      <c r="A241" s="374" t="s">
        <v>324</v>
      </c>
      <c r="B241" s="375">
        <v>0</v>
      </c>
      <c r="C241" s="376">
        <v>1</v>
      </c>
      <c r="D241" s="376">
        <v>1</v>
      </c>
      <c r="E241" s="376">
        <v>1</v>
      </c>
      <c r="F241" s="377">
        <f>ROUND(Costs!$B$3*B241+Costs!$B$4*C241+Costs!$B$5*D241+Costs!$B$6*E241,2)</f>
        <v>213.73</v>
      </c>
      <c r="G241" s="377" t="str">
        <f>Costs!$B$62</f>
        <v xml:space="preserve"> </v>
      </c>
      <c r="H241" s="377">
        <f>Costs!$B$19</f>
        <v>4.4000000000000004</v>
      </c>
      <c r="I241" s="378">
        <f>ROUND((O241*(Universe!C$6)),0)</f>
        <v>0</v>
      </c>
      <c r="J241" s="378">
        <f>ROUND((P241*Universe!C$2),0)</f>
        <v>0</v>
      </c>
      <c r="K241" s="87">
        <f>ROUND((B241+C241+D241+E241)*(I241+J241),2)</f>
        <v>0</v>
      </c>
      <c r="L241" s="32">
        <f>(I241+J241)*SUM(F241:H241)</f>
        <v>0</v>
      </c>
      <c r="M241" s="555"/>
      <c r="N241" s="165">
        <v>0</v>
      </c>
      <c r="O241" s="167">
        <v>0</v>
      </c>
      <c r="P241" s="167">
        <v>0</v>
      </c>
      <c r="Q241" s="167"/>
      <c r="R241" s="168">
        <f t="shared" si="68"/>
        <v>0</v>
      </c>
      <c r="S241" s="168">
        <f t="shared" si="69"/>
        <v>0</v>
      </c>
      <c r="T241" s="168">
        <f t="shared" si="70"/>
        <v>0</v>
      </c>
      <c r="U241" s="188">
        <f>ROUND(((I241)*($B241+$C241+$D241+$E241))/(Universe!$C$6),2)</f>
        <v>0</v>
      </c>
      <c r="V241" s="188" t="e">
        <f>ROUND(((J241)*($B241+$C241+$D241+$E241))/(Universe!$C$2),2)</f>
        <v>#DIV/0!</v>
      </c>
      <c r="W241" s="167">
        <v>1</v>
      </c>
      <c r="X241" s="408">
        <f t="shared" si="71"/>
        <v>0</v>
      </c>
      <c r="Y241" s="408">
        <f t="shared" si="72"/>
        <v>0</v>
      </c>
      <c r="Z241" s="408" t="e">
        <f t="shared" si="73"/>
        <v>#DIV/0!</v>
      </c>
      <c r="AA241" s="408">
        <f t="shared" si="74"/>
        <v>0</v>
      </c>
    </row>
    <row r="242" spans="1:27" x14ac:dyDescent="0.2">
      <c r="A242" s="146" t="s">
        <v>665</v>
      </c>
      <c r="B242" s="85">
        <v>0</v>
      </c>
      <c r="C242" s="89">
        <v>0</v>
      </c>
      <c r="D242" s="89">
        <v>0</v>
      </c>
      <c r="E242" s="89">
        <v>4</v>
      </c>
      <c r="F242" s="32">
        <f>ROUND(Costs!$B$3*B242+Costs!$B$4*C242+Costs!$B$5*D242+Costs!$B$6*E242,2)</f>
        <v>174.68</v>
      </c>
      <c r="G242" s="32" t="str">
        <f>Costs!$B$62</f>
        <v xml:space="preserve"> </v>
      </c>
      <c r="H242" s="32">
        <f>Costs!$B$19</f>
        <v>4.4000000000000004</v>
      </c>
      <c r="I242" s="86">
        <f>ROUND((O242*(Universe!C$6)),0)</f>
        <v>18</v>
      </c>
      <c r="J242" s="86">
        <f>ROUND((P242*Universe!C$2),0)</f>
        <v>0</v>
      </c>
      <c r="K242" s="87">
        <f t="shared" si="66"/>
        <v>72</v>
      </c>
      <c r="L242" s="32">
        <f t="shared" si="67"/>
        <v>3223.44</v>
      </c>
      <c r="M242" s="555"/>
      <c r="N242" s="165">
        <f>L242/(I242+J242)</f>
        <v>179.08</v>
      </c>
      <c r="O242" s="167">
        <v>0.5</v>
      </c>
      <c r="P242" s="167">
        <v>0.5</v>
      </c>
      <c r="Q242" s="167"/>
      <c r="R242" s="168">
        <f t="shared" si="68"/>
        <v>3144.2400000000002</v>
      </c>
      <c r="S242" s="168">
        <f t="shared" si="69"/>
        <v>0</v>
      </c>
      <c r="T242" s="168">
        <f t="shared" si="70"/>
        <v>79.2</v>
      </c>
      <c r="U242" s="188">
        <f>ROUND(((I242)*($B242+$C242+$D242+$E242))/(Universe!$C$6),2)</f>
        <v>2</v>
      </c>
      <c r="V242" s="188" t="e">
        <f>ROUND(((J242)*($B242+$C242+$D242+$E242))/(Universe!$C$2),2)</f>
        <v>#DIV/0!</v>
      </c>
      <c r="W242" s="167">
        <v>1</v>
      </c>
      <c r="X242" s="408">
        <f t="shared" si="71"/>
        <v>2</v>
      </c>
      <c r="Y242" s="408">
        <f t="shared" si="72"/>
        <v>0</v>
      </c>
      <c r="Z242" s="408" t="e">
        <f t="shared" si="73"/>
        <v>#DIV/0!</v>
      </c>
      <c r="AA242" s="408">
        <f t="shared" si="74"/>
        <v>0</v>
      </c>
    </row>
    <row r="243" spans="1:27" ht="20.399999999999999" x14ac:dyDescent="0.2">
      <c r="A243" s="146" t="s">
        <v>325</v>
      </c>
      <c r="B243" s="85">
        <v>3.25</v>
      </c>
      <c r="C243" s="89">
        <v>0.25</v>
      </c>
      <c r="D243" s="89">
        <v>0</v>
      </c>
      <c r="E243" s="89">
        <v>0.5</v>
      </c>
      <c r="F243" s="32">
        <f>ROUND(Costs!$B$3*B243+Costs!$B$4*C243+Costs!$B$5*D243+Costs!$B$6*E243,2)</f>
        <v>582.12</v>
      </c>
      <c r="G243" s="32" t="str">
        <f>Costs!$B$62</f>
        <v xml:space="preserve"> </v>
      </c>
      <c r="H243" s="32">
        <f>Costs!$B$19</f>
        <v>4.4000000000000004</v>
      </c>
      <c r="I243" s="86">
        <f>ROUND((O243*(Universe!C$6)),0)</f>
        <v>0</v>
      </c>
      <c r="J243" s="86">
        <f>ROUND((P243*Universe!C$2),0)</f>
        <v>0</v>
      </c>
      <c r="K243" s="87">
        <f t="shared" si="66"/>
        <v>0</v>
      </c>
      <c r="L243" s="32">
        <f t="shared" si="67"/>
        <v>0</v>
      </c>
      <c r="M243" s="555"/>
      <c r="N243" s="165" t="e">
        <f>L243/(I243+J243)</f>
        <v>#DIV/0!</v>
      </c>
      <c r="O243" s="167">
        <v>0</v>
      </c>
      <c r="P243" s="167">
        <v>2.5000000000000001E-2</v>
      </c>
      <c r="Q243" s="167"/>
      <c r="R243" s="168">
        <f t="shared" si="68"/>
        <v>0</v>
      </c>
      <c r="S243" s="168">
        <f t="shared" si="69"/>
        <v>0</v>
      </c>
      <c r="T243" s="168">
        <f t="shared" si="70"/>
        <v>0</v>
      </c>
      <c r="U243" s="188">
        <f>ROUND(((I243)*($B243+$C243+$D243+$E243))/(Universe!$C$6),2)</f>
        <v>0</v>
      </c>
      <c r="V243" s="188" t="e">
        <f>ROUND(((J243)*($B243+$C243+$D243+$E243))/(Universe!$C$2),2)</f>
        <v>#DIV/0!</v>
      </c>
      <c r="W243" s="167">
        <v>1</v>
      </c>
      <c r="X243" s="408">
        <f t="shared" si="71"/>
        <v>0</v>
      </c>
      <c r="Y243" s="408">
        <f t="shared" si="72"/>
        <v>0</v>
      </c>
      <c r="Z243" s="408" t="e">
        <f t="shared" si="73"/>
        <v>#DIV/0!</v>
      </c>
      <c r="AA243" s="408">
        <f t="shared" si="74"/>
        <v>0</v>
      </c>
    </row>
    <row r="244" spans="1:27" ht="20.399999999999999" x14ac:dyDescent="0.2">
      <c r="A244" s="146" t="s">
        <v>326</v>
      </c>
      <c r="B244" s="85">
        <v>2.25</v>
      </c>
      <c r="C244" s="89">
        <v>0.25</v>
      </c>
      <c r="D244" s="89">
        <v>1</v>
      </c>
      <c r="E244" s="89">
        <v>0.5</v>
      </c>
      <c r="F244" s="32">
        <f>ROUND(Costs!$B$3*B244+Costs!$B$4*C244+Costs!$B$5*D244+Costs!$B$6*E244,2)</f>
        <v>489.83</v>
      </c>
      <c r="G244" s="32" t="str">
        <f>Costs!$B$62</f>
        <v xml:space="preserve"> </v>
      </c>
      <c r="H244" s="32">
        <f>Costs!$B$19</f>
        <v>4.4000000000000004</v>
      </c>
      <c r="I244" s="86">
        <f>ROUND((O244*(Universe!C$6)),0)</f>
        <v>0</v>
      </c>
      <c r="J244" s="86">
        <f>ROUND((P244*Universe!C$2),0)</f>
        <v>0</v>
      </c>
      <c r="K244" s="87">
        <f t="shared" si="66"/>
        <v>0</v>
      </c>
      <c r="L244" s="32">
        <f t="shared" si="67"/>
        <v>0</v>
      </c>
      <c r="M244" s="555"/>
      <c r="N244" s="165" t="e">
        <f>L244/(I244+J244)</f>
        <v>#DIV/0!</v>
      </c>
      <c r="O244" s="167">
        <v>0</v>
      </c>
      <c r="P244" s="167">
        <v>2.5000000000000001E-2</v>
      </c>
      <c r="Q244" s="167"/>
      <c r="R244" s="168">
        <f t="shared" si="68"/>
        <v>0</v>
      </c>
      <c r="S244" s="168">
        <f t="shared" si="69"/>
        <v>0</v>
      </c>
      <c r="T244" s="168">
        <f t="shared" si="70"/>
        <v>0</v>
      </c>
      <c r="U244" s="188">
        <f>ROUND(((I244)*($B244+$C244+$D244+$E244))/(Universe!$C$6),2)</f>
        <v>0</v>
      </c>
      <c r="V244" s="188" t="e">
        <f>ROUND(((J244)*($B244+$C244+$D244+$E244))/(Universe!$C$2),2)</f>
        <v>#DIV/0!</v>
      </c>
      <c r="W244" s="167">
        <v>1</v>
      </c>
      <c r="X244" s="408">
        <f t="shared" si="71"/>
        <v>0</v>
      </c>
      <c r="Y244" s="408">
        <f t="shared" si="72"/>
        <v>0</v>
      </c>
      <c r="Z244" s="408" t="e">
        <f t="shared" si="73"/>
        <v>#DIV/0!</v>
      </c>
      <c r="AA244" s="408">
        <f t="shared" si="74"/>
        <v>0</v>
      </c>
    </row>
    <row r="245" spans="1:27" ht="21" thickBot="1" x14ac:dyDescent="0.25">
      <c r="A245" s="189" t="s">
        <v>327</v>
      </c>
      <c r="B245" s="190">
        <v>0</v>
      </c>
      <c r="C245" s="207">
        <v>0</v>
      </c>
      <c r="D245" s="207">
        <v>0</v>
      </c>
      <c r="E245" s="207">
        <v>1</v>
      </c>
      <c r="F245" s="191">
        <f>ROUND(Costs!$B$3*B245+Costs!$B$4*C245+Costs!$B$5*D245+Costs!$B$6*E245,2)</f>
        <v>43.67</v>
      </c>
      <c r="G245" s="191" t="str">
        <f>Costs!$B$62</f>
        <v xml:space="preserve"> </v>
      </c>
      <c r="H245" s="191">
        <f>Costs!$B$19</f>
        <v>4.4000000000000004</v>
      </c>
      <c r="I245" s="192">
        <f>ROUND((O245*(Universe!C$6)),0)</f>
        <v>0</v>
      </c>
      <c r="J245" s="192">
        <f>ROUND((P245*Universe!C$2),0)</f>
        <v>0</v>
      </c>
      <c r="K245" s="193">
        <f t="shared" si="66"/>
        <v>0</v>
      </c>
      <c r="L245" s="191">
        <f t="shared" si="67"/>
        <v>0</v>
      </c>
      <c r="M245" s="555"/>
      <c r="N245" s="165">
        <v>0</v>
      </c>
      <c r="O245" s="174">
        <v>0</v>
      </c>
      <c r="P245" s="167">
        <v>0</v>
      </c>
      <c r="Q245" s="167"/>
      <c r="R245" s="168">
        <f t="shared" si="68"/>
        <v>0</v>
      </c>
      <c r="S245" s="168">
        <f t="shared" si="69"/>
        <v>0</v>
      </c>
      <c r="T245" s="168">
        <f t="shared" si="70"/>
        <v>0</v>
      </c>
      <c r="U245" s="188">
        <f>ROUND(((I245)*($B245+$C245+$D245+$E245))/(Universe!$C$6),2)</f>
        <v>0</v>
      </c>
      <c r="V245" s="188" t="e">
        <f>ROUND(((J245)*($B245+$C245+$D245+$E245))/(Universe!$C$2),2)</f>
        <v>#DIV/0!</v>
      </c>
      <c r="W245" s="167">
        <v>1</v>
      </c>
      <c r="X245" s="408">
        <f t="shared" si="71"/>
        <v>0</v>
      </c>
      <c r="Y245" s="408">
        <f t="shared" si="72"/>
        <v>0</v>
      </c>
      <c r="Z245" s="408" t="e">
        <f t="shared" si="73"/>
        <v>#DIV/0!</v>
      </c>
      <c r="AA245" s="408">
        <f t="shared" si="74"/>
        <v>0</v>
      </c>
    </row>
    <row r="246" spans="1:27" ht="10.8" thickBot="1" x14ac:dyDescent="0.25">
      <c r="A246" s="200" t="s">
        <v>596</v>
      </c>
      <c r="B246" s="201" t="s">
        <v>597</v>
      </c>
      <c r="C246" s="201" t="s">
        <v>597</v>
      </c>
      <c r="D246" s="201" t="s">
        <v>597</v>
      </c>
      <c r="E246" s="201" t="s">
        <v>597</v>
      </c>
      <c r="F246" s="201" t="s">
        <v>597</v>
      </c>
      <c r="G246" s="201" t="s">
        <v>597</v>
      </c>
      <c r="H246" s="201" t="s">
        <v>597</v>
      </c>
      <c r="I246" s="202" t="s">
        <v>597</v>
      </c>
      <c r="J246" s="202" t="s">
        <v>597</v>
      </c>
      <c r="K246" s="203">
        <f>SUM(K238:K245)</f>
        <v>72</v>
      </c>
      <c r="L246" s="204">
        <f>SUM(L238:L245)</f>
        <v>3223.44</v>
      </c>
      <c r="M246" s="555"/>
      <c r="N246" s="169" t="s">
        <v>597</v>
      </c>
      <c r="O246" s="174"/>
      <c r="P246" s="171"/>
      <c r="Q246" s="171"/>
      <c r="R246" s="203">
        <f>SUM(R238:R245)</f>
        <v>3144.2400000000002</v>
      </c>
      <c r="S246" s="203">
        <f>SUM(S238:S245)</f>
        <v>0</v>
      </c>
      <c r="T246" s="203">
        <f>SUM(T238:T245)</f>
        <v>79.2</v>
      </c>
      <c r="U246" s="188"/>
      <c r="V246" s="166"/>
      <c r="X246" s="203">
        <f>SUM(X238:X245)</f>
        <v>2</v>
      </c>
      <c r="Y246" s="203">
        <f>SUM(Y238:Y245)</f>
        <v>0</v>
      </c>
      <c r="Z246" s="203" t="e">
        <f>SUM(Z238:Z245)</f>
        <v>#DIV/0!</v>
      </c>
      <c r="AA246" s="203">
        <f>SUM(AA238:AA245)</f>
        <v>0</v>
      </c>
    </row>
    <row r="247" spans="1:27" x14ac:dyDescent="0.2">
      <c r="A247" s="194" t="s">
        <v>332</v>
      </c>
      <c r="B247" s="195"/>
      <c r="C247" s="197"/>
      <c r="D247" s="197"/>
      <c r="E247" s="197"/>
      <c r="F247" s="213"/>
      <c r="G247" s="213"/>
      <c r="H247" s="213"/>
      <c r="I247" s="205"/>
      <c r="J247" s="205"/>
      <c r="K247" s="214"/>
      <c r="L247" s="215"/>
      <c r="M247" s="556"/>
      <c r="N247" s="172"/>
      <c r="O247" s="174"/>
      <c r="U247" s="188"/>
      <c r="V247" s="166"/>
    </row>
    <row r="248" spans="1:27" x14ac:dyDescent="0.2">
      <c r="A248" s="374" t="s">
        <v>610</v>
      </c>
      <c r="B248" s="375">
        <v>0</v>
      </c>
      <c r="C248" s="376">
        <v>0</v>
      </c>
      <c r="D248" s="376">
        <v>0.5</v>
      </c>
      <c r="E248" s="376">
        <v>0</v>
      </c>
      <c r="F248" s="377">
        <f>ROUND(Costs!$B$3*B248+Costs!$B$4*C248+Costs!$B$5*D248+Costs!$B$6*E248,2)</f>
        <v>36.31</v>
      </c>
      <c r="G248" s="377" t="str">
        <f>Costs!$B$62</f>
        <v xml:space="preserve"> </v>
      </c>
      <c r="H248" s="377">
        <f>Costs!$B$16</f>
        <v>0</v>
      </c>
      <c r="I248" s="378">
        <f>Universe!C32</f>
        <v>0</v>
      </c>
      <c r="J248" s="378">
        <f>Universe!C32</f>
        <v>0</v>
      </c>
      <c r="K248" s="382">
        <f>ROUND((B248+C248+D248+E248)*(I248+J248),2)</f>
        <v>0</v>
      </c>
      <c r="L248" s="377">
        <f>(I248+J248)*SUM(F248:H248)</f>
        <v>0</v>
      </c>
      <c r="M248" s="165"/>
      <c r="N248" s="165">
        <f>IF(I248=0,0,L248/(N248+I248))</f>
        <v>0</v>
      </c>
      <c r="O248" s="174">
        <v>0</v>
      </c>
      <c r="P248" s="167">
        <v>0</v>
      </c>
      <c r="Q248" s="167"/>
      <c r="R248" s="168">
        <f>F248*(I248+J248)</f>
        <v>0</v>
      </c>
      <c r="S248" s="168">
        <f>G248*(I248+J248)</f>
        <v>0</v>
      </c>
      <c r="T248" s="168">
        <f>H248*(I248+J248)</f>
        <v>0</v>
      </c>
      <c r="U248" s="188">
        <f>ROUND(((I248)*($B248+$C248+$D248+$E248))/(Universe!$C$6),2)</f>
        <v>0</v>
      </c>
      <c r="V248" s="188" t="e">
        <f>ROUND(((J248)*($B248+$C248+$D248+$E248))/(Universe!$C$2),2)</f>
        <v>#DIV/0!</v>
      </c>
      <c r="W248" s="167">
        <v>1</v>
      </c>
      <c r="X248" s="408">
        <f>IF(W248=1,U248,0)</f>
        <v>0</v>
      </c>
      <c r="Y248" s="408">
        <f>IF(W248=2,U248,0)</f>
        <v>0</v>
      </c>
      <c r="Z248" s="408" t="e">
        <f>IF(W248=1,V248,0)</f>
        <v>#DIV/0!</v>
      </c>
      <c r="AA248" s="408">
        <f>IF(W248=2,V248,0)</f>
        <v>0</v>
      </c>
    </row>
    <row r="249" spans="1:27" ht="20.399999999999999" x14ac:dyDescent="0.2">
      <c r="A249" s="224" t="s">
        <v>333</v>
      </c>
      <c r="B249" s="225">
        <v>0</v>
      </c>
      <c r="C249" s="380">
        <v>0</v>
      </c>
      <c r="D249" s="380">
        <v>0</v>
      </c>
      <c r="E249" s="380">
        <v>1</v>
      </c>
      <c r="F249" s="226">
        <f>ROUND(Costs!$B$3*B249+Costs!$B$4*C249+Costs!$B$5*D249+Costs!$B$6*E249,2)</f>
        <v>43.67</v>
      </c>
      <c r="G249" s="377" t="str">
        <f>Costs!$B$62</f>
        <v xml:space="preserve"> </v>
      </c>
      <c r="H249" s="226">
        <f>Costs!$B$19</f>
        <v>4.4000000000000004</v>
      </c>
      <c r="I249" s="381">
        <f>Universe!C32</f>
        <v>0</v>
      </c>
      <c r="J249" s="381">
        <f>Universe!C32</f>
        <v>0</v>
      </c>
      <c r="K249" s="227">
        <f>ROUND((B249+C249+D249+E249)*(I249+J249),2)</f>
        <v>0</v>
      </c>
      <c r="L249" s="226">
        <f>(I249+J249)*SUM(F249:H249)</f>
        <v>0</v>
      </c>
      <c r="M249" s="165"/>
      <c r="N249" s="165" t="e">
        <f>L249/(I249+J249)</f>
        <v>#DIV/0!</v>
      </c>
      <c r="O249" s="167">
        <v>0</v>
      </c>
      <c r="P249" s="167">
        <v>0.02</v>
      </c>
      <c r="Q249" s="167"/>
      <c r="R249" s="168">
        <f>F249*(I249+J249)</f>
        <v>0</v>
      </c>
      <c r="S249" s="168">
        <f>G249*(I249+J249)</f>
        <v>0</v>
      </c>
      <c r="T249" s="168">
        <f>H249*(I249+J249)</f>
        <v>0</v>
      </c>
      <c r="U249" s="188">
        <f>ROUND(((I249)*($B249+$C249+$D249+$E249))/(Universe!$C$6),2)</f>
        <v>0</v>
      </c>
      <c r="V249" s="188" t="e">
        <f>ROUND(((J249)*($B249+$C249+$D249+$E249))/(Universe!$C$2),2)</f>
        <v>#DIV/0!</v>
      </c>
      <c r="W249" s="167">
        <v>1</v>
      </c>
      <c r="X249" s="408">
        <f>IF(W249=1,U249,0)</f>
        <v>0</v>
      </c>
      <c r="Y249" s="408">
        <f>IF(W249=2,U249,0)</f>
        <v>0</v>
      </c>
      <c r="Z249" s="408" t="e">
        <f>IF(W249=1,V249,0)</f>
        <v>#DIV/0!</v>
      </c>
      <c r="AA249" s="408">
        <f>IF(W249=2,V249,0)</f>
        <v>0</v>
      </c>
    </row>
    <row r="250" spans="1:27" ht="21" thickBot="1" x14ac:dyDescent="0.25">
      <c r="A250" s="224" t="s">
        <v>334</v>
      </c>
      <c r="B250" s="225">
        <v>0</v>
      </c>
      <c r="C250" s="380">
        <v>0</v>
      </c>
      <c r="D250" s="380">
        <v>0</v>
      </c>
      <c r="E250" s="380">
        <f>15/60</f>
        <v>0.25</v>
      </c>
      <c r="F250" s="226">
        <f>ROUND(Costs!$B$3*B250+Costs!$B$4*C250+Costs!$B$5*D250+Costs!$B$6*E250,2)</f>
        <v>10.92</v>
      </c>
      <c r="G250" s="377" t="str">
        <f>Costs!$B$62</f>
        <v xml:space="preserve"> </v>
      </c>
      <c r="H250" s="226">
        <f>Costs!$B$19</f>
        <v>4.4000000000000004</v>
      </c>
      <c r="I250" s="381">
        <f>Universe!C32</f>
        <v>0</v>
      </c>
      <c r="J250" s="381">
        <f>Universe!C32</f>
        <v>0</v>
      </c>
      <c r="K250" s="227">
        <f>ROUND((B250+C250+D250+E250)*(I250+J250),2)</f>
        <v>0</v>
      </c>
      <c r="L250" s="226">
        <f>(I250+J250)*SUM(F250:H250)</f>
        <v>0</v>
      </c>
      <c r="M250" s="165"/>
      <c r="N250" s="165" t="e">
        <f>L250/(I250+J250)</f>
        <v>#DIV/0!</v>
      </c>
      <c r="O250" s="167">
        <v>0</v>
      </c>
      <c r="P250" s="167">
        <v>0.02</v>
      </c>
      <c r="Q250" s="167"/>
      <c r="R250" s="168">
        <f>F250*(I250+J250)</f>
        <v>0</v>
      </c>
      <c r="S250" s="168">
        <f>G250*(I250+J250)</f>
        <v>0</v>
      </c>
      <c r="T250" s="168">
        <f>H250*(I250+J250)</f>
        <v>0</v>
      </c>
      <c r="U250" s="188">
        <f>ROUND(((I250)*($B250+$C250+$D250+$E250))/(Universe!$C$6),2)</f>
        <v>0</v>
      </c>
      <c r="V250" s="188" t="e">
        <f>ROUND(((J250)*($B250+$C250+$D250+$E250))/(Universe!$C$2),2)</f>
        <v>#DIV/0!</v>
      </c>
      <c r="W250" s="167">
        <v>1</v>
      </c>
      <c r="X250" s="408">
        <f>IF(W250=1,U250,0)</f>
        <v>0</v>
      </c>
      <c r="Y250" s="408">
        <f>IF(W250=2,U250,0)</f>
        <v>0</v>
      </c>
      <c r="Z250" s="408" t="e">
        <f>IF(W250=1,V250,0)</f>
        <v>#DIV/0!</v>
      </c>
      <c r="AA250" s="408">
        <f>IF(W250=2,V250,0)</f>
        <v>0</v>
      </c>
    </row>
    <row r="251" spans="1:27" ht="10.8" thickBot="1" x14ac:dyDescent="0.25">
      <c r="A251" s="502" t="s">
        <v>596</v>
      </c>
      <c r="B251" s="503" t="s">
        <v>597</v>
      </c>
      <c r="C251" s="503" t="s">
        <v>597</v>
      </c>
      <c r="D251" s="503" t="s">
        <v>597</v>
      </c>
      <c r="E251" s="503" t="s">
        <v>597</v>
      </c>
      <c r="F251" s="503" t="s">
        <v>597</v>
      </c>
      <c r="G251" s="503" t="s">
        <v>597</v>
      </c>
      <c r="H251" s="503" t="s">
        <v>597</v>
      </c>
      <c r="I251" s="504" t="s">
        <v>597</v>
      </c>
      <c r="J251" s="504" t="s">
        <v>597</v>
      </c>
      <c r="K251" s="505">
        <f>SUM(K248:K250)</f>
        <v>0</v>
      </c>
      <c r="L251" s="506">
        <f>SUM(L248:L250)</f>
        <v>0</v>
      </c>
      <c r="M251" s="165"/>
      <c r="N251" s="169" t="s">
        <v>597</v>
      </c>
      <c r="O251" s="174"/>
      <c r="P251" s="171"/>
      <c r="Q251" s="171"/>
      <c r="R251" s="505">
        <f>SUM(R248:R250)</f>
        <v>0</v>
      </c>
      <c r="S251" s="505">
        <f>SUM(S248:S250)</f>
        <v>0</v>
      </c>
      <c r="T251" s="505">
        <f>SUM(T248:T250)</f>
        <v>0</v>
      </c>
      <c r="U251" s="188"/>
      <c r="V251" s="166"/>
      <c r="X251" s="505">
        <f>SUM(X248:X250)</f>
        <v>0</v>
      </c>
      <c r="Y251" s="505">
        <f>SUM(Y248:Y250)</f>
        <v>0</v>
      </c>
      <c r="Z251" s="505" t="e">
        <f>SUM(Z248:Z250)</f>
        <v>#DIV/0!</v>
      </c>
      <c r="AA251" s="505">
        <f>SUM(AA248:AA250)</f>
        <v>0</v>
      </c>
    </row>
    <row r="252" spans="1:27" x14ac:dyDescent="0.2">
      <c r="A252" s="194" t="s">
        <v>666</v>
      </c>
      <c r="B252" s="195"/>
      <c r="C252" s="197"/>
      <c r="D252" s="197"/>
      <c r="E252" s="197"/>
      <c r="F252" s="213"/>
      <c r="G252" s="213"/>
      <c r="H252" s="213"/>
      <c r="I252" s="205"/>
      <c r="J252" s="205"/>
      <c r="K252" s="214"/>
      <c r="L252" s="215"/>
      <c r="M252" s="556"/>
      <c r="N252" s="172"/>
      <c r="O252" s="174"/>
      <c r="U252" s="188"/>
      <c r="V252" s="166"/>
    </row>
    <row r="253" spans="1:27" ht="20.399999999999999" x14ac:dyDescent="0.2">
      <c r="A253" s="146" t="s">
        <v>328</v>
      </c>
      <c r="B253" s="85">
        <v>2.5</v>
      </c>
      <c r="C253" s="89">
        <v>1</v>
      </c>
      <c r="D253" s="89">
        <v>0</v>
      </c>
      <c r="E253" s="89">
        <v>0.5</v>
      </c>
      <c r="F253" s="32">
        <f>ROUND(Costs!$B$3*B253+Costs!$B$4*C253+Costs!$B$5*D253+Costs!$B$6*E253,2)</f>
        <v>531.54</v>
      </c>
      <c r="G253" s="32" t="str">
        <f>Costs!$B$62</f>
        <v xml:space="preserve"> </v>
      </c>
      <c r="H253" s="32">
        <f>Costs!$B$19</f>
        <v>4.4000000000000004</v>
      </c>
      <c r="I253" s="86">
        <f>ROUND((O253*(Universe!C$6)),0)</f>
        <v>0</v>
      </c>
      <c r="J253" s="86">
        <f>ROUND((P253*Universe!C$2),0)</f>
        <v>0</v>
      </c>
      <c r="K253" s="87">
        <f>ROUND((B253+C253+D253+E253)*(I253+J253),2)</f>
        <v>0</v>
      </c>
      <c r="L253" s="32">
        <f>(I253+J253)*SUM(F253:H253)</f>
        <v>0</v>
      </c>
      <c r="M253" s="555"/>
      <c r="N253" s="165">
        <f>IF(I253=0,0,L253/(N253+I253))</f>
        <v>0</v>
      </c>
      <c r="O253" s="174">
        <v>0</v>
      </c>
      <c r="P253" s="167">
        <v>0</v>
      </c>
      <c r="Q253" s="167"/>
      <c r="R253" s="168">
        <f>F253*(I253+J253)</f>
        <v>0</v>
      </c>
      <c r="S253" s="168">
        <f>G253*(I253+J253)</f>
        <v>0</v>
      </c>
      <c r="T253" s="168">
        <f>H253*(I253+J253)</f>
        <v>0</v>
      </c>
      <c r="U253" s="188">
        <f>ROUND(((I253)*($B253+$C253+$D253+$E253))/(Universe!$C$6),2)</f>
        <v>0</v>
      </c>
      <c r="V253" s="188" t="e">
        <f>ROUND(((J253)*($B253+$C253+$D253+$E253))/(Universe!$C$2),2)</f>
        <v>#DIV/0!</v>
      </c>
      <c r="W253" s="167">
        <v>1</v>
      </c>
      <c r="X253" s="408">
        <f>IF(W253=1,U253,0)</f>
        <v>0</v>
      </c>
      <c r="Y253" s="408">
        <f>IF(W253=2,U253,0)</f>
        <v>0</v>
      </c>
      <c r="Z253" s="408" t="e">
        <f>IF(W253=1,V253,0)</f>
        <v>#DIV/0!</v>
      </c>
      <c r="AA253" s="408">
        <f>IF(W253=2,V253,0)</f>
        <v>0</v>
      </c>
    </row>
    <row r="254" spans="1:27" ht="31.2" thickBot="1" x14ac:dyDescent="0.25">
      <c r="A254" s="189" t="s">
        <v>329</v>
      </c>
      <c r="B254" s="190">
        <v>2</v>
      </c>
      <c r="C254" s="207">
        <v>1</v>
      </c>
      <c r="D254" s="207">
        <v>0.5</v>
      </c>
      <c r="E254" s="207">
        <v>0.5</v>
      </c>
      <c r="F254" s="191">
        <f>ROUND(Costs!$B$3*B254+Costs!$B$4*C254+Costs!$B$5*D254+Costs!$B$6*E254,2)</f>
        <v>485.39</v>
      </c>
      <c r="G254" s="191" t="str">
        <f>Costs!$B$62</f>
        <v xml:space="preserve"> </v>
      </c>
      <c r="H254" s="191">
        <f>Costs!$B$19</f>
        <v>4.4000000000000004</v>
      </c>
      <c r="I254" s="192">
        <f>ROUND((O254*(Universe!C$6)),0)</f>
        <v>1</v>
      </c>
      <c r="J254" s="192">
        <f>ROUND((P254*Universe!C$2),0)</f>
        <v>0</v>
      </c>
      <c r="K254" s="193">
        <f>ROUND((B254+C254+D254+E254)*(I254+J254),2)</f>
        <v>4</v>
      </c>
      <c r="L254" s="191">
        <f>(I254+J254)*SUM(F254:H254)</f>
        <v>489.78999999999996</v>
      </c>
      <c r="M254" s="555"/>
      <c r="N254" s="165">
        <f>L254/(I254+J254)</f>
        <v>489.78999999999996</v>
      </c>
      <c r="O254" s="167">
        <v>0.02</v>
      </c>
      <c r="P254" s="167">
        <v>0.02</v>
      </c>
      <c r="Q254" s="167"/>
      <c r="R254" s="168">
        <f>F254*(I254+J254)</f>
        <v>485.39</v>
      </c>
      <c r="S254" s="168">
        <f>G254*(I254+J254)</f>
        <v>0</v>
      </c>
      <c r="T254" s="168">
        <f>H254*(I254+J254)</f>
        <v>4.4000000000000004</v>
      </c>
      <c r="U254" s="188">
        <f>ROUND(((I254)*($B254+$C254+$D254+$E254))/(Universe!$C$6),2)</f>
        <v>0.11</v>
      </c>
      <c r="V254" s="188" t="e">
        <f>ROUND(((J254)*($B254+$C254+$D254+$E254))/(Universe!$C$2),2)</f>
        <v>#DIV/0!</v>
      </c>
      <c r="W254" s="167">
        <v>1</v>
      </c>
      <c r="X254" s="408">
        <f>IF(W254=1,U254,0)</f>
        <v>0.11</v>
      </c>
      <c r="Y254" s="408">
        <f>IF(W254=2,U254,0)</f>
        <v>0</v>
      </c>
      <c r="Z254" s="408" t="e">
        <f>IF(W254=1,V254,0)</f>
        <v>#DIV/0!</v>
      </c>
      <c r="AA254" s="408">
        <f>IF(W254=2,V254,0)</f>
        <v>0</v>
      </c>
    </row>
    <row r="255" spans="1:27" ht="10.8" thickBot="1" x14ac:dyDescent="0.25">
      <c r="A255" s="200" t="s">
        <v>596</v>
      </c>
      <c r="B255" s="201" t="s">
        <v>597</v>
      </c>
      <c r="C255" s="201" t="s">
        <v>597</v>
      </c>
      <c r="D255" s="201" t="s">
        <v>597</v>
      </c>
      <c r="E255" s="201" t="s">
        <v>597</v>
      </c>
      <c r="F255" s="201" t="s">
        <v>597</v>
      </c>
      <c r="G255" s="201" t="s">
        <v>597</v>
      </c>
      <c r="H255" s="201" t="s">
        <v>597</v>
      </c>
      <c r="I255" s="202" t="s">
        <v>597</v>
      </c>
      <c r="J255" s="202" t="s">
        <v>597</v>
      </c>
      <c r="K255" s="203">
        <f>SUM(K253:K254)</f>
        <v>4</v>
      </c>
      <c r="L255" s="204">
        <f>SUM(L253:L254)</f>
        <v>489.78999999999996</v>
      </c>
      <c r="M255" s="555"/>
      <c r="N255" s="169" t="s">
        <v>597</v>
      </c>
      <c r="O255" s="174"/>
      <c r="P255" s="171"/>
      <c r="Q255" s="171"/>
      <c r="R255" s="203">
        <f>SUM(R253:R254)</f>
        <v>485.39</v>
      </c>
      <c r="S255" s="203">
        <f>SUM(S253:S254)</f>
        <v>0</v>
      </c>
      <c r="T255" s="203">
        <f>SUM(T253:T254)</f>
        <v>4.4000000000000004</v>
      </c>
      <c r="U255" s="188"/>
      <c r="V255" s="166"/>
      <c r="X255" s="203">
        <f>SUM(X253:X254)</f>
        <v>0.11</v>
      </c>
      <c r="Y255" s="203">
        <f>SUM(Y253:Y254)</f>
        <v>0</v>
      </c>
      <c r="Z255" s="203" t="e">
        <f>SUM(Z253:Z254)</f>
        <v>#DIV/0!</v>
      </c>
      <c r="AA255" s="203">
        <f>SUM(AA253:AA254)</f>
        <v>0</v>
      </c>
    </row>
    <row r="256" spans="1:27" x14ac:dyDescent="0.2">
      <c r="A256" s="194" t="s">
        <v>343</v>
      </c>
      <c r="B256" s="195"/>
      <c r="C256" s="197"/>
      <c r="D256" s="197"/>
      <c r="E256" s="197"/>
      <c r="F256" s="213"/>
      <c r="G256" s="213"/>
      <c r="H256" s="213"/>
      <c r="I256" s="205"/>
      <c r="J256" s="205"/>
      <c r="K256" s="214"/>
      <c r="L256" s="215"/>
      <c r="M256" s="556"/>
      <c r="N256" s="172"/>
      <c r="O256" s="174"/>
      <c r="U256" s="188"/>
      <c r="V256" s="166"/>
    </row>
    <row r="257" spans="1:27" ht="20.399999999999999" x14ac:dyDescent="0.2">
      <c r="A257" s="374" t="s">
        <v>307</v>
      </c>
      <c r="B257" s="375">
        <v>0</v>
      </c>
      <c r="C257" s="376">
        <v>2</v>
      </c>
      <c r="D257" s="376">
        <v>4</v>
      </c>
      <c r="E257" s="376">
        <v>2</v>
      </c>
      <c r="F257" s="377">
        <f>ROUND(Costs!$B$3*B257+Costs!$B$4*C257+Costs!$B$5*D257+Costs!$B$6*E257,2)</f>
        <v>572.67999999999995</v>
      </c>
      <c r="G257" s="377" t="str">
        <f>Costs!$B$62</f>
        <v xml:space="preserve"> </v>
      </c>
      <c r="H257" s="377">
        <f>Costs!$B$19</f>
        <v>4.4000000000000004</v>
      </c>
      <c r="I257" s="378">
        <f>ROUND((O257*(Universe!C$6)),0)</f>
        <v>0</v>
      </c>
      <c r="J257" s="378">
        <f>ROUND((P257*Universe!C$2),0)</f>
        <v>0</v>
      </c>
      <c r="K257" s="193">
        <f>ROUND((B257+C257+D257+E257)*(I257+J257),2)</f>
        <v>0</v>
      </c>
      <c r="L257" s="191">
        <f>(I257+J257)*SUM(F257:H257)</f>
        <v>0</v>
      </c>
      <c r="M257" s="555"/>
      <c r="N257" s="165">
        <v>0</v>
      </c>
      <c r="O257" s="167">
        <v>0</v>
      </c>
      <c r="P257" s="167">
        <v>0</v>
      </c>
      <c r="Q257" s="167"/>
      <c r="R257" s="168">
        <f>F257*(I257+J257)</f>
        <v>0</v>
      </c>
      <c r="S257" s="168">
        <f>G257*(I257+J257)</f>
        <v>0</v>
      </c>
      <c r="T257" s="168">
        <f>H257*(I257+J257)</f>
        <v>0</v>
      </c>
      <c r="U257" s="188">
        <f>ROUND(((I257)*($B257+$C257+$D257+$E257))/(Universe!$C$6),2)</f>
        <v>0</v>
      </c>
      <c r="V257" s="188" t="e">
        <f>ROUND(((J257)*($B257+$C257+$D257+$E257))/(Universe!$C$2),2)</f>
        <v>#DIV/0!</v>
      </c>
      <c r="W257" s="167">
        <v>1</v>
      </c>
      <c r="X257" s="408">
        <f>IF(W257=1,U257,0)</f>
        <v>0</v>
      </c>
      <c r="Y257" s="408">
        <f>IF(W257=2,U257,0)</f>
        <v>0</v>
      </c>
      <c r="Z257" s="408" t="e">
        <f>IF(W257=1,V257,0)</f>
        <v>#DIV/0!</v>
      </c>
      <c r="AA257" s="408">
        <f>IF(W257=2,V257,0)</f>
        <v>0</v>
      </c>
    </row>
    <row r="258" spans="1:27" ht="20.399999999999999" x14ac:dyDescent="0.2">
      <c r="A258" s="189" t="s">
        <v>344</v>
      </c>
      <c r="B258" s="190">
        <v>4</v>
      </c>
      <c r="C258" s="207">
        <v>1</v>
      </c>
      <c r="D258" s="207">
        <v>2</v>
      </c>
      <c r="E258" s="207">
        <v>1</v>
      </c>
      <c r="F258" s="191">
        <f>ROUND(Costs!$B$3*B258+Costs!$B$4*C258+Costs!$B$5*D258+Costs!$B$6*E258,2)</f>
        <v>945.94</v>
      </c>
      <c r="G258" s="191" t="str">
        <f>Costs!$B$62</f>
        <v xml:space="preserve"> </v>
      </c>
      <c r="H258" s="191">
        <f>Costs!$B$19</f>
        <v>4.4000000000000004</v>
      </c>
      <c r="I258" s="192">
        <f>ROUND((O258*(Universe!C$6)),0)</f>
        <v>0</v>
      </c>
      <c r="J258" s="192">
        <f>ROUND((P258*Universe!C$2),0)</f>
        <v>0</v>
      </c>
      <c r="K258" s="193">
        <f>ROUND((B258+C258+D258+E258)*(I258+J258),2)</f>
        <v>0</v>
      </c>
      <c r="L258" s="191">
        <f>(I258+J258)*SUM(F258:H258)</f>
        <v>0</v>
      </c>
      <c r="M258" s="555"/>
      <c r="N258" s="165">
        <v>0</v>
      </c>
      <c r="O258" s="174">
        <v>0</v>
      </c>
      <c r="P258" s="167">
        <v>0</v>
      </c>
      <c r="Q258" s="167"/>
      <c r="R258" s="168">
        <f>F258*(I258+J258)</f>
        <v>0</v>
      </c>
      <c r="S258" s="168">
        <f>G258*(I258+J258)</f>
        <v>0</v>
      </c>
      <c r="T258" s="168">
        <f>H258*(I258+J258)</f>
        <v>0</v>
      </c>
      <c r="U258" s="188">
        <f>ROUND(((I258)*($B258+$C258+$D258+$E258))/(Universe!$C$6),2)</f>
        <v>0</v>
      </c>
      <c r="V258" s="188" t="e">
        <f>ROUND(((J258)*($B258+$C258+$D258+$E258))/(Universe!$C$2),2)</f>
        <v>#DIV/0!</v>
      </c>
      <c r="W258" s="167">
        <v>1</v>
      </c>
      <c r="X258" s="408">
        <f>IF(W258=1,U258,0)</f>
        <v>0</v>
      </c>
      <c r="Y258" s="408">
        <f>IF(W258=2,U258,0)</f>
        <v>0</v>
      </c>
      <c r="Z258" s="408" t="e">
        <f>IF(W258=1,V258,0)</f>
        <v>#DIV/0!</v>
      </c>
      <c r="AA258" s="408">
        <f>IF(W258=2,V258,0)</f>
        <v>0</v>
      </c>
    </row>
    <row r="259" spans="1:27" ht="20.399999999999999" x14ac:dyDescent="0.2">
      <c r="A259" s="224" t="s">
        <v>335</v>
      </c>
      <c r="B259" s="225">
        <v>0.5</v>
      </c>
      <c r="C259" s="380">
        <v>0.25</v>
      </c>
      <c r="D259" s="380">
        <v>0.5</v>
      </c>
      <c r="E259" s="380">
        <v>0.25</v>
      </c>
      <c r="F259" s="226">
        <f>ROUND(Costs!$B$3*B259+Costs!$B$4*C259+Costs!$B$5*D259+Costs!$B$6*E259,2)</f>
        <v>154.04</v>
      </c>
      <c r="G259" s="226" t="str">
        <f>Costs!$B$62</f>
        <v xml:space="preserve"> </v>
      </c>
      <c r="H259" s="226">
        <f>Costs!$B$19</f>
        <v>4.4000000000000004</v>
      </c>
      <c r="I259" s="381">
        <f>ROUND((O259*(Universe!C$6)),0)</f>
        <v>0</v>
      </c>
      <c r="J259" s="381">
        <f>ROUND((P259*Universe!C$2),0)</f>
        <v>0</v>
      </c>
      <c r="K259" s="227">
        <f>ROUND((B259+C259+D259+E259)*(I259+J259),2)</f>
        <v>0</v>
      </c>
      <c r="L259" s="226">
        <f>(I259+J259)*SUM(F259:H259)</f>
        <v>0</v>
      </c>
      <c r="M259" s="165"/>
      <c r="N259" s="165">
        <v>0</v>
      </c>
      <c r="O259" s="174">
        <v>0</v>
      </c>
      <c r="P259" s="167">
        <v>0</v>
      </c>
      <c r="Q259" s="167"/>
      <c r="R259" s="168">
        <f>F259*(I259+J259)</f>
        <v>0</v>
      </c>
      <c r="S259" s="168">
        <f>G259*(I259+J259)</f>
        <v>0</v>
      </c>
      <c r="T259" s="168">
        <f>H259*(I259+J259)</f>
        <v>0</v>
      </c>
      <c r="U259" s="188">
        <f>ROUND(((I259)*($B259+$C259+$D259+$E259))/(Universe!$C$6),2)</f>
        <v>0</v>
      </c>
      <c r="V259" s="188" t="e">
        <f>ROUND(((J259)*($B259+$C259+$D259+$E259))/(Universe!$C$2),2)</f>
        <v>#DIV/0!</v>
      </c>
      <c r="W259" s="167">
        <v>1</v>
      </c>
      <c r="X259" s="408">
        <f>IF(W259=1,U259,0)</f>
        <v>0</v>
      </c>
      <c r="Y259" s="408">
        <f>IF(W259=2,U259,0)</f>
        <v>0</v>
      </c>
      <c r="Z259" s="408" t="e">
        <f>IF(W259=1,V259,0)</f>
        <v>#DIV/0!</v>
      </c>
      <c r="AA259" s="408">
        <f>IF(W259=2,V259,0)</f>
        <v>0</v>
      </c>
    </row>
    <row r="260" spans="1:27" ht="21" thickBot="1" x14ac:dyDescent="0.25">
      <c r="A260" s="224" t="s">
        <v>336</v>
      </c>
      <c r="B260" s="225">
        <v>0</v>
      </c>
      <c r="C260" s="380">
        <v>0.25</v>
      </c>
      <c r="D260" s="380">
        <v>0.5</v>
      </c>
      <c r="E260" s="380">
        <v>0.25</v>
      </c>
      <c r="F260" s="226">
        <f>ROUND(Costs!$B$3*B260+Costs!$B$4*C260+Costs!$B$5*D260+Costs!$B$6*E260,2)</f>
        <v>71.59</v>
      </c>
      <c r="G260" s="226" t="str">
        <f>Costs!$B$62</f>
        <v xml:space="preserve"> </v>
      </c>
      <c r="H260" s="226">
        <f>Costs!$B$19</f>
        <v>4.4000000000000004</v>
      </c>
      <c r="I260" s="381">
        <f>ROUND((O260*(Universe!C$6)),0)</f>
        <v>0</v>
      </c>
      <c r="J260" s="381">
        <f>ROUND((P260*Universe!C$2),0)</f>
        <v>0</v>
      </c>
      <c r="K260" s="227">
        <f>ROUND((B260+C260+D260+E260)*(I260+J260),2)</f>
        <v>0</v>
      </c>
      <c r="L260" s="226">
        <f>(I260+J260)*SUM(F260:H260)</f>
        <v>0</v>
      </c>
      <c r="M260" s="165"/>
      <c r="N260" s="165">
        <v>0</v>
      </c>
      <c r="O260" s="174">
        <v>0</v>
      </c>
      <c r="P260" s="167">
        <v>0</v>
      </c>
      <c r="Q260" s="167"/>
      <c r="R260" s="168">
        <f>F260*(I260+J260)</f>
        <v>0</v>
      </c>
      <c r="S260" s="168">
        <f>G260*(I260+J260)</f>
        <v>0</v>
      </c>
      <c r="T260" s="168">
        <f>H260*(I260+J260)</f>
        <v>0</v>
      </c>
      <c r="U260" s="188">
        <f>ROUND(((I260)*($B260+$C260+$D260+$E260))/(Universe!$C$6),2)</f>
        <v>0</v>
      </c>
      <c r="V260" s="188" t="e">
        <f>ROUND(((J260)*($B260+$C260+$D260+$E260))/(Universe!$C$2),2)</f>
        <v>#DIV/0!</v>
      </c>
      <c r="W260" s="167">
        <v>1</v>
      </c>
      <c r="X260" s="408">
        <f>IF(W260=1,U260,0)</f>
        <v>0</v>
      </c>
      <c r="Y260" s="408">
        <f>IF(W260=2,U260,0)</f>
        <v>0</v>
      </c>
      <c r="Z260" s="408" t="e">
        <f>IF(W260=1,V260,0)</f>
        <v>#DIV/0!</v>
      </c>
      <c r="AA260" s="408">
        <f>IF(W260=2,V260,0)</f>
        <v>0</v>
      </c>
    </row>
    <row r="261" spans="1:27" ht="10.8" thickBot="1" x14ac:dyDescent="0.25">
      <c r="A261" s="200" t="s">
        <v>596</v>
      </c>
      <c r="B261" s="201" t="s">
        <v>597</v>
      </c>
      <c r="C261" s="201" t="s">
        <v>597</v>
      </c>
      <c r="D261" s="201" t="s">
        <v>597</v>
      </c>
      <c r="E261" s="201" t="s">
        <v>597</v>
      </c>
      <c r="F261" s="201" t="s">
        <v>597</v>
      </c>
      <c r="G261" s="201" t="s">
        <v>597</v>
      </c>
      <c r="H261" s="201" t="s">
        <v>597</v>
      </c>
      <c r="I261" s="202" t="s">
        <v>597</v>
      </c>
      <c r="J261" s="202" t="s">
        <v>597</v>
      </c>
      <c r="K261" s="203">
        <f>SUM(K257:K260)</f>
        <v>0</v>
      </c>
      <c r="L261" s="204">
        <f>SUM(L257:L260)</f>
        <v>0</v>
      </c>
      <c r="M261" s="555"/>
      <c r="N261" s="169" t="s">
        <v>597</v>
      </c>
      <c r="O261" s="174"/>
      <c r="P261" s="171"/>
      <c r="Q261" s="171"/>
      <c r="R261" s="203">
        <f>SUM(R257:R260)</f>
        <v>0</v>
      </c>
      <c r="S261" s="203">
        <f>SUM(S257:S260)</f>
        <v>0</v>
      </c>
      <c r="T261" s="203">
        <f>SUM(T257:T260)</f>
        <v>0</v>
      </c>
      <c r="U261" s="188"/>
      <c r="V261" s="166"/>
      <c r="X261" s="203">
        <f>SUM(X257:X260)</f>
        <v>0</v>
      </c>
      <c r="Y261" s="203">
        <f>SUM(Y257:Y260)</f>
        <v>0</v>
      </c>
      <c r="Z261" s="203" t="e">
        <f>SUM(Z257:Z260)</f>
        <v>#DIV/0!</v>
      </c>
      <c r="AA261" s="203">
        <f>SUM(AA257:AA260)</f>
        <v>0</v>
      </c>
    </row>
    <row r="262" spans="1:27" x14ac:dyDescent="0.2">
      <c r="A262" s="194" t="s">
        <v>667</v>
      </c>
      <c r="B262" s="197"/>
      <c r="C262" s="197"/>
      <c r="D262" s="197"/>
      <c r="E262" s="197"/>
      <c r="F262" s="213"/>
      <c r="G262" s="213"/>
      <c r="H262" s="213"/>
      <c r="I262" s="197"/>
      <c r="J262" s="197"/>
      <c r="K262" s="214"/>
      <c r="L262" s="215"/>
      <c r="M262" s="556"/>
      <c r="N262" s="172"/>
      <c r="O262" s="174"/>
      <c r="U262" s="188"/>
    </row>
    <row r="263" spans="1:27" ht="10.8" thickBot="1" x14ac:dyDescent="0.25">
      <c r="A263" s="189" t="s">
        <v>668</v>
      </c>
      <c r="B263" s="190">
        <v>0.5</v>
      </c>
      <c r="C263" s="207">
        <v>0.5</v>
      </c>
      <c r="D263" s="207">
        <v>0.5</v>
      </c>
      <c r="E263" s="207">
        <v>0</v>
      </c>
      <c r="F263" s="191">
        <f>ROUND(Costs!$B$3*B263+Costs!$B$4*C263+Costs!$B$5*D263+Costs!$B$6*E263,2)</f>
        <v>167.48</v>
      </c>
      <c r="G263" s="191" t="str">
        <f>Costs!$B$62</f>
        <v xml:space="preserve"> </v>
      </c>
      <c r="H263" s="191">
        <f>Costs!$B$19</f>
        <v>4.4000000000000004</v>
      </c>
      <c r="I263" s="192">
        <f>ROUND((O263*(Universe!C$6)),0)</f>
        <v>0</v>
      </c>
      <c r="J263" s="192">
        <f>ROUND((P263*Universe!C$2),0)</f>
        <v>0</v>
      </c>
      <c r="K263" s="193">
        <f>ROUND((B263+C263+D263+E263)*(I263+J263),2)</f>
        <v>0</v>
      </c>
      <c r="L263" s="191">
        <f>(I263+J263)*SUM(F263:H263)</f>
        <v>0</v>
      </c>
      <c r="M263" s="555"/>
      <c r="N263" s="165" t="e">
        <f>L263/(I263+J263)</f>
        <v>#DIV/0!</v>
      </c>
      <c r="O263" s="174">
        <v>0</v>
      </c>
      <c r="P263" s="167">
        <v>0</v>
      </c>
      <c r="Q263" s="167"/>
      <c r="R263" s="168">
        <f>F263*(I263+J263)</f>
        <v>0</v>
      </c>
      <c r="S263" s="168">
        <f>G263*(I263+J263)</f>
        <v>0</v>
      </c>
      <c r="T263" s="168">
        <f>H263*(I263+J263)</f>
        <v>0</v>
      </c>
      <c r="U263" s="188">
        <f>ROUND(((I263)*($B263+$C263+$D263+$E263))/(Universe!$C$6),2)</f>
        <v>0</v>
      </c>
      <c r="V263" s="188" t="e">
        <f>ROUND(((J263)*($B263+$C263+$D263+$E263))/(Universe!$C$2),2)</f>
        <v>#DIV/0!</v>
      </c>
      <c r="W263" s="167">
        <v>1</v>
      </c>
      <c r="X263" s="408">
        <f>IF(W263=1,U263,0)</f>
        <v>0</v>
      </c>
      <c r="Y263" s="408">
        <f>IF(W263=2,U263,0)</f>
        <v>0</v>
      </c>
      <c r="Z263" s="408" t="e">
        <f>IF(W263=1,V263,0)</f>
        <v>#DIV/0!</v>
      </c>
      <c r="AA263" s="408">
        <f>IF(W263=2,V263,0)</f>
        <v>0</v>
      </c>
    </row>
    <row r="264" spans="1:27" ht="10.8" thickBot="1" x14ac:dyDescent="0.25">
      <c r="A264" s="200" t="s">
        <v>596</v>
      </c>
      <c r="B264" s="201" t="s">
        <v>597</v>
      </c>
      <c r="C264" s="201" t="s">
        <v>597</v>
      </c>
      <c r="D264" s="201" t="s">
        <v>597</v>
      </c>
      <c r="E264" s="201" t="s">
        <v>597</v>
      </c>
      <c r="F264" s="201" t="s">
        <v>597</v>
      </c>
      <c r="G264" s="201" t="s">
        <v>597</v>
      </c>
      <c r="H264" s="201" t="s">
        <v>597</v>
      </c>
      <c r="I264" s="201" t="s">
        <v>597</v>
      </c>
      <c r="J264" s="201" t="s">
        <v>597</v>
      </c>
      <c r="K264" s="203">
        <f>(K263)</f>
        <v>0</v>
      </c>
      <c r="L264" s="204">
        <f>(L263)</f>
        <v>0</v>
      </c>
      <c r="M264" s="555"/>
      <c r="N264" s="169" t="s">
        <v>597</v>
      </c>
      <c r="O264" s="174"/>
      <c r="R264" s="203">
        <f>(R263)</f>
        <v>0</v>
      </c>
      <c r="S264" s="203">
        <f>(S263)</f>
        <v>0</v>
      </c>
      <c r="T264" s="203">
        <f>(T263)</f>
        <v>0</v>
      </c>
      <c r="U264" s="188"/>
      <c r="X264" s="203">
        <f>(X263)</f>
        <v>0</v>
      </c>
      <c r="Y264" s="203">
        <f>(Y263)</f>
        <v>0</v>
      </c>
      <c r="Z264" s="203" t="e">
        <f>(Z263)</f>
        <v>#DIV/0!</v>
      </c>
      <c r="AA264" s="203">
        <f>(AA263)</f>
        <v>0</v>
      </c>
    </row>
    <row r="265" spans="1:27" x14ac:dyDescent="0.2">
      <c r="A265" s="194" t="s">
        <v>337</v>
      </c>
      <c r="B265" s="197"/>
      <c r="C265" s="197"/>
      <c r="D265" s="197"/>
      <c r="E265" s="197"/>
      <c r="F265" s="213"/>
      <c r="G265" s="213"/>
      <c r="H265" s="213"/>
      <c r="I265" s="197"/>
      <c r="J265" s="197"/>
      <c r="K265" s="214"/>
      <c r="L265" s="215"/>
      <c r="M265" s="556"/>
      <c r="N265" s="172"/>
      <c r="O265" s="174"/>
      <c r="U265" s="188"/>
    </row>
    <row r="266" spans="1:27" ht="10.8" thickBot="1" x14ac:dyDescent="0.25">
      <c r="A266" s="224" t="s">
        <v>338</v>
      </c>
      <c r="B266" s="225">
        <v>0</v>
      </c>
      <c r="C266" s="380">
        <v>1</v>
      </c>
      <c r="D266" s="380">
        <v>1</v>
      </c>
      <c r="E266" s="380">
        <v>0</v>
      </c>
      <c r="F266" s="226">
        <f>ROUND(Costs!$B$3*B266+Costs!$B$4*C266+Costs!$B$5*D266+Costs!$B$6*E266,2)</f>
        <v>170.06</v>
      </c>
      <c r="G266" s="377" t="str">
        <f>Costs!$B$62</f>
        <v xml:space="preserve"> </v>
      </c>
      <c r="H266" s="377">
        <f>Costs!$B$19</f>
        <v>4.4000000000000004</v>
      </c>
      <c r="I266" s="381">
        <f>ROUND((O263*(Universe!C$6)),0)</f>
        <v>0</v>
      </c>
      <c r="J266" s="381">
        <f>ROUND((P263*Universe!C$2),0)</f>
        <v>0</v>
      </c>
      <c r="K266" s="227">
        <f>ROUND((B266+C266+D266+E266)*(I266+J266),2)</f>
        <v>0</v>
      </c>
      <c r="L266" s="226">
        <f>(I266+J266)*SUM(F266:H266)</f>
        <v>0</v>
      </c>
      <c r="M266" s="165"/>
      <c r="N266" s="165" t="e">
        <f>L266/(I266+J266)</f>
        <v>#DIV/0!</v>
      </c>
      <c r="O266" s="174">
        <v>0</v>
      </c>
      <c r="P266" s="167">
        <v>0</v>
      </c>
      <c r="Q266" s="167"/>
      <c r="R266" s="168">
        <f>F266*(I266+J266)</f>
        <v>0</v>
      </c>
      <c r="S266" s="168">
        <f>G266*(I266+J266)</f>
        <v>0</v>
      </c>
      <c r="T266" s="168">
        <f>H266*(I266+J266)</f>
        <v>0</v>
      </c>
      <c r="U266" s="188">
        <f>ROUND(((I266)*($B266+$C266+$D266+$E266))/(Universe!$C$6),2)</f>
        <v>0</v>
      </c>
      <c r="V266" s="188" t="e">
        <f>ROUND(((J266)*($B266+$C266+$D266+$E266))/(Universe!$C$2),2)</f>
        <v>#DIV/0!</v>
      </c>
      <c r="W266" s="167">
        <v>1</v>
      </c>
      <c r="X266" s="408">
        <f>IF(W266=1,U266,0)</f>
        <v>0</v>
      </c>
      <c r="Y266" s="408">
        <f>IF(W266=2,U266,0)</f>
        <v>0</v>
      </c>
      <c r="Z266" s="408" t="e">
        <f>IF(W266=1,V266,0)</f>
        <v>#DIV/0!</v>
      </c>
      <c r="AA266" s="408">
        <f>IF(W266=2,V266,0)</f>
        <v>0</v>
      </c>
    </row>
    <row r="267" spans="1:27" ht="10.8" thickBot="1" x14ac:dyDescent="0.25">
      <c r="A267" s="502" t="s">
        <v>596</v>
      </c>
      <c r="B267" s="503" t="s">
        <v>597</v>
      </c>
      <c r="C267" s="503" t="s">
        <v>597</v>
      </c>
      <c r="D267" s="503" t="s">
        <v>597</v>
      </c>
      <c r="E267" s="503" t="s">
        <v>597</v>
      </c>
      <c r="F267" s="503" t="s">
        <v>597</v>
      </c>
      <c r="G267" s="503" t="s">
        <v>597</v>
      </c>
      <c r="H267" s="503" t="s">
        <v>597</v>
      </c>
      <c r="I267" s="503" t="s">
        <v>597</v>
      </c>
      <c r="J267" s="503" t="s">
        <v>597</v>
      </c>
      <c r="K267" s="505">
        <f>SUM(K266:K266)</f>
        <v>0</v>
      </c>
      <c r="L267" s="506">
        <f>SUM(L266:L266)</f>
        <v>0</v>
      </c>
      <c r="M267" s="165"/>
      <c r="N267" s="169" t="s">
        <v>597</v>
      </c>
      <c r="O267" s="174"/>
      <c r="R267" s="505">
        <f>SUM(R266:R266)</f>
        <v>0</v>
      </c>
      <c r="S267" s="505">
        <f>SUM(S266:S266)</f>
        <v>0</v>
      </c>
      <c r="T267" s="505">
        <f>SUM(T266:T266)</f>
        <v>0</v>
      </c>
      <c r="U267" s="188"/>
      <c r="V267" s="188"/>
      <c r="X267" s="505">
        <f>SUM(X266:X266)</f>
        <v>0</v>
      </c>
      <c r="Y267" s="505">
        <f>SUM(Y266:Y266)</f>
        <v>0</v>
      </c>
      <c r="Z267" s="505" t="e">
        <f>SUM(Z266:Z266)</f>
        <v>#DIV/0!</v>
      </c>
      <c r="AA267" s="505">
        <f>SUM(AA266:AA266)</f>
        <v>0</v>
      </c>
    </row>
    <row r="268" spans="1:27" x14ac:dyDescent="0.2">
      <c r="A268" s="194" t="s">
        <v>669</v>
      </c>
      <c r="B268" s="195"/>
      <c r="C268" s="197"/>
      <c r="D268" s="197"/>
      <c r="E268" s="197"/>
      <c r="F268" s="213"/>
      <c r="G268" s="213"/>
      <c r="H268" s="213"/>
      <c r="I268" s="205"/>
      <c r="J268" s="205"/>
      <c r="K268" s="214"/>
      <c r="L268" s="215"/>
      <c r="M268" s="556"/>
      <c r="N268" s="172"/>
      <c r="O268" s="174"/>
      <c r="U268" s="188"/>
      <c r="V268" s="166"/>
    </row>
    <row r="269" spans="1:27" ht="20.399999999999999" x14ac:dyDescent="0.2">
      <c r="A269" s="146" t="s">
        <v>330</v>
      </c>
      <c r="B269" s="85">
        <v>1</v>
      </c>
      <c r="C269" s="89">
        <v>0.25</v>
      </c>
      <c r="D269" s="89">
        <v>2</v>
      </c>
      <c r="E269" s="89">
        <v>0.75</v>
      </c>
      <c r="F269" s="32">
        <f>ROUND(Costs!$B$3*B269+Costs!$B$4*C269+Costs!$B$5*D269+Costs!$B$6*E269,2)</f>
        <v>367.24</v>
      </c>
      <c r="G269" s="32" t="str">
        <f>Costs!$B$62</f>
        <v xml:space="preserve"> </v>
      </c>
      <c r="H269" s="32">
        <f>Costs!$B$19</f>
        <v>4.4000000000000004</v>
      </c>
      <c r="I269" s="86">
        <f>ROUND((O269*(Universe!C$6)),0)</f>
        <v>0</v>
      </c>
      <c r="J269" s="86">
        <f>ROUND((P269*Universe!C$2),0)</f>
        <v>0</v>
      </c>
      <c r="K269" s="87">
        <f t="shared" ref="K269:K274" si="75">ROUND((B269+C269+D269+E269)*(I269+J269),2)</f>
        <v>0</v>
      </c>
      <c r="L269" s="32">
        <f t="shared" ref="L269:L274" si="76">(I269+J269)*SUM(F269:H269)</f>
        <v>0</v>
      </c>
      <c r="M269" s="555"/>
      <c r="N269" s="165">
        <v>0</v>
      </c>
      <c r="O269" s="174">
        <v>0</v>
      </c>
      <c r="P269" s="167">
        <v>0</v>
      </c>
      <c r="Q269" s="167"/>
      <c r="R269" s="168">
        <f t="shared" ref="R269:R274" si="77">F269*(I269+J269)</f>
        <v>0</v>
      </c>
      <c r="S269" s="168">
        <f t="shared" ref="S269:S274" si="78">G269*(I269+J269)</f>
        <v>0</v>
      </c>
      <c r="T269" s="168">
        <f t="shared" ref="T269:T274" si="79">H269*(I269+J269)</f>
        <v>0</v>
      </c>
      <c r="U269" s="188">
        <f>ROUND(((I269)*($B269+$C269+$D269+$E269))/(Universe!$C$6),2)</f>
        <v>0</v>
      </c>
      <c r="V269" s="188" t="e">
        <f>ROUND(((J269)*($B269+$C269+$D269+$E269))/(Universe!$C$2),2)</f>
        <v>#DIV/0!</v>
      </c>
      <c r="W269" s="167">
        <v>1</v>
      </c>
      <c r="X269" s="408">
        <f t="shared" ref="X269:X274" si="80">IF(W269=1,U269,0)</f>
        <v>0</v>
      </c>
      <c r="Y269" s="408">
        <f t="shared" ref="Y269:Y274" si="81">IF(W269=2,U269,0)</f>
        <v>0</v>
      </c>
      <c r="Z269" s="408" t="e">
        <f t="shared" ref="Z269:Z274" si="82">IF(W269=1,V269,0)</f>
        <v>#DIV/0!</v>
      </c>
      <c r="AA269" s="408">
        <f t="shared" ref="AA269:AA274" si="83">IF(W269=2,V269,0)</f>
        <v>0</v>
      </c>
    </row>
    <row r="270" spans="1:27" ht="20.399999999999999" x14ac:dyDescent="0.2">
      <c r="A270" s="374" t="s">
        <v>322</v>
      </c>
      <c r="B270" s="375">
        <v>0</v>
      </c>
      <c r="C270" s="376">
        <v>4</v>
      </c>
      <c r="D270" s="376">
        <v>8</v>
      </c>
      <c r="E270" s="376">
        <v>2</v>
      </c>
      <c r="F270" s="377">
        <f>ROUND(Costs!$B$3*B270+Costs!$B$4*C270+Costs!$B$5*D270+Costs!$B$6*E270,2)</f>
        <v>1058.02</v>
      </c>
      <c r="G270" s="377" t="str">
        <f>Costs!$B$62</f>
        <v xml:space="preserve"> </v>
      </c>
      <c r="H270" s="377">
        <f>Costs!$B$16</f>
        <v>0</v>
      </c>
      <c r="I270" s="378">
        <f>ROUND((O270*(Universe!C$6)),0)</f>
        <v>0</v>
      </c>
      <c r="J270" s="378">
        <f>ROUND((P270*Universe!C$2),0)</f>
        <v>0</v>
      </c>
      <c r="K270" s="87">
        <f>ROUND((B270+C270+D270+E270)*(I270+J270),2)</f>
        <v>0</v>
      </c>
      <c r="L270" s="32">
        <f>(I270+J270)*SUM(F270:H270)</f>
        <v>0</v>
      </c>
      <c r="M270" s="555"/>
      <c r="N270" s="165">
        <v>0</v>
      </c>
      <c r="O270" s="174">
        <v>0</v>
      </c>
      <c r="P270" s="167">
        <v>0</v>
      </c>
      <c r="Q270" s="167"/>
      <c r="R270" s="168">
        <f t="shared" si="77"/>
        <v>0</v>
      </c>
      <c r="S270" s="168">
        <f t="shared" si="78"/>
        <v>0</v>
      </c>
      <c r="T270" s="168">
        <f t="shared" si="79"/>
        <v>0</v>
      </c>
      <c r="U270" s="188">
        <f>ROUND(((I270)*($B270+$C270+$D270+$E270))/(Universe!$C$6),2)</f>
        <v>0</v>
      </c>
      <c r="V270" s="188" t="e">
        <f>ROUND(((J270)*($B270+$C270+$D270+$E270))/(Universe!$C$2),2)</f>
        <v>#DIV/0!</v>
      </c>
      <c r="W270" s="167">
        <v>1</v>
      </c>
      <c r="X270" s="408">
        <f t="shared" si="80"/>
        <v>0</v>
      </c>
      <c r="Y270" s="408">
        <f t="shared" si="81"/>
        <v>0</v>
      </c>
      <c r="Z270" s="408" t="e">
        <f t="shared" si="82"/>
        <v>#DIV/0!</v>
      </c>
      <c r="AA270" s="408">
        <f t="shared" si="83"/>
        <v>0</v>
      </c>
    </row>
    <row r="271" spans="1:27" ht="20.399999999999999" x14ac:dyDescent="0.2">
      <c r="A271" s="374" t="s">
        <v>323</v>
      </c>
      <c r="B271" s="375">
        <v>0</v>
      </c>
      <c r="C271" s="376">
        <v>0</v>
      </c>
      <c r="D271" s="376">
        <v>0</v>
      </c>
      <c r="E271" s="376">
        <v>1</v>
      </c>
      <c r="F271" s="377">
        <f>ROUND(Costs!$B$3*B271+Costs!$B$4*C271+Costs!$B$5*D271+Costs!$B$6*E271,2)</f>
        <v>43.67</v>
      </c>
      <c r="G271" s="377" t="str">
        <f>Costs!$B$62</f>
        <v xml:space="preserve"> </v>
      </c>
      <c r="H271" s="377">
        <f>Costs!$B$19</f>
        <v>4.4000000000000004</v>
      </c>
      <c r="I271" s="378">
        <f>ROUND((O271*(Universe!C$6)),0)</f>
        <v>0</v>
      </c>
      <c r="J271" s="378">
        <f>ROUND((P271*Universe!C$2),0)</f>
        <v>0</v>
      </c>
      <c r="K271" s="87">
        <f t="shared" si="75"/>
        <v>0</v>
      </c>
      <c r="L271" s="32">
        <f t="shared" si="76"/>
        <v>0</v>
      </c>
      <c r="M271" s="555"/>
      <c r="N271" s="165">
        <v>0</v>
      </c>
      <c r="O271" s="174">
        <v>0</v>
      </c>
      <c r="P271" s="167">
        <v>0</v>
      </c>
      <c r="Q271" s="167"/>
      <c r="R271" s="168">
        <f t="shared" si="77"/>
        <v>0</v>
      </c>
      <c r="S271" s="168">
        <f t="shared" si="78"/>
        <v>0</v>
      </c>
      <c r="T271" s="168">
        <f t="shared" si="79"/>
        <v>0</v>
      </c>
      <c r="U271" s="188">
        <f>ROUND(((I271)*($B271+$C271+$D271+$E271))/(Universe!$C$6),2)</f>
        <v>0</v>
      </c>
      <c r="V271" s="188" t="e">
        <f>ROUND(((J271)*($B271+$C271+$D271+$E271))/(Universe!$C$2),2)</f>
        <v>#DIV/0!</v>
      </c>
      <c r="W271" s="167">
        <v>1</v>
      </c>
      <c r="X271" s="408">
        <f t="shared" si="80"/>
        <v>0</v>
      </c>
      <c r="Y271" s="408">
        <f t="shared" si="81"/>
        <v>0</v>
      </c>
      <c r="Z271" s="408" t="e">
        <f t="shared" si="82"/>
        <v>#DIV/0!</v>
      </c>
      <c r="AA271" s="408">
        <f t="shared" si="83"/>
        <v>0</v>
      </c>
    </row>
    <row r="272" spans="1:27" ht="20.399999999999999" x14ac:dyDescent="0.2">
      <c r="A272" s="374" t="s">
        <v>324</v>
      </c>
      <c r="B272" s="375">
        <v>0</v>
      </c>
      <c r="C272" s="376">
        <v>1</v>
      </c>
      <c r="D272" s="376">
        <v>1</v>
      </c>
      <c r="E272" s="376">
        <v>1</v>
      </c>
      <c r="F272" s="377">
        <f>ROUND(Costs!$B$3*B272+Costs!$B$4*C272+Costs!$B$5*D272+Costs!$B$6*E272,2)</f>
        <v>213.73</v>
      </c>
      <c r="G272" s="377" t="str">
        <f>Costs!$B$62</f>
        <v xml:space="preserve"> </v>
      </c>
      <c r="H272" s="377">
        <f>Costs!$B$19</f>
        <v>4.4000000000000004</v>
      </c>
      <c r="I272" s="378">
        <f>ROUND((O272*(Universe!C$6)),0)</f>
        <v>0</v>
      </c>
      <c r="J272" s="378">
        <f>ROUND((P272*Universe!C$2),0)</f>
        <v>0</v>
      </c>
      <c r="K272" s="87">
        <f>ROUND((B272+C272+D272+E272)*(I272+J272),2)</f>
        <v>0</v>
      </c>
      <c r="L272" s="32">
        <f>(I272+J272)*SUM(F272:H272)</f>
        <v>0</v>
      </c>
      <c r="M272" s="555"/>
      <c r="N272" s="165">
        <v>0</v>
      </c>
      <c r="O272" s="167">
        <v>0</v>
      </c>
      <c r="P272" s="167">
        <v>0</v>
      </c>
      <c r="Q272" s="167"/>
      <c r="R272" s="168">
        <f t="shared" si="77"/>
        <v>0</v>
      </c>
      <c r="S272" s="168">
        <f t="shared" si="78"/>
        <v>0</v>
      </c>
      <c r="T272" s="168">
        <f t="shared" si="79"/>
        <v>0</v>
      </c>
      <c r="U272" s="188">
        <f>ROUND(((I272)*($B272+$C272+$D272+$E272))/(Universe!$C$6),2)</f>
        <v>0</v>
      </c>
      <c r="V272" s="188" t="e">
        <f>ROUND(((J272)*($B272+$C272+$D272+$E272))/(Universe!$C$2),2)</f>
        <v>#DIV/0!</v>
      </c>
      <c r="W272" s="167">
        <v>1</v>
      </c>
      <c r="X272" s="408">
        <f t="shared" si="80"/>
        <v>0</v>
      </c>
      <c r="Y272" s="408">
        <f t="shared" si="81"/>
        <v>0</v>
      </c>
      <c r="Z272" s="408" t="e">
        <f t="shared" si="82"/>
        <v>#DIV/0!</v>
      </c>
      <c r="AA272" s="408">
        <f t="shared" si="83"/>
        <v>0</v>
      </c>
    </row>
    <row r="273" spans="1:27" x14ac:dyDescent="0.2">
      <c r="A273" s="146" t="s">
        <v>665</v>
      </c>
      <c r="B273" s="85">
        <v>0</v>
      </c>
      <c r="C273" s="89">
        <v>0</v>
      </c>
      <c r="D273" s="89">
        <v>0</v>
      </c>
      <c r="E273" s="89">
        <v>4</v>
      </c>
      <c r="F273" s="32">
        <f>ROUND(Costs!$B$3*B273+Costs!$B$4*C273+Costs!$B$5*D273+Costs!$B$6*E273,2)</f>
        <v>174.68</v>
      </c>
      <c r="G273" s="32" t="str">
        <f>Costs!$B$62</f>
        <v xml:space="preserve"> </v>
      </c>
      <c r="H273" s="32">
        <f>Costs!$B$19</f>
        <v>4.4000000000000004</v>
      </c>
      <c r="I273" s="86">
        <f>ROUND((O273*(Universe!C$6)),0)</f>
        <v>18</v>
      </c>
      <c r="J273" s="86">
        <f>ROUND((P273*Universe!C$2),0)</f>
        <v>0</v>
      </c>
      <c r="K273" s="87">
        <f t="shared" si="75"/>
        <v>72</v>
      </c>
      <c r="L273" s="32">
        <f t="shared" si="76"/>
        <v>3223.44</v>
      </c>
      <c r="M273" s="555"/>
      <c r="N273" s="165">
        <f>L273/(I273+J273)</f>
        <v>179.08</v>
      </c>
      <c r="O273" s="174">
        <v>0.5</v>
      </c>
      <c r="P273" s="167">
        <v>0.5</v>
      </c>
      <c r="Q273" s="167"/>
      <c r="R273" s="168">
        <f t="shared" si="77"/>
        <v>3144.2400000000002</v>
      </c>
      <c r="S273" s="168">
        <f t="shared" si="78"/>
        <v>0</v>
      </c>
      <c r="T273" s="168">
        <f t="shared" si="79"/>
        <v>79.2</v>
      </c>
      <c r="U273" s="188">
        <f>ROUND(((I273)*($B273+$C273+$D273+$E273))/(Universe!$C$6),2)</f>
        <v>2</v>
      </c>
      <c r="V273" s="188" t="e">
        <f>ROUND(((J273)*($B273+$C273+$D273+$E273))/(Universe!$C$2),2)</f>
        <v>#DIV/0!</v>
      </c>
      <c r="W273" s="167">
        <v>1</v>
      </c>
      <c r="X273" s="408">
        <f t="shared" si="80"/>
        <v>2</v>
      </c>
      <c r="Y273" s="408">
        <f t="shared" si="81"/>
        <v>0</v>
      </c>
      <c r="Z273" s="408" t="e">
        <f t="shared" si="82"/>
        <v>#DIV/0!</v>
      </c>
      <c r="AA273" s="408">
        <f t="shared" si="83"/>
        <v>0</v>
      </c>
    </row>
    <row r="274" spans="1:27" ht="21" thickBot="1" x14ac:dyDescent="0.25">
      <c r="A274" s="189" t="s">
        <v>331</v>
      </c>
      <c r="B274" s="190">
        <v>0</v>
      </c>
      <c r="C274" s="207">
        <v>0</v>
      </c>
      <c r="D274" s="207">
        <v>0</v>
      </c>
      <c r="E274" s="207">
        <v>2</v>
      </c>
      <c r="F274" s="191">
        <f>ROUND(Costs!$B$3*B274+Costs!$B$4*C274+Costs!$B$5*D274+Costs!$B$6*E274,2)</f>
        <v>87.34</v>
      </c>
      <c r="G274" s="191" t="str">
        <f>Costs!$B$62</f>
        <v xml:space="preserve"> </v>
      </c>
      <c r="H274" s="191">
        <f>Costs!$B$19</f>
        <v>4.4000000000000004</v>
      </c>
      <c r="I274" s="192">
        <f>ROUND((O274*(Universe!C$6)),0)</f>
        <v>0</v>
      </c>
      <c r="J274" s="192">
        <f>ROUND((P274*Universe!C$2),0)</f>
        <v>0</v>
      </c>
      <c r="K274" s="193">
        <f t="shared" si="75"/>
        <v>0</v>
      </c>
      <c r="L274" s="191">
        <f t="shared" si="76"/>
        <v>0</v>
      </c>
      <c r="M274" s="555"/>
      <c r="N274" s="165" t="e">
        <f>L274/(I274+J274)</f>
        <v>#DIV/0!</v>
      </c>
      <c r="O274" s="174">
        <v>0.01</v>
      </c>
      <c r="P274" s="167">
        <v>0.01</v>
      </c>
      <c r="Q274" s="167"/>
      <c r="R274" s="168">
        <f t="shared" si="77"/>
        <v>0</v>
      </c>
      <c r="S274" s="168">
        <f t="shared" si="78"/>
        <v>0</v>
      </c>
      <c r="T274" s="168">
        <f t="shared" si="79"/>
        <v>0</v>
      </c>
      <c r="U274" s="188">
        <f>ROUND(((I274)*($B274+$C274+$D274+$E274))/(Universe!$C$6),2)</f>
        <v>0</v>
      </c>
      <c r="V274" s="188" t="e">
        <f>ROUND(((J274)*($B274+$C274+$D274+$E274))/(Universe!$C$2),2)</f>
        <v>#DIV/0!</v>
      </c>
      <c r="W274" s="167">
        <v>1</v>
      </c>
      <c r="X274" s="408">
        <f t="shared" si="80"/>
        <v>0</v>
      </c>
      <c r="Y274" s="408">
        <f t="shared" si="81"/>
        <v>0</v>
      </c>
      <c r="Z274" s="408" t="e">
        <f t="shared" si="82"/>
        <v>#DIV/0!</v>
      </c>
      <c r="AA274" s="408">
        <f t="shared" si="83"/>
        <v>0</v>
      </c>
    </row>
    <row r="275" spans="1:27" ht="10.8" thickBot="1" x14ac:dyDescent="0.25">
      <c r="A275" s="200" t="s">
        <v>596</v>
      </c>
      <c r="B275" s="201" t="s">
        <v>597</v>
      </c>
      <c r="C275" s="201" t="s">
        <v>597</v>
      </c>
      <c r="D275" s="201" t="s">
        <v>597</v>
      </c>
      <c r="E275" s="201" t="s">
        <v>597</v>
      </c>
      <c r="F275" s="201" t="s">
        <v>597</v>
      </c>
      <c r="G275" s="201" t="s">
        <v>597</v>
      </c>
      <c r="H275" s="201" t="s">
        <v>597</v>
      </c>
      <c r="I275" s="202" t="s">
        <v>597</v>
      </c>
      <c r="J275" s="202" t="s">
        <v>597</v>
      </c>
      <c r="K275" s="203">
        <f>SUM(K269:K274)</f>
        <v>72</v>
      </c>
      <c r="L275" s="204">
        <f>SUM(L269:L274)</f>
        <v>3223.44</v>
      </c>
      <c r="M275" s="555"/>
      <c r="N275" s="169" t="s">
        <v>597</v>
      </c>
      <c r="O275" s="174"/>
      <c r="P275" s="171"/>
      <c r="Q275" s="171"/>
      <c r="R275" s="203">
        <f>SUM(R269:R274)</f>
        <v>3144.2400000000002</v>
      </c>
      <c r="S275" s="203">
        <f>SUM(S269:S274)</f>
        <v>0</v>
      </c>
      <c r="T275" s="203">
        <f>SUM(T269:T274)</f>
        <v>79.2</v>
      </c>
      <c r="U275" s="188"/>
      <c r="V275" s="166"/>
      <c r="X275" s="203">
        <f>SUM(X269:X274)</f>
        <v>2</v>
      </c>
      <c r="Y275" s="203">
        <f>SUM(Y269:Y274)</f>
        <v>0</v>
      </c>
      <c r="Z275" s="203" t="e">
        <f>SUM(Z269:Z274)</f>
        <v>#DIV/0!</v>
      </c>
      <c r="AA275" s="203">
        <f>SUM(AA269:AA274)</f>
        <v>0</v>
      </c>
    </row>
    <row r="276" spans="1:27" x14ac:dyDescent="0.2">
      <c r="A276" s="194" t="s">
        <v>670</v>
      </c>
      <c r="B276" s="195"/>
      <c r="C276" s="197"/>
      <c r="D276" s="197"/>
      <c r="E276" s="197"/>
      <c r="F276" s="213"/>
      <c r="G276" s="213"/>
      <c r="H276" s="213"/>
      <c r="I276" s="205"/>
      <c r="J276" s="205"/>
      <c r="K276" s="214"/>
      <c r="L276" s="215"/>
      <c r="M276" s="556"/>
      <c r="N276" s="172"/>
      <c r="O276" s="174"/>
      <c r="U276" s="188"/>
      <c r="V276" s="166"/>
    </row>
    <row r="277" spans="1:27" ht="20.399999999999999" x14ac:dyDescent="0.2">
      <c r="A277" s="146" t="s">
        <v>340</v>
      </c>
      <c r="B277" s="85">
        <v>0.5</v>
      </c>
      <c r="C277" s="89">
        <v>0.5</v>
      </c>
      <c r="D277" s="89">
        <v>0.5</v>
      </c>
      <c r="E277" s="89">
        <v>0.5</v>
      </c>
      <c r="F277" s="32">
        <f>ROUND(Costs!$B$3*B277+Costs!$B$4*C277+Costs!$B$5*D277+Costs!$B$6*E277,2)</f>
        <v>189.32</v>
      </c>
      <c r="G277" s="32" t="str">
        <f>Costs!$B$62</f>
        <v xml:space="preserve"> </v>
      </c>
      <c r="H277" s="32">
        <f>Costs!$B$19</f>
        <v>4.4000000000000004</v>
      </c>
      <c r="I277" s="86">
        <f>ROUND((O277*(Universe!C$6)),0)</f>
        <v>0</v>
      </c>
      <c r="J277" s="86">
        <f>ROUND((P277*Universe!C$2),0)</f>
        <v>0</v>
      </c>
      <c r="K277" s="87">
        <f>ROUND((B277+C277+D277+E277)*(I277+J277),2)</f>
        <v>0</v>
      </c>
      <c r="L277" s="32">
        <f>(I277+J277)*SUM(F277:H277)</f>
        <v>0</v>
      </c>
      <c r="M277" s="555"/>
      <c r="N277" s="165">
        <v>0</v>
      </c>
      <c r="O277" s="174">
        <v>0</v>
      </c>
      <c r="P277" s="167">
        <v>0</v>
      </c>
      <c r="Q277" s="167"/>
      <c r="R277" s="168">
        <f>F277*(I277+J277)</f>
        <v>0</v>
      </c>
      <c r="S277" s="168">
        <f>G277*(I277+J277)</f>
        <v>0</v>
      </c>
      <c r="T277" s="168">
        <f>H277*(I277+J277)</f>
        <v>0</v>
      </c>
      <c r="U277" s="188">
        <f>ROUND(((I277)*($B277+$C277+$D277+$E277))/(Universe!$C$6),2)</f>
        <v>0</v>
      </c>
      <c r="V277" s="188" t="e">
        <f>ROUND(((J277)*($B277+$C277+$D277+$E277))/(Universe!$C$2),2)</f>
        <v>#DIV/0!</v>
      </c>
      <c r="W277" s="167">
        <v>1</v>
      </c>
      <c r="X277" s="408">
        <f>IF(W277=1,U277,0)</f>
        <v>0</v>
      </c>
      <c r="Y277" s="408">
        <f>IF(W277=2,U277,0)</f>
        <v>0</v>
      </c>
      <c r="Z277" s="408" t="e">
        <f>IF(W277=1,V277,0)</f>
        <v>#DIV/0!</v>
      </c>
      <c r="AA277" s="408">
        <f>IF(W277=2,V277,0)</f>
        <v>0</v>
      </c>
    </row>
    <row r="278" spans="1:27" ht="20.399999999999999" x14ac:dyDescent="0.2">
      <c r="A278" s="146" t="s">
        <v>341</v>
      </c>
      <c r="B278" s="85">
        <v>0</v>
      </c>
      <c r="C278" s="89">
        <v>0</v>
      </c>
      <c r="D278" s="89">
        <v>0</v>
      </c>
      <c r="E278" s="89">
        <v>1</v>
      </c>
      <c r="F278" s="32">
        <f>ROUND(Costs!$B$3*B278+Costs!$B$4*C278+Costs!$B$5*D278+Costs!$B$6*E278,2)</f>
        <v>43.67</v>
      </c>
      <c r="G278" s="32" t="str">
        <f>Costs!$B$62</f>
        <v xml:space="preserve"> </v>
      </c>
      <c r="H278" s="32">
        <f>Costs!$B$19</f>
        <v>4.4000000000000004</v>
      </c>
      <c r="I278" s="86">
        <f>ROUND((O278*(Universe!C$6)),0)</f>
        <v>0</v>
      </c>
      <c r="J278" s="86">
        <f>ROUND((P278*Universe!C$2),0)</f>
        <v>0</v>
      </c>
      <c r="K278" s="87">
        <f>ROUND((B278+C278+D278+E278)*(I278+J278),2)</f>
        <v>0</v>
      </c>
      <c r="L278" s="32">
        <f>(I278+J278)*SUM(F278:H278)</f>
        <v>0</v>
      </c>
      <c r="M278" s="555"/>
      <c r="N278" s="165">
        <v>0</v>
      </c>
      <c r="O278" s="174">
        <v>0</v>
      </c>
      <c r="P278" s="167">
        <v>0</v>
      </c>
      <c r="Q278" s="167"/>
      <c r="R278" s="168">
        <f>F278*(I278+J278)</f>
        <v>0</v>
      </c>
      <c r="S278" s="168">
        <f>G278*(I278+J278)</f>
        <v>0</v>
      </c>
      <c r="T278" s="168">
        <f>H278*(I278+J278)</f>
        <v>0</v>
      </c>
      <c r="U278" s="188">
        <f>ROUND(((I278)*($B278+$C278+$D278+$E278))/(Universe!$C$6),2)</f>
        <v>0</v>
      </c>
      <c r="V278" s="188" t="e">
        <f>ROUND(((J278)*($B278+$C278+$D278+$E278))/(Universe!$C$2),2)</f>
        <v>#DIV/0!</v>
      </c>
      <c r="W278" s="167">
        <v>1</v>
      </c>
      <c r="X278" s="408">
        <f>IF(W278=1,U278,0)</f>
        <v>0</v>
      </c>
      <c r="Y278" s="408">
        <f>IF(W278=2,U278,0)</f>
        <v>0</v>
      </c>
      <c r="Z278" s="408" t="e">
        <f>IF(W278=1,V278,0)</f>
        <v>#DIV/0!</v>
      </c>
      <c r="AA278" s="408">
        <f>IF(W278=2,V278,0)</f>
        <v>0</v>
      </c>
    </row>
    <row r="279" spans="1:27" ht="10.8" thickBot="1" x14ac:dyDescent="0.25">
      <c r="A279" s="189" t="s">
        <v>665</v>
      </c>
      <c r="B279" s="190">
        <v>0</v>
      </c>
      <c r="C279" s="207">
        <v>0</v>
      </c>
      <c r="D279" s="207">
        <v>0</v>
      </c>
      <c r="E279" s="207">
        <v>4</v>
      </c>
      <c r="F279" s="191">
        <f>ROUND(Costs!$B$3*B279+Costs!$B$4*C279+Costs!$B$5*D279+Costs!$B$6*E279,2)</f>
        <v>174.68</v>
      </c>
      <c r="G279" s="191" t="str">
        <f>Costs!$B$62</f>
        <v xml:space="preserve"> </v>
      </c>
      <c r="H279" s="191">
        <f>Costs!$B$19</f>
        <v>4.4000000000000004</v>
      </c>
      <c r="I279" s="192">
        <f>ROUND((O279*(Universe!C$6)),0)</f>
        <v>18</v>
      </c>
      <c r="J279" s="192">
        <f>ROUND((P279*Universe!C$2),0)</f>
        <v>0</v>
      </c>
      <c r="K279" s="193">
        <f>ROUND((B279+C279+D279+E279)*(I279+J279),2)</f>
        <v>72</v>
      </c>
      <c r="L279" s="191">
        <f>(I279+J279)*SUM(F279:H279)</f>
        <v>3223.44</v>
      </c>
      <c r="M279" s="555"/>
      <c r="N279" s="165">
        <f>L279/(I279+J279)</f>
        <v>179.08</v>
      </c>
      <c r="O279" s="174">
        <v>0.5</v>
      </c>
      <c r="P279" s="167">
        <v>0.5</v>
      </c>
      <c r="Q279" s="167"/>
      <c r="R279" s="168">
        <f>F279*(I279+J279)</f>
        <v>3144.2400000000002</v>
      </c>
      <c r="S279" s="168">
        <f>G279*(I279+J279)</f>
        <v>0</v>
      </c>
      <c r="T279" s="168">
        <f>H279*(I279+J279)</f>
        <v>79.2</v>
      </c>
      <c r="U279" s="188">
        <f>(I279)*($B279+$C279+$D279+$E279)/(Universe!C6)</f>
        <v>2</v>
      </c>
      <c r="V279" s="188" t="e">
        <f>((J279)*($B279+$C279+$D279+$E279))/(Universe!C2)</f>
        <v>#DIV/0!</v>
      </c>
      <c r="W279" s="167">
        <v>1</v>
      </c>
      <c r="X279" s="408">
        <f>IF(W279=1,U279,0)</f>
        <v>2</v>
      </c>
      <c r="Y279" s="408">
        <f>IF(W279=2,U279,0)</f>
        <v>0</v>
      </c>
      <c r="Z279" s="408" t="e">
        <f>IF(W279=1,V279,0)</f>
        <v>#DIV/0!</v>
      </c>
      <c r="AA279" s="408">
        <f>IF(W279=2,V279,0)</f>
        <v>0</v>
      </c>
    </row>
    <row r="280" spans="1:27" ht="10.8" thickBot="1" x14ac:dyDescent="0.25">
      <c r="A280" s="200" t="s">
        <v>596</v>
      </c>
      <c r="B280" s="201" t="s">
        <v>597</v>
      </c>
      <c r="C280" s="201" t="s">
        <v>597</v>
      </c>
      <c r="D280" s="201" t="s">
        <v>597</v>
      </c>
      <c r="E280" s="201" t="s">
        <v>597</v>
      </c>
      <c r="F280" s="201" t="s">
        <v>597</v>
      </c>
      <c r="G280" s="201" t="s">
        <v>597</v>
      </c>
      <c r="H280" s="201" t="s">
        <v>597</v>
      </c>
      <c r="I280" s="202" t="s">
        <v>597</v>
      </c>
      <c r="J280" s="202" t="s">
        <v>597</v>
      </c>
      <c r="K280" s="203">
        <f>SUM(K277:K279)</f>
        <v>72</v>
      </c>
      <c r="L280" s="204">
        <f>SUM(L277:L279)</f>
        <v>3223.44</v>
      </c>
      <c r="M280" s="555"/>
      <c r="N280" s="169" t="s">
        <v>597</v>
      </c>
      <c r="O280" s="174"/>
      <c r="P280" s="171"/>
      <c r="Q280" s="171"/>
      <c r="R280" s="203">
        <f>SUM(R277:R279)</f>
        <v>3144.2400000000002</v>
      </c>
      <c r="S280" s="203">
        <f>SUM(S277:S279)</f>
        <v>0</v>
      </c>
      <c r="T280" s="203">
        <f>SUM(T277:T279)</f>
        <v>79.2</v>
      </c>
      <c r="U280" s="188"/>
      <c r="V280" s="166"/>
      <c r="X280" s="203">
        <f>SUM(X277:X279)</f>
        <v>2</v>
      </c>
      <c r="Y280" s="203">
        <f>SUM(Y277:Y279)</f>
        <v>0</v>
      </c>
      <c r="Z280" s="203" t="e">
        <f>SUM(Z277:Z279)</f>
        <v>#DIV/0!</v>
      </c>
      <c r="AA280" s="203">
        <f>SUM(AA277:AA279)</f>
        <v>0</v>
      </c>
    </row>
    <row r="281" spans="1:27" x14ac:dyDescent="0.2">
      <c r="A281" s="194" t="s">
        <v>342</v>
      </c>
      <c r="B281" s="195"/>
      <c r="C281" s="197"/>
      <c r="D281" s="197"/>
      <c r="E281" s="197"/>
      <c r="F281" s="213"/>
      <c r="G281" s="213"/>
      <c r="H281" s="213"/>
      <c r="I281" s="205"/>
      <c r="J281" s="205"/>
      <c r="K281" s="214"/>
      <c r="L281" s="215"/>
      <c r="M281" s="556"/>
      <c r="N281" s="172"/>
      <c r="O281" s="174"/>
      <c r="U281" s="188"/>
      <c r="V281" s="166"/>
    </row>
    <row r="282" spans="1:27" ht="20.399999999999999" x14ac:dyDescent="0.2">
      <c r="A282" s="374" t="s">
        <v>307</v>
      </c>
      <c r="B282" s="375">
        <v>0</v>
      </c>
      <c r="C282" s="376">
        <v>2</v>
      </c>
      <c r="D282" s="376">
        <v>4</v>
      </c>
      <c r="E282" s="376">
        <v>2</v>
      </c>
      <c r="F282" s="377">
        <f>ROUND(Costs!$B$3*B282+Costs!$B$4*C282+Costs!$B$5*D282+Costs!$B$6*E282,2)</f>
        <v>572.67999999999995</v>
      </c>
      <c r="G282" s="377" t="str">
        <f>Costs!$B$62</f>
        <v xml:space="preserve"> </v>
      </c>
      <c r="H282" s="377">
        <f>Costs!$B$19</f>
        <v>4.4000000000000004</v>
      </c>
      <c r="I282" s="378">
        <f>ROUND((O282*(Universe!C$6)),0)</f>
        <v>0</v>
      </c>
      <c r="J282" s="378">
        <f>ROUND((P282*Universe!C$2),0)</f>
        <v>0</v>
      </c>
      <c r="K282" s="382">
        <f>ROUND((B282+C282+D282+E282)*(I282+J282),2)</f>
        <v>0</v>
      </c>
      <c r="L282" s="32">
        <f>(I282+J282)*SUM(F282:H282)</f>
        <v>0</v>
      </c>
      <c r="M282" s="555"/>
      <c r="N282" s="165">
        <v>0</v>
      </c>
      <c r="O282" s="167">
        <v>0</v>
      </c>
      <c r="P282" s="167">
        <v>0</v>
      </c>
      <c r="Q282" s="167"/>
      <c r="R282" s="168">
        <f>F282*(I282+J282)</f>
        <v>0</v>
      </c>
      <c r="S282" s="168">
        <f>G282*(I282+J282)</f>
        <v>0</v>
      </c>
      <c r="T282" s="168">
        <f>H282*(I282+J282)</f>
        <v>0</v>
      </c>
      <c r="U282" s="188">
        <f>ROUND(((I282)*($B282+$C282+$D282+$E282))/(Universe!$C$6),2)</f>
        <v>0</v>
      </c>
      <c r="V282" s="188" t="e">
        <f>ROUND(((J282)*($B282+$C282+$D282+$E282))/(Universe!$C$2),2)</f>
        <v>#DIV/0!</v>
      </c>
      <c r="W282" s="167">
        <v>1</v>
      </c>
      <c r="X282" s="408">
        <f>IF(W282=1,U282,0)</f>
        <v>0</v>
      </c>
      <c r="Y282" s="408">
        <f>IF(W282=2,U282,0)</f>
        <v>0</v>
      </c>
      <c r="Z282" s="408" t="e">
        <f>IF(W282=1,V282,0)</f>
        <v>#DIV/0!</v>
      </c>
      <c r="AA282" s="408">
        <f>IF(W282=2,V282,0)</f>
        <v>0</v>
      </c>
    </row>
    <row r="283" spans="1:27" ht="10.8" thickBot="1" x14ac:dyDescent="0.25">
      <c r="A283" s="189" t="s">
        <v>671</v>
      </c>
      <c r="B283" s="190">
        <v>4</v>
      </c>
      <c r="C283" s="207">
        <v>1</v>
      </c>
      <c r="D283" s="207">
        <v>2</v>
      </c>
      <c r="E283" s="207">
        <v>1</v>
      </c>
      <c r="F283" s="191">
        <f>ROUND(Costs!$B$3*B283+Costs!$B$4*C283+Costs!$B$5*D283+Costs!$B$6*E283,2)</f>
        <v>945.94</v>
      </c>
      <c r="G283" s="191" t="str">
        <f>Costs!$B$62</f>
        <v xml:space="preserve"> </v>
      </c>
      <c r="H283" s="191">
        <f>Costs!$B$19</f>
        <v>4.4000000000000004</v>
      </c>
      <c r="I283" s="192">
        <f>ROUND((O283*(Universe!C$6)),0)</f>
        <v>0</v>
      </c>
      <c r="J283" s="192">
        <f>ROUND((P283*Universe!C$2),0)</f>
        <v>0</v>
      </c>
      <c r="K283" s="193">
        <f>ROUND((B283+C283+D283+E283)*(I283+J283),2)</f>
        <v>0</v>
      </c>
      <c r="L283" s="191">
        <f>(I283+J283)*SUM(F283:H283)</f>
        <v>0</v>
      </c>
      <c r="M283" s="555"/>
      <c r="N283" s="165">
        <v>0</v>
      </c>
      <c r="O283" s="174">
        <v>0</v>
      </c>
      <c r="P283" s="167">
        <v>0</v>
      </c>
      <c r="Q283" s="167"/>
      <c r="R283" s="168">
        <f>F283*(I283+J283)</f>
        <v>0</v>
      </c>
      <c r="S283" s="168">
        <f>G283*(I283+J283)</f>
        <v>0</v>
      </c>
      <c r="T283" s="168">
        <f>H283*(I283+J283)</f>
        <v>0</v>
      </c>
      <c r="U283" s="188">
        <f>ROUND(((I283)*($B283+$C283+$D283+$E283))/(Universe!$C$6),2)</f>
        <v>0</v>
      </c>
      <c r="V283" s="188" t="e">
        <f>ROUND(((J283)*($B283+$C283+$D283+$E283))/(Universe!$C$2),2)</f>
        <v>#DIV/0!</v>
      </c>
      <c r="W283" s="167">
        <v>1</v>
      </c>
      <c r="X283" s="408">
        <f>IF(W283=1,U283,0)</f>
        <v>0</v>
      </c>
      <c r="Y283" s="408">
        <f>IF(W283=2,U283,0)</f>
        <v>0</v>
      </c>
      <c r="Z283" s="408" t="e">
        <f>IF(W283=1,V283,0)</f>
        <v>#DIV/0!</v>
      </c>
      <c r="AA283" s="408">
        <f>IF(W283=2,V283,0)</f>
        <v>0</v>
      </c>
    </row>
    <row r="284" spans="1:27" ht="10.8" thickBot="1" x14ac:dyDescent="0.25">
      <c r="A284" s="200" t="s">
        <v>596</v>
      </c>
      <c r="B284" s="201" t="s">
        <v>597</v>
      </c>
      <c r="C284" s="201" t="s">
        <v>597</v>
      </c>
      <c r="D284" s="201" t="s">
        <v>597</v>
      </c>
      <c r="E284" s="201" t="s">
        <v>597</v>
      </c>
      <c r="F284" s="201" t="s">
        <v>597</v>
      </c>
      <c r="G284" s="201" t="s">
        <v>597</v>
      </c>
      <c r="H284" s="201" t="s">
        <v>597</v>
      </c>
      <c r="I284" s="202" t="s">
        <v>597</v>
      </c>
      <c r="J284" s="202" t="s">
        <v>597</v>
      </c>
      <c r="K284" s="203">
        <f>SUM(K282:K283)</f>
        <v>0</v>
      </c>
      <c r="L284" s="204">
        <f>SUM(L282:L283)</f>
        <v>0</v>
      </c>
      <c r="M284" s="555"/>
      <c r="N284" s="169" t="s">
        <v>597</v>
      </c>
      <c r="O284" s="174"/>
      <c r="P284" s="171"/>
      <c r="Q284" s="171"/>
      <c r="R284" s="203">
        <f>SUM(R282:R283)</f>
        <v>0</v>
      </c>
      <c r="S284" s="203">
        <f>SUM(S282:S283)</f>
        <v>0</v>
      </c>
      <c r="T284" s="203">
        <f>SUM(T282:T283)</f>
        <v>0</v>
      </c>
      <c r="U284" s="188"/>
      <c r="V284" s="166"/>
      <c r="X284" s="203">
        <f>SUM(X282:X283)</f>
        <v>0</v>
      </c>
      <c r="Y284" s="203">
        <f>SUM(Y282:Y283)</f>
        <v>0</v>
      </c>
      <c r="Z284" s="203" t="e">
        <f>SUM(Z282:Z283)</f>
        <v>#DIV/0!</v>
      </c>
      <c r="AA284" s="203">
        <f>SUM(AA282:AA283)</f>
        <v>0</v>
      </c>
    </row>
    <row r="285" spans="1:27" x14ac:dyDescent="0.2">
      <c r="A285" s="194" t="s">
        <v>345</v>
      </c>
      <c r="B285" s="195"/>
      <c r="C285" s="197"/>
      <c r="D285" s="197"/>
      <c r="E285" s="197"/>
      <c r="F285" s="213"/>
      <c r="G285" s="213"/>
      <c r="H285" s="213"/>
      <c r="I285" s="205"/>
      <c r="J285" s="205"/>
      <c r="K285" s="214"/>
      <c r="L285" s="215"/>
      <c r="M285" s="556"/>
      <c r="N285" s="172"/>
      <c r="O285" s="174"/>
      <c r="U285" s="188"/>
      <c r="V285" s="166"/>
    </row>
    <row r="286" spans="1:27" ht="20.399999999999999" x14ac:dyDescent="0.2">
      <c r="A286" s="374" t="s">
        <v>307</v>
      </c>
      <c r="B286" s="375">
        <v>0</v>
      </c>
      <c r="C286" s="376">
        <v>2</v>
      </c>
      <c r="D286" s="376">
        <v>4</v>
      </c>
      <c r="E286" s="376">
        <v>2</v>
      </c>
      <c r="F286" s="377">
        <f>ROUND(Costs!$B$3*B286+Costs!$B$4*C286+Costs!$B$5*D286+Costs!$B$6*E286,2)</f>
        <v>572.67999999999995</v>
      </c>
      <c r="G286" s="377" t="str">
        <f>Costs!$B$62</f>
        <v xml:space="preserve"> </v>
      </c>
      <c r="H286" s="377">
        <f>Costs!$B$19</f>
        <v>4.4000000000000004</v>
      </c>
      <c r="I286" s="378">
        <f>ROUND((O286*(Universe!C$6)),0)</f>
        <v>0</v>
      </c>
      <c r="J286" s="378">
        <f>ROUND((P286*Universe!C$2),0)</f>
        <v>0</v>
      </c>
      <c r="K286" s="87">
        <f>ROUND((B286+C286+D286+E286)*(I286+J286),2)</f>
        <v>0</v>
      </c>
      <c r="L286" s="32">
        <f>(I286+J286)*SUM(F286:H286)</f>
        <v>0</v>
      </c>
      <c r="M286" s="555"/>
      <c r="N286" s="165">
        <v>0</v>
      </c>
      <c r="O286" s="167">
        <v>0</v>
      </c>
      <c r="P286" s="167">
        <v>0</v>
      </c>
      <c r="Q286" s="167"/>
      <c r="R286" s="168">
        <f>F286*(I286+J286)</f>
        <v>0</v>
      </c>
      <c r="S286" s="168">
        <f>G286*(I286+J286)</f>
        <v>0</v>
      </c>
      <c r="T286" s="168">
        <f>H286*(I286+J286)</f>
        <v>0</v>
      </c>
      <c r="U286" s="188">
        <f>ROUND(((I286)*($B286+$C286+$D286+$E286))/(Universe!$C$6),2)</f>
        <v>0</v>
      </c>
      <c r="V286" s="188" t="e">
        <f>ROUND(((J286)*($B286+$C286+$D286+$E286))/(Universe!$C$2),2)</f>
        <v>#DIV/0!</v>
      </c>
      <c r="W286" s="167">
        <v>1</v>
      </c>
      <c r="X286" s="408">
        <f>IF(W286=1,U286,0)</f>
        <v>0</v>
      </c>
      <c r="Y286" s="408">
        <f>IF(W286=2,U286,0)</f>
        <v>0</v>
      </c>
      <c r="Z286" s="408" t="e">
        <f>IF(W286=1,V286,0)</f>
        <v>#DIV/0!</v>
      </c>
      <c r="AA286" s="408">
        <f>IF(W286=2,V286,0)</f>
        <v>0</v>
      </c>
    </row>
    <row r="287" spans="1:27" ht="10.8" thickBot="1" x14ac:dyDescent="0.25">
      <c r="A287" s="189" t="s">
        <v>672</v>
      </c>
      <c r="B287" s="190">
        <v>4</v>
      </c>
      <c r="C287" s="207">
        <v>1</v>
      </c>
      <c r="D287" s="207">
        <v>2</v>
      </c>
      <c r="E287" s="207">
        <v>1</v>
      </c>
      <c r="F287" s="191">
        <f>ROUND(Costs!$B$3*B287+Costs!$B$4*C287+Costs!$B$5*D287+Costs!$B$6*E287,2)</f>
        <v>945.94</v>
      </c>
      <c r="G287" s="191" t="str">
        <f>Costs!$B$62</f>
        <v xml:space="preserve"> </v>
      </c>
      <c r="H287" s="191">
        <f>Costs!$B$19</f>
        <v>4.4000000000000004</v>
      </c>
      <c r="I287" s="192">
        <f>ROUND((O287*(Universe!C$6)),0)</f>
        <v>0</v>
      </c>
      <c r="J287" s="192">
        <f>ROUND((P287*Universe!C$2),0)</f>
        <v>0</v>
      </c>
      <c r="K287" s="193">
        <f>ROUND((B287+C287+D287+E287)*(I287+J287),2)</f>
        <v>0</v>
      </c>
      <c r="L287" s="191">
        <f>(I287+J287)*SUM(F287:H287)</f>
        <v>0</v>
      </c>
      <c r="M287" s="555"/>
      <c r="N287" s="165">
        <v>0</v>
      </c>
      <c r="O287" s="174">
        <v>0</v>
      </c>
      <c r="P287" s="167">
        <v>0</v>
      </c>
      <c r="Q287" s="167"/>
      <c r="R287" s="168">
        <f>F287*(I287+J287)</f>
        <v>0</v>
      </c>
      <c r="S287" s="168">
        <f>G287*(I287+J287)</f>
        <v>0</v>
      </c>
      <c r="T287" s="168">
        <f>H287*(I287+J287)</f>
        <v>0</v>
      </c>
      <c r="U287" s="188">
        <f>ROUND(((I287)*($B287+$C287+$D287+$E287))/(Universe!$C$6),2)</f>
        <v>0</v>
      </c>
      <c r="V287" s="188" t="e">
        <f>ROUND(((J287)*($B287+$C287+$D287+$E287))/(Universe!$C$2),2)</f>
        <v>#DIV/0!</v>
      </c>
      <c r="W287" s="167">
        <v>1</v>
      </c>
      <c r="X287" s="408">
        <f>IF(W287=1,U287,0)</f>
        <v>0</v>
      </c>
      <c r="Y287" s="408">
        <f>IF(W287=2,U287,0)</f>
        <v>0</v>
      </c>
      <c r="Z287" s="408" t="e">
        <f>IF(W287=1,V287,0)</f>
        <v>#DIV/0!</v>
      </c>
      <c r="AA287" s="408">
        <f>IF(W287=2,V287,0)</f>
        <v>0</v>
      </c>
    </row>
    <row r="288" spans="1:27" ht="10.8" thickBot="1" x14ac:dyDescent="0.25">
      <c r="A288" s="200" t="s">
        <v>596</v>
      </c>
      <c r="B288" s="201" t="s">
        <v>597</v>
      </c>
      <c r="C288" s="201" t="s">
        <v>597</v>
      </c>
      <c r="D288" s="201" t="s">
        <v>597</v>
      </c>
      <c r="E288" s="201" t="s">
        <v>597</v>
      </c>
      <c r="F288" s="201" t="s">
        <v>597</v>
      </c>
      <c r="G288" s="201" t="s">
        <v>597</v>
      </c>
      <c r="H288" s="201" t="s">
        <v>597</v>
      </c>
      <c r="I288" s="202" t="s">
        <v>597</v>
      </c>
      <c r="J288" s="202" t="s">
        <v>597</v>
      </c>
      <c r="K288" s="203">
        <f>SUM(K286:K287)</f>
        <v>0</v>
      </c>
      <c r="L288" s="204">
        <f>SUM(L286:L287)</f>
        <v>0</v>
      </c>
      <c r="M288" s="555"/>
      <c r="N288" s="169" t="s">
        <v>597</v>
      </c>
      <c r="O288" s="174"/>
      <c r="P288" s="171"/>
      <c r="Q288" s="171"/>
      <c r="R288" s="203">
        <f>SUM(R286:R287)</f>
        <v>0</v>
      </c>
      <c r="S288" s="203">
        <f>SUM(S286:S287)</f>
        <v>0</v>
      </c>
      <c r="T288" s="203">
        <f>SUM(T286:T287)</f>
        <v>0</v>
      </c>
      <c r="U288" s="188"/>
      <c r="V288" s="166"/>
      <c r="X288" s="203">
        <f>SUM(X286:X287)</f>
        <v>0</v>
      </c>
      <c r="Y288" s="203">
        <f>SUM(Y286:Y287)</f>
        <v>0</v>
      </c>
      <c r="Z288" s="203" t="e">
        <f>SUM(Z286:Z287)</f>
        <v>#DIV/0!</v>
      </c>
      <c r="AA288" s="203">
        <f>SUM(AA286:AA287)</f>
        <v>0</v>
      </c>
    </row>
    <row r="289" spans="1:32" x14ac:dyDescent="0.2">
      <c r="A289" s="194" t="s">
        <v>346</v>
      </c>
      <c r="B289" s="195"/>
      <c r="C289" s="197"/>
      <c r="D289" s="197"/>
      <c r="E289" s="197"/>
      <c r="F289" s="213"/>
      <c r="G289" s="213"/>
      <c r="H289" s="213"/>
      <c r="I289" s="205"/>
      <c r="J289" s="205"/>
      <c r="K289" s="214"/>
      <c r="L289" s="215"/>
      <c r="M289" s="556"/>
      <c r="N289" s="172"/>
      <c r="O289" s="174"/>
      <c r="U289" s="188"/>
      <c r="V289" s="166"/>
    </row>
    <row r="290" spans="1:32" ht="20.399999999999999" x14ac:dyDescent="0.2">
      <c r="A290" s="374" t="s">
        <v>307</v>
      </c>
      <c r="B290" s="375">
        <v>0</v>
      </c>
      <c r="C290" s="376">
        <v>2</v>
      </c>
      <c r="D290" s="376">
        <v>4</v>
      </c>
      <c r="E290" s="376">
        <v>2</v>
      </c>
      <c r="F290" s="377">
        <f>ROUND(Costs!$B$3*B290+Costs!$B$4*C290+Costs!$B$5*D290+Costs!$B$6*E290,2)</f>
        <v>572.67999999999995</v>
      </c>
      <c r="G290" s="377" t="str">
        <f>Costs!$B$62</f>
        <v xml:space="preserve"> </v>
      </c>
      <c r="H290" s="377">
        <f>Costs!$B$19</f>
        <v>4.4000000000000004</v>
      </c>
      <c r="I290" s="378">
        <f>ROUND((O290*(Universe!C$6)),0)</f>
        <v>0</v>
      </c>
      <c r="J290" s="378">
        <f>ROUND((P290*Universe!C$2),0)</f>
        <v>0</v>
      </c>
      <c r="K290" s="87">
        <f>ROUND((B290+C290+D290+E290)*(I290+J290),2)</f>
        <v>0</v>
      </c>
      <c r="L290" s="32">
        <f>(I290+J290)*SUM(F290:H290)</f>
        <v>0</v>
      </c>
      <c r="M290" s="555"/>
      <c r="N290" s="165">
        <v>0</v>
      </c>
      <c r="O290" s="167">
        <v>0</v>
      </c>
      <c r="P290" s="167">
        <v>0</v>
      </c>
      <c r="Q290" s="167"/>
      <c r="R290" s="168">
        <f>F290*(I290+J290)</f>
        <v>0</v>
      </c>
      <c r="S290" s="168">
        <f>G290*(I290+J290)</f>
        <v>0</v>
      </c>
      <c r="T290" s="168">
        <f>H290*(I290+J290)</f>
        <v>0</v>
      </c>
      <c r="U290" s="188">
        <f>ROUND(((I290)*($B290+$C290+$D290+$E290))/(Universe!$C$6),2)</f>
        <v>0</v>
      </c>
      <c r="V290" s="188" t="e">
        <f>ROUND(((J290)*($B290+$C290+$D290+$E290))/(Universe!$C$2),2)</f>
        <v>#DIV/0!</v>
      </c>
      <c r="W290" s="167">
        <v>1</v>
      </c>
      <c r="X290" s="408">
        <f>IF(W290=1,U290,0)</f>
        <v>0</v>
      </c>
      <c r="Y290" s="408">
        <f>IF(W290=2,U290,0)</f>
        <v>0</v>
      </c>
      <c r="Z290" s="408" t="e">
        <f>IF(W290=1,V290,0)</f>
        <v>#DIV/0!</v>
      </c>
      <c r="AA290" s="408">
        <f>IF(W290=2,V290,0)</f>
        <v>0</v>
      </c>
    </row>
    <row r="291" spans="1:32" x14ac:dyDescent="0.2">
      <c r="A291" s="146" t="s">
        <v>673</v>
      </c>
      <c r="B291" s="85">
        <v>4.5</v>
      </c>
      <c r="C291" s="89">
        <v>1.5</v>
      </c>
      <c r="D291" s="89">
        <v>1</v>
      </c>
      <c r="E291" s="89">
        <v>1</v>
      </c>
      <c r="F291" s="32">
        <f>ROUND(Costs!$B$3*B291+Costs!$B$4*C291+Costs!$B$5*D291+Costs!$B$6*E291,2)</f>
        <v>1004.51</v>
      </c>
      <c r="G291" s="32" t="str">
        <f>Costs!$B$62</f>
        <v xml:space="preserve"> </v>
      </c>
      <c r="H291" s="32">
        <f>Costs!$B$16</f>
        <v>0</v>
      </c>
      <c r="I291" s="86">
        <f>ROUND((O291*(Universe!C$6)),0)</f>
        <v>0</v>
      </c>
      <c r="J291" s="86">
        <f>ROUND((P291*Universe!C$2),0)</f>
        <v>0</v>
      </c>
      <c r="K291" s="87">
        <f>ROUND((B291+C291+D291+E291)*(I291+J291),2)</f>
        <v>0</v>
      </c>
      <c r="L291" s="32">
        <f>(I291+J291)*SUM(F291:H291)</f>
        <v>0</v>
      </c>
      <c r="M291" s="555"/>
      <c r="N291" s="165">
        <v>0</v>
      </c>
      <c r="O291" s="174">
        <v>0</v>
      </c>
      <c r="P291" s="167">
        <v>0</v>
      </c>
      <c r="Q291" s="167"/>
      <c r="R291" s="168">
        <f>F291*(I291+J291)</f>
        <v>0</v>
      </c>
      <c r="S291" s="168">
        <f>G291*(I291+J291)</f>
        <v>0</v>
      </c>
      <c r="T291" s="168">
        <f>H291*(I291+J291)</f>
        <v>0</v>
      </c>
      <c r="U291" s="188">
        <f>ROUND(((I291)*($B291+$C291+$D291+$E291))/(Universe!$C$6),2)</f>
        <v>0</v>
      </c>
      <c r="V291" s="188" t="e">
        <f>ROUND(((J291)*($B291+$C291+$D291+$E291))/(Universe!$C$2),2)</f>
        <v>#DIV/0!</v>
      </c>
      <c r="W291" s="167">
        <v>1</v>
      </c>
      <c r="X291" s="408">
        <f>IF(W291=1,U291,0)</f>
        <v>0</v>
      </c>
      <c r="Y291" s="408">
        <f>IF(W291=2,U291,0)</f>
        <v>0</v>
      </c>
      <c r="Z291" s="408" t="e">
        <f>IF(W291=1,V291,0)</f>
        <v>#DIV/0!</v>
      </c>
      <c r="AA291" s="408">
        <f>IF(W291=2,V291,0)</f>
        <v>0</v>
      </c>
    </row>
    <row r="292" spans="1:32" ht="21" thickBot="1" x14ac:dyDescent="0.25">
      <c r="A292" s="189" t="s">
        <v>347</v>
      </c>
      <c r="B292" s="190">
        <v>0</v>
      </c>
      <c r="C292" s="207">
        <v>0</v>
      </c>
      <c r="D292" s="207">
        <v>0</v>
      </c>
      <c r="E292" s="207">
        <v>1</v>
      </c>
      <c r="F292" s="191">
        <f>ROUND(Costs!$B$3*B292+Costs!$B$4*C292+Costs!$B$5*D292+Costs!$B$6*E292,2)</f>
        <v>43.67</v>
      </c>
      <c r="G292" s="191" t="str">
        <f>Costs!$B$62</f>
        <v xml:space="preserve"> </v>
      </c>
      <c r="H292" s="191">
        <f>Costs!$B$19</f>
        <v>4.4000000000000004</v>
      </c>
      <c r="I292" s="192">
        <f>ROUND((O292*(Universe!C$6)),0)</f>
        <v>0</v>
      </c>
      <c r="J292" s="192">
        <f>ROUND((P292*Universe!C$2),0)</f>
        <v>0</v>
      </c>
      <c r="K292" s="193">
        <f>ROUND((B292+C292+D292+E292)*(I292+J292),2)</f>
        <v>0</v>
      </c>
      <c r="L292" s="191">
        <f>(I292+J292)*SUM(F292:H292)</f>
        <v>0</v>
      </c>
      <c r="M292" s="555"/>
      <c r="N292" s="165">
        <v>0</v>
      </c>
      <c r="O292" s="174">
        <v>0</v>
      </c>
      <c r="P292" s="167">
        <v>0</v>
      </c>
      <c r="Q292" s="167"/>
      <c r="R292" s="168">
        <f>F292*(I292+J292)</f>
        <v>0</v>
      </c>
      <c r="S292" s="168">
        <f>G292*(I292+J292)</f>
        <v>0</v>
      </c>
      <c r="T292" s="168">
        <f>H292*(I292+J292)</f>
        <v>0</v>
      </c>
      <c r="U292" s="188">
        <f>ROUND(((I292)*($B292+$C292+$D292+$E292))/(Universe!$C$6),2)</f>
        <v>0</v>
      </c>
      <c r="V292" s="188" t="e">
        <f>ROUND(((J292)*($B292+$C292+$D292+$E292))/(Universe!$C$2),2)</f>
        <v>#DIV/0!</v>
      </c>
      <c r="W292" s="167">
        <v>1</v>
      </c>
      <c r="X292" s="408">
        <f>IF(W292=1,U292,0)</f>
        <v>0</v>
      </c>
      <c r="Y292" s="408">
        <f>IF(W292=2,U292,0)</f>
        <v>0</v>
      </c>
      <c r="Z292" s="408" t="e">
        <f>IF(W292=1,V292,0)</f>
        <v>#DIV/0!</v>
      </c>
      <c r="AA292" s="408">
        <f>IF(W292=2,V292,0)</f>
        <v>0</v>
      </c>
    </row>
    <row r="293" spans="1:32" ht="10.8" thickBot="1" x14ac:dyDescent="0.25">
      <c r="A293" s="200" t="s">
        <v>596</v>
      </c>
      <c r="B293" s="201" t="s">
        <v>597</v>
      </c>
      <c r="C293" s="201" t="s">
        <v>597</v>
      </c>
      <c r="D293" s="201" t="s">
        <v>597</v>
      </c>
      <c r="E293" s="201" t="s">
        <v>597</v>
      </c>
      <c r="F293" s="201" t="s">
        <v>597</v>
      </c>
      <c r="G293" s="201" t="s">
        <v>597</v>
      </c>
      <c r="H293" s="201" t="s">
        <v>597</v>
      </c>
      <c r="I293" s="202" t="s">
        <v>597</v>
      </c>
      <c r="J293" s="202" t="s">
        <v>597</v>
      </c>
      <c r="K293" s="203">
        <f>SUM(K290:K292)</f>
        <v>0</v>
      </c>
      <c r="L293" s="204">
        <f>SUM(L290:L292)</f>
        <v>0</v>
      </c>
      <c r="M293" s="555"/>
      <c r="N293" s="169" t="s">
        <v>597</v>
      </c>
      <c r="O293" s="174"/>
      <c r="P293" s="171"/>
      <c r="Q293" s="171"/>
      <c r="R293" s="203">
        <f>SUM(R290:R292)</f>
        <v>0</v>
      </c>
      <c r="S293" s="203">
        <f>SUM(S290:S292)</f>
        <v>0</v>
      </c>
      <c r="T293" s="203">
        <f>SUM(T290:T292)</f>
        <v>0</v>
      </c>
      <c r="U293" s="188"/>
      <c r="V293" s="166"/>
      <c r="X293" s="203">
        <f>SUM(X290:X292)</f>
        <v>0</v>
      </c>
      <c r="Y293" s="203">
        <f>SUM(Y290:Y292)</f>
        <v>0</v>
      </c>
      <c r="Z293" s="203" t="e">
        <f>SUM(Z290:Z292)</f>
        <v>#DIV/0!</v>
      </c>
      <c r="AA293" s="203">
        <f>SUM(AA290:AA292)</f>
        <v>0</v>
      </c>
    </row>
    <row r="294" spans="1:32" x14ac:dyDescent="0.2">
      <c r="A294" s="194" t="s">
        <v>348</v>
      </c>
      <c r="B294" s="195"/>
      <c r="C294" s="197"/>
      <c r="D294" s="197"/>
      <c r="E294" s="197"/>
      <c r="F294" s="213"/>
      <c r="G294" s="213"/>
      <c r="H294" s="213"/>
      <c r="I294" s="205"/>
      <c r="J294" s="205"/>
      <c r="K294" s="214"/>
      <c r="L294" s="215"/>
      <c r="M294" s="556"/>
      <c r="N294" s="172"/>
      <c r="O294" s="174"/>
      <c r="U294" s="188"/>
      <c r="V294" s="166"/>
    </row>
    <row r="295" spans="1:32" ht="21" thickBot="1" x14ac:dyDescent="0.25">
      <c r="A295" s="189" t="s">
        <v>349</v>
      </c>
      <c r="B295" s="190">
        <v>0</v>
      </c>
      <c r="C295" s="207">
        <v>0</v>
      </c>
      <c r="D295" s="207">
        <v>0</v>
      </c>
      <c r="E295" s="207">
        <v>1</v>
      </c>
      <c r="F295" s="191">
        <f>ROUND(Costs!$B$3*B295+Costs!$B$4*C295+Costs!$B$5*D295+Costs!$B$6*E295,2)</f>
        <v>43.67</v>
      </c>
      <c r="G295" s="191" t="str">
        <f>Costs!$B$62</f>
        <v xml:space="preserve"> </v>
      </c>
      <c r="H295" s="191">
        <f>Costs!$B$19</f>
        <v>4.4000000000000004</v>
      </c>
      <c r="I295" s="192">
        <f>ROUND((O295*(Universe!C$6)),0)</f>
        <v>0</v>
      </c>
      <c r="J295" s="192">
        <f>ROUND((P295*Universe!C$2),0)</f>
        <v>0</v>
      </c>
      <c r="K295" s="193">
        <f>ROUND((B295+C295+D295+E295)*(I295+J295),2)</f>
        <v>0</v>
      </c>
      <c r="L295" s="191">
        <f>(I295+J295)*SUM(F295:H295)</f>
        <v>0</v>
      </c>
      <c r="M295" s="555"/>
      <c r="N295" s="165" t="e">
        <f>L295/(I295+J295)</f>
        <v>#DIV/0!</v>
      </c>
      <c r="O295" s="174">
        <v>0.01</v>
      </c>
      <c r="P295" s="167">
        <v>0.01</v>
      </c>
      <c r="Q295" s="167"/>
      <c r="R295" s="168">
        <f>F295*(I295+J295)</f>
        <v>0</v>
      </c>
      <c r="S295" s="168">
        <f>G295*(I295+J295)</f>
        <v>0</v>
      </c>
      <c r="T295" s="168">
        <f>H295*(I295+J295)</f>
        <v>0</v>
      </c>
      <c r="U295" s="188">
        <f>ROUND(((I295)*($B295+$C295+$D295+$E295))/(Universe!$C$6),2)</f>
        <v>0</v>
      </c>
      <c r="V295" s="188" t="e">
        <f>ROUND(((J295)*($B295+$C295+$D295+$E295))/(Universe!$C$2),2)</f>
        <v>#DIV/0!</v>
      </c>
      <c r="W295" s="167">
        <v>1</v>
      </c>
      <c r="X295" s="408">
        <f>IF(W295=1,U295,0)</f>
        <v>0</v>
      </c>
      <c r="Y295" s="408">
        <f>IF(W295=2,U295,0)</f>
        <v>0</v>
      </c>
      <c r="Z295" s="408" t="e">
        <f>IF(W295=1,V295,0)</f>
        <v>#DIV/0!</v>
      </c>
      <c r="AA295" s="408">
        <f>IF(W295=2,V295,0)</f>
        <v>0</v>
      </c>
      <c r="AE295" s="171">
        <f>I295</f>
        <v>0</v>
      </c>
      <c r="AF295" s="171">
        <f>J295</f>
        <v>0</v>
      </c>
    </row>
    <row r="296" spans="1:32" ht="10.8" thickBot="1" x14ac:dyDescent="0.25">
      <c r="A296" s="200" t="s">
        <v>596</v>
      </c>
      <c r="B296" s="201" t="s">
        <v>597</v>
      </c>
      <c r="C296" s="201" t="s">
        <v>597</v>
      </c>
      <c r="D296" s="201" t="s">
        <v>597</v>
      </c>
      <c r="E296" s="201" t="s">
        <v>597</v>
      </c>
      <c r="F296" s="201" t="s">
        <v>597</v>
      </c>
      <c r="G296" s="201" t="s">
        <v>597</v>
      </c>
      <c r="H296" s="201" t="s">
        <v>597</v>
      </c>
      <c r="I296" s="202" t="s">
        <v>597</v>
      </c>
      <c r="J296" s="202" t="s">
        <v>597</v>
      </c>
      <c r="K296" s="203">
        <f>(K295)</f>
        <v>0</v>
      </c>
      <c r="L296" s="204">
        <f>(L295)</f>
        <v>0</v>
      </c>
      <c r="M296" s="555"/>
      <c r="N296" s="169" t="s">
        <v>597</v>
      </c>
      <c r="O296" s="174"/>
      <c r="P296" s="171"/>
      <c r="Q296" s="171"/>
      <c r="R296" s="203">
        <f>(R295)</f>
        <v>0</v>
      </c>
      <c r="S296" s="203">
        <f>(S295)</f>
        <v>0</v>
      </c>
      <c r="T296" s="203">
        <f>(T295)</f>
        <v>0</v>
      </c>
      <c r="U296" s="188"/>
      <c r="V296" s="166"/>
      <c r="X296" s="203">
        <f>(X295)</f>
        <v>0</v>
      </c>
      <c r="Y296" s="203">
        <f>(Y295)</f>
        <v>0</v>
      </c>
      <c r="Z296" s="203" t="e">
        <f>(Z295)</f>
        <v>#DIV/0!</v>
      </c>
      <c r="AA296" s="203">
        <f>(AA295)</f>
        <v>0</v>
      </c>
    </row>
    <row r="297" spans="1:32" x14ac:dyDescent="0.2">
      <c r="A297" s="194" t="s">
        <v>350</v>
      </c>
      <c r="B297" s="195"/>
      <c r="C297" s="197"/>
      <c r="D297" s="197"/>
      <c r="E297" s="197"/>
      <c r="F297" s="213"/>
      <c r="G297" s="213"/>
      <c r="H297" s="213"/>
      <c r="I297" s="205"/>
      <c r="J297" s="205"/>
      <c r="K297" s="214"/>
      <c r="L297" s="215"/>
      <c r="M297" s="556"/>
      <c r="N297" s="172"/>
      <c r="O297" s="174"/>
      <c r="U297" s="188"/>
      <c r="V297" s="166"/>
    </row>
    <row r="298" spans="1:32" x14ac:dyDescent="0.2">
      <c r="A298" s="146" t="s">
        <v>674</v>
      </c>
      <c r="B298" s="85">
        <v>0</v>
      </c>
      <c r="C298" s="89">
        <f>SUM(C296:C296)</f>
        <v>0</v>
      </c>
      <c r="D298" s="89">
        <f>SUM(D296:D296)</f>
        <v>0</v>
      </c>
      <c r="E298" s="89">
        <v>4</v>
      </c>
      <c r="F298" s="32">
        <f>ROUND(Costs!$B$3*B298+Costs!$B$4*C298+Costs!$B$5*D298+Costs!$B$6*E298,2)</f>
        <v>174.68</v>
      </c>
      <c r="G298" s="32" t="str">
        <f>Costs!$B$62</f>
        <v xml:space="preserve"> </v>
      </c>
      <c r="H298" s="32">
        <f>Costs!$B$19</f>
        <v>4.4000000000000004</v>
      </c>
      <c r="I298" s="86">
        <f>ROUND((O298*(Universe!C$6)),0)</f>
        <v>0</v>
      </c>
      <c r="J298" s="86">
        <f>ROUND((P298*Universe!C$2),0)</f>
        <v>0</v>
      </c>
      <c r="K298" s="87">
        <f>ROUND((B298+C298+D298+E298)*(I298+J298),2)</f>
        <v>0</v>
      </c>
      <c r="L298" s="32">
        <f>(I298+J298)*SUM(F298:H298)</f>
        <v>0</v>
      </c>
      <c r="M298" s="555"/>
      <c r="N298" s="165">
        <f>IF(I298=0,0,L298/(N298+I298))</f>
        <v>0</v>
      </c>
      <c r="O298" s="174"/>
      <c r="R298" s="168">
        <f>F298*(I298+J298)</f>
        <v>0</v>
      </c>
      <c r="S298" s="168">
        <f>G298*(I298+J298)</f>
        <v>0</v>
      </c>
      <c r="T298" s="168">
        <f>H298*(I298+J298)</f>
        <v>0</v>
      </c>
      <c r="U298" s="188">
        <f>ROUND(((I298)*($B298+$C298+$D298+$E298))/(Universe!$C$6),2)</f>
        <v>0</v>
      </c>
      <c r="V298" s="188" t="e">
        <f>ROUND(((J298)*($B298+$C298+$D298+$E298))/(Universe!$C$2),2)</f>
        <v>#DIV/0!</v>
      </c>
      <c r="W298" s="167">
        <v>1</v>
      </c>
      <c r="X298" s="408">
        <f>IF(W298=1,U298,0)</f>
        <v>0</v>
      </c>
      <c r="Y298" s="408">
        <f>IF(W298=2,U298,0)</f>
        <v>0</v>
      </c>
      <c r="Z298" s="408" t="e">
        <f>IF(W298=1,V298,0)</f>
        <v>#DIV/0!</v>
      </c>
      <c r="AA298" s="408">
        <f>IF(W298=2,V298,0)</f>
        <v>0</v>
      </c>
      <c r="AE298" s="171">
        <f>I298</f>
        <v>0</v>
      </c>
      <c r="AF298" s="171">
        <f>J298</f>
        <v>0</v>
      </c>
    </row>
    <row r="299" spans="1:32" ht="31.2" thickBot="1" x14ac:dyDescent="0.25">
      <c r="A299" s="189" t="s">
        <v>352</v>
      </c>
      <c r="B299" s="190">
        <v>0</v>
      </c>
      <c r="C299" s="207">
        <v>0</v>
      </c>
      <c r="D299" s="207">
        <v>0</v>
      </c>
      <c r="E299" s="207">
        <v>2</v>
      </c>
      <c r="F299" s="191">
        <f>ROUND(Costs!$B$3*B299+Costs!$B$4*C299+Costs!$B$5*D299+Costs!$B$6*E299,2)</f>
        <v>87.34</v>
      </c>
      <c r="G299" s="191" t="str">
        <f>Costs!$B$62</f>
        <v xml:space="preserve"> </v>
      </c>
      <c r="H299" s="191">
        <f>Costs!$B$19</f>
        <v>4.4000000000000004</v>
      </c>
      <c r="I299" s="192">
        <f>ROUND((O299*(Universe!C$6)),0)</f>
        <v>0</v>
      </c>
      <c r="J299" s="192">
        <f>ROUND((P299*Universe!C$2),0)</f>
        <v>0</v>
      </c>
      <c r="K299" s="193">
        <f>ROUND((B299+C299+D299+E299)*(I299+J299),2)</f>
        <v>0</v>
      </c>
      <c r="L299" s="191">
        <f>(I299+J299)*SUM(F299:H299)</f>
        <v>0</v>
      </c>
      <c r="M299" s="555"/>
      <c r="N299" s="165">
        <f>IF(I299=0,0,L299/(N299+I299))</f>
        <v>0</v>
      </c>
      <c r="O299" s="174"/>
      <c r="R299" s="168">
        <f>F299*(I299+J299)</f>
        <v>0</v>
      </c>
      <c r="S299" s="168">
        <f>G299*(I299+J299)</f>
        <v>0</v>
      </c>
      <c r="T299" s="168">
        <f>H299*(I299+J299)</f>
        <v>0</v>
      </c>
      <c r="U299" s="188">
        <f>ROUND(((I299)*($B299+$C299+$D299+$E299))/(Universe!$C$6),2)</f>
        <v>0</v>
      </c>
      <c r="V299" s="188" t="e">
        <f>ROUND(((J299)*($B299+$C299+$D299+$E299))/(Universe!$C$2),2)</f>
        <v>#DIV/0!</v>
      </c>
      <c r="W299" s="167">
        <v>1</v>
      </c>
      <c r="X299" s="408">
        <f>IF(W299=1,U299,0)</f>
        <v>0</v>
      </c>
      <c r="Y299" s="408">
        <f>IF(W299=2,U299,0)</f>
        <v>0</v>
      </c>
      <c r="Z299" s="408" t="e">
        <f>IF(W299=1,V299,0)</f>
        <v>#DIV/0!</v>
      </c>
      <c r="AA299" s="408">
        <f>IF(W299=2,V299,0)</f>
        <v>0</v>
      </c>
      <c r="AE299" s="171">
        <f>I299</f>
        <v>0</v>
      </c>
      <c r="AF299" s="171">
        <f>J299</f>
        <v>0</v>
      </c>
    </row>
    <row r="300" spans="1:32" ht="10.8" thickBot="1" x14ac:dyDescent="0.25">
      <c r="A300" s="200" t="s">
        <v>596</v>
      </c>
      <c r="B300" s="201" t="s">
        <v>597</v>
      </c>
      <c r="C300" s="201" t="s">
        <v>597</v>
      </c>
      <c r="D300" s="201" t="s">
        <v>597</v>
      </c>
      <c r="E300" s="201" t="s">
        <v>597</v>
      </c>
      <c r="F300" s="201" t="s">
        <v>597</v>
      </c>
      <c r="G300" s="201" t="s">
        <v>597</v>
      </c>
      <c r="H300" s="201" t="s">
        <v>597</v>
      </c>
      <c r="I300" s="202" t="s">
        <v>597</v>
      </c>
      <c r="J300" s="202" t="s">
        <v>597</v>
      </c>
      <c r="K300" s="203">
        <f>SUM(K298:K299)</f>
        <v>0</v>
      </c>
      <c r="L300" s="204">
        <f>SUM(L298:L299)</f>
        <v>0</v>
      </c>
      <c r="M300" s="555"/>
      <c r="N300" s="169" t="s">
        <v>597</v>
      </c>
      <c r="O300" s="174"/>
      <c r="P300" s="171"/>
      <c r="Q300" s="171"/>
      <c r="R300" s="203">
        <f>SUM(R298:R299)</f>
        <v>0</v>
      </c>
      <c r="S300" s="203">
        <f>SUM(S298:S299)</f>
        <v>0</v>
      </c>
      <c r="T300" s="203">
        <f>SUM(T298:T299)</f>
        <v>0</v>
      </c>
      <c r="U300" s="188"/>
      <c r="V300" s="166"/>
      <c r="X300" s="203">
        <f>SUM(X298:X299)</f>
        <v>0</v>
      </c>
      <c r="Y300" s="203">
        <f>SUM(Y298:Y299)</f>
        <v>0</v>
      </c>
      <c r="Z300" s="203" t="e">
        <f>SUM(Z298:Z299)</f>
        <v>#DIV/0!</v>
      </c>
      <c r="AA300" s="203">
        <f>SUM(AA298:AA299)</f>
        <v>0</v>
      </c>
    </row>
    <row r="301" spans="1:32" x14ac:dyDescent="0.2">
      <c r="A301" s="194" t="s">
        <v>351</v>
      </c>
      <c r="B301" s="195"/>
      <c r="C301" s="197"/>
      <c r="D301" s="197"/>
      <c r="E301" s="197"/>
      <c r="F301" s="213"/>
      <c r="G301" s="213"/>
      <c r="H301" s="213"/>
      <c r="I301" s="205"/>
      <c r="J301" s="205"/>
      <c r="K301" s="214"/>
      <c r="L301" s="215"/>
      <c r="M301" s="556"/>
      <c r="N301" s="172"/>
      <c r="O301" s="174"/>
      <c r="U301" s="188"/>
      <c r="V301" s="166"/>
    </row>
    <row r="302" spans="1:32" ht="20.399999999999999" x14ac:dyDescent="0.2">
      <c r="A302" s="146" t="s">
        <v>353</v>
      </c>
      <c r="B302" s="85">
        <v>1</v>
      </c>
      <c r="C302" s="89">
        <v>5</v>
      </c>
      <c r="D302" s="89">
        <v>2</v>
      </c>
      <c r="E302" s="89">
        <v>0.5</v>
      </c>
      <c r="F302" s="32">
        <f>ROUND(Costs!$B$3*B302+Costs!$B$4*C302+Costs!$B$5*D302+Costs!$B$6*E302,2)</f>
        <v>819.21</v>
      </c>
      <c r="G302" s="32" t="str">
        <f>Costs!$B$62</f>
        <v xml:space="preserve"> </v>
      </c>
      <c r="H302" s="32">
        <f>Costs!$B$19</f>
        <v>4.4000000000000004</v>
      </c>
      <c r="I302" s="86">
        <f>ROUND((O302*(Universe!C$6)),0)</f>
        <v>0</v>
      </c>
      <c r="J302" s="86">
        <f>ROUND((P302*Universe!C$2),0)</f>
        <v>0</v>
      </c>
      <c r="K302" s="87">
        <f>ROUND((B302+C302+D302+E302)*(I302+J302),2)</f>
        <v>0</v>
      </c>
      <c r="L302" s="32">
        <f>(I302+J302)*SUM(F302:H302)</f>
        <v>0</v>
      </c>
      <c r="M302" s="555"/>
      <c r="N302" s="165">
        <f>IF(I302=0,0,L302/(N302+I302))</f>
        <v>0</v>
      </c>
      <c r="O302" s="174">
        <v>0</v>
      </c>
      <c r="P302" s="167">
        <v>0</v>
      </c>
      <c r="Q302" s="167"/>
      <c r="R302" s="168">
        <f>F302*(I302+J302)</f>
        <v>0</v>
      </c>
      <c r="S302" s="168">
        <f>G302*(I302+J302)</f>
        <v>0</v>
      </c>
      <c r="T302" s="168">
        <f>H302*(I302+J302)</f>
        <v>0</v>
      </c>
      <c r="U302" s="188">
        <f>ROUND(((I302)*($B302+$C302+$D302+$E302))/(Universe!$C$6),2)</f>
        <v>0</v>
      </c>
      <c r="V302" s="188" t="e">
        <f>ROUND(((J302)*($B302+$C302+$D302+$E302))/(Universe!$C$2),2)</f>
        <v>#DIV/0!</v>
      </c>
      <c r="W302" s="167">
        <v>1</v>
      </c>
      <c r="X302" s="408">
        <f>IF(W302=1,U302,0)</f>
        <v>0</v>
      </c>
      <c r="Y302" s="408">
        <f>IF(W302=2,U302,0)</f>
        <v>0</v>
      </c>
      <c r="Z302" s="408" t="e">
        <f>IF(W302=1,V302,0)</f>
        <v>#DIV/0!</v>
      </c>
      <c r="AA302" s="408">
        <f>IF(W302=2,V302,0)</f>
        <v>0</v>
      </c>
      <c r="AE302" s="171">
        <f t="shared" ref="AE302:AF304" si="84">I302</f>
        <v>0</v>
      </c>
      <c r="AF302" s="171">
        <f t="shared" si="84"/>
        <v>0</v>
      </c>
    </row>
    <row r="303" spans="1:32" ht="20.399999999999999" x14ac:dyDescent="0.2">
      <c r="A303" s="146" t="s">
        <v>354</v>
      </c>
      <c r="B303" s="85">
        <v>0</v>
      </c>
      <c r="C303" s="89">
        <v>0</v>
      </c>
      <c r="D303" s="89">
        <v>0</v>
      </c>
      <c r="E303" s="89">
        <v>1</v>
      </c>
      <c r="F303" s="32">
        <f>ROUND(Costs!$B$3*B303+Costs!$B$4*C303+Costs!$B$5*D303+Costs!$B$6*E303,2)</f>
        <v>43.67</v>
      </c>
      <c r="G303" s="32" t="str">
        <f>Costs!$B$62</f>
        <v xml:space="preserve"> </v>
      </c>
      <c r="H303" s="32">
        <f>Costs!$B$19</f>
        <v>4.4000000000000004</v>
      </c>
      <c r="I303" s="86">
        <f>ROUND((O303*(Universe!C$6)),0)</f>
        <v>0</v>
      </c>
      <c r="J303" s="86">
        <f>ROUND((P303*Universe!C$2),0)</f>
        <v>0</v>
      </c>
      <c r="K303" s="87">
        <f>ROUND((B303+C303+D303+E303)*(I303+J303),2)</f>
        <v>0</v>
      </c>
      <c r="L303" s="32">
        <f>(I303+J303)*SUM(F303:H303)</f>
        <v>0</v>
      </c>
      <c r="M303" s="555"/>
      <c r="N303" s="165">
        <f>IF(I303=0,0,L303/(N303+I303))</f>
        <v>0</v>
      </c>
      <c r="O303" s="174">
        <v>0</v>
      </c>
      <c r="P303" s="167">
        <v>0</v>
      </c>
      <c r="Q303" s="167"/>
      <c r="R303" s="168">
        <f>F303*(I303+J303)</f>
        <v>0</v>
      </c>
      <c r="S303" s="168">
        <f>G303*(I303+J303)</f>
        <v>0</v>
      </c>
      <c r="T303" s="168">
        <f>H303*(I303+J303)</f>
        <v>0</v>
      </c>
      <c r="U303" s="188">
        <f>ROUND(((I303)*($B303+$C303+$D303+$E303))/(Universe!$C$6),2)</f>
        <v>0</v>
      </c>
      <c r="V303" s="188" t="e">
        <f>ROUND(((J303)*($B303+$C303+$D303+$E303))/(Universe!$C$2),2)</f>
        <v>#DIV/0!</v>
      </c>
      <c r="W303" s="167">
        <v>1</v>
      </c>
      <c r="X303" s="408">
        <f>IF(W303=1,U303,0)</f>
        <v>0</v>
      </c>
      <c r="Y303" s="408">
        <f>IF(W303=2,U303,0)</f>
        <v>0</v>
      </c>
      <c r="Z303" s="408" t="e">
        <f>IF(W303=1,V303,0)</f>
        <v>#DIV/0!</v>
      </c>
      <c r="AA303" s="408">
        <f>IF(W303=2,V303,0)</f>
        <v>0</v>
      </c>
      <c r="AE303" s="171">
        <f t="shared" si="84"/>
        <v>0</v>
      </c>
      <c r="AF303" s="171">
        <f t="shared" si="84"/>
        <v>0</v>
      </c>
    </row>
    <row r="304" spans="1:32" ht="21" thickBot="1" x14ac:dyDescent="0.25">
      <c r="A304" s="189" t="s">
        <v>355</v>
      </c>
      <c r="B304" s="190">
        <v>0.75</v>
      </c>
      <c r="C304" s="207">
        <v>0.25</v>
      </c>
      <c r="D304" s="207">
        <v>0.75</v>
      </c>
      <c r="E304" s="207">
        <v>0.25</v>
      </c>
      <c r="F304" s="191">
        <f>Costs!$B$3*B304+Costs!$B$4*C304+Costs!$B$5*D304+Costs!$B$6*E304</f>
        <v>213.41249999999999</v>
      </c>
      <c r="G304" s="191" t="str">
        <f>Costs!$B$62</f>
        <v xml:space="preserve"> </v>
      </c>
      <c r="H304" s="191">
        <f>Costs!$B$19</f>
        <v>4.4000000000000004</v>
      </c>
      <c r="I304" s="192">
        <f>ROUND((O304*(Universe!C$6)),0)</f>
        <v>0</v>
      </c>
      <c r="J304" s="192">
        <f>ROUND((P304*Universe!C$2),0)</f>
        <v>0</v>
      </c>
      <c r="K304" s="193">
        <f>ROUND((B304+C304+D304+E304)*(I304+J304),2)</f>
        <v>0</v>
      </c>
      <c r="L304" s="191">
        <f>(I304+J304)*SUM(F304:H304)</f>
        <v>0</v>
      </c>
      <c r="M304" s="555"/>
      <c r="N304" s="165">
        <f>IF(I304=0,0,L304/(N304+I304))</f>
        <v>0</v>
      </c>
      <c r="O304" s="174">
        <v>0</v>
      </c>
      <c r="P304" s="167">
        <v>0</v>
      </c>
      <c r="Q304" s="167"/>
      <c r="R304" s="168">
        <f>F304*(I304+J304)</f>
        <v>0</v>
      </c>
      <c r="S304" s="168">
        <f>G304*(I304+J304)</f>
        <v>0</v>
      </c>
      <c r="T304" s="168">
        <f>H304*(I304+J304)</f>
        <v>0</v>
      </c>
      <c r="U304" s="188">
        <f>ROUND(((I304)*($B304+$C304+$D304+$E304))/(Universe!$C$6),2)</f>
        <v>0</v>
      </c>
      <c r="V304" s="188" t="e">
        <f>ROUND(((J304)*($B304+$C304+$D304+$E304))/(Universe!$C$2),2)</f>
        <v>#DIV/0!</v>
      </c>
      <c r="W304" s="167">
        <v>1</v>
      </c>
      <c r="X304" s="408">
        <f>IF(W304=1,U304,0)</f>
        <v>0</v>
      </c>
      <c r="Y304" s="408">
        <f>IF(W304=2,U304,0)</f>
        <v>0</v>
      </c>
      <c r="Z304" s="408" t="e">
        <f>IF(W304=1,V304,0)</f>
        <v>#DIV/0!</v>
      </c>
      <c r="AA304" s="408">
        <f>IF(W304=2,V304,0)</f>
        <v>0</v>
      </c>
      <c r="AE304" s="171">
        <f t="shared" si="84"/>
        <v>0</v>
      </c>
      <c r="AF304" s="171">
        <f t="shared" si="84"/>
        <v>0</v>
      </c>
    </row>
    <row r="305" spans="1:27" ht="10.8" thickBot="1" x14ac:dyDescent="0.25">
      <c r="A305" s="200" t="s">
        <v>596</v>
      </c>
      <c r="B305" s="201" t="s">
        <v>597</v>
      </c>
      <c r="C305" s="201" t="s">
        <v>597</v>
      </c>
      <c r="D305" s="201" t="s">
        <v>597</v>
      </c>
      <c r="E305" s="201" t="s">
        <v>597</v>
      </c>
      <c r="F305" s="201" t="s">
        <v>597</v>
      </c>
      <c r="G305" s="201" t="s">
        <v>597</v>
      </c>
      <c r="H305" s="201" t="s">
        <v>597</v>
      </c>
      <c r="I305" s="202" t="s">
        <v>597</v>
      </c>
      <c r="J305" s="202" t="s">
        <v>597</v>
      </c>
      <c r="K305" s="203">
        <f>SUM(K302:K304)</f>
        <v>0</v>
      </c>
      <c r="L305" s="204">
        <f>SUM(L302:L304)</f>
        <v>0</v>
      </c>
      <c r="M305" s="555"/>
      <c r="N305" s="169" t="s">
        <v>597</v>
      </c>
      <c r="P305" s="171"/>
      <c r="Q305" s="171"/>
      <c r="R305" s="203">
        <f>SUM(R302:R304)</f>
        <v>0</v>
      </c>
      <c r="S305" s="203">
        <f>SUM(S302:S304)</f>
        <v>0</v>
      </c>
      <c r="T305" s="203">
        <f>SUM(T302:T304)</f>
        <v>0</v>
      </c>
      <c r="U305" s="188"/>
      <c r="V305" s="166"/>
      <c r="X305" s="203">
        <f>SUM(X302:X304)</f>
        <v>0</v>
      </c>
      <c r="Y305" s="203">
        <f>SUM(Y302:Y304)</f>
        <v>0</v>
      </c>
      <c r="Z305" s="203" t="e">
        <f>SUM(Z302:Z304)</f>
        <v>#DIV/0!</v>
      </c>
      <c r="AA305" s="203">
        <f>SUM(AA302:AA304)</f>
        <v>0</v>
      </c>
    </row>
    <row r="306" spans="1:27" ht="10.8" thickBot="1" x14ac:dyDescent="0.25">
      <c r="A306" s="200" t="s">
        <v>567</v>
      </c>
      <c r="B306" s="201" t="s">
        <v>597</v>
      </c>
      <c r="C306" s="201" t="s">
        <v>597</v>
      </c>
      <c r="D306" s="201" t="s">
        <v>597</v>
      </c>
      <c r="E306" s="201" t="s">
        <v>597</v>
      </c>
      <c r="F306" s="201" t="s">
        <v>597</v>
      </c>
      <c r="G306" s="201" t="s">
        <v>597</v>
      </c>
      <c r="H306" s="201" t="s">
        <v>597</v>
      </c>
      <c r="I306" s="202" t="s">
        <v>597</v>
      </c>
      <c r="J306" s="202" t="s">
        <v>597</v>
      </c>
      <c r="K306" s="203">
        <f>K197+K201+K205+K212+K220+K228+K236+K246+K263+K255+K264+K275+K280+K284+K261+K288+K293+K296+K300+K305</f>
        <v>655</v>
      </c>
      <c r="L306" s="204">
        <f>L197+L201+L205+L212+L220+L228+L236+L246+L251+L255+L264+L275+L280+L284+L261+L288+L293+L296+L300+L305</f>
        <v>44666.360000000008</v>
      </c>
      <c r="M306" s="555"/>
      <c r="N306" s="169" t="s">
        <v>597</v>
      </c>
      <c r="P306" s="171"/>
      <c r="Q306" s="171"/>
      <c r="R306" s="203">
        <f>R197+R201+R205+R212+R220+R228+R236+R246+R263+R255+R264+R275+R280+R284+R261+R288+R293+R296+R300+R305</f>
        <v>44397.959999999992</v>
      </c>
      <c r="S306" s="203">
        <f>S197+S201+S205+S212+S220+S228+S236+S246+S263+S255+S264+S275+S280+S284+S261+S288+S293+S296+S300+S305</f>
        <v>0</v>
      </c>
      <c r="T306" s="203">
        <f>T197+T201+T205+T212+T220+T228+T236+T246+T263+T255+T264+T275+T280+T284+T261+T288+T293+T296+T300+T305</f>
        <v>268.40000000000003</v>
      </c>
      <c r="U306" s="188"/>
      <c r="V306" s="166"/>
      <c r="X306" s="203">
        <f>X197+X201+X205+X212+X220+X228+X236+X246+X263+X255+X264+X275+X280+X284+X261+X288+X293+X296+X300+X305</f>
        <v>7.6899999999999995</v>
      </c>
      <c r="Y306" s="203">
        <f>Y197+Y201+Y205+Y212+Y220+Y228+Y236+Y246+Y263+Y255+Y264+Y275+Y280+Y284+Y261+Y288+Y293+Y296+Y300+Y305</f>
        <v>360.5</v>
      </c>
      <c r="Z306" s="203" t="e">
        <f>Z197+Z201+Z205+Z212+Z220+Z228+Z236+Z246+Z263+Z255+Z264+Z275+Z280+Z284+Z261+Z288+Z293+Z296+Z300+Z305</f>
        <v>#DIV/0!</v>
      </c>
      <c r="AA306" s="203" t="e">
        <f>AA197+AA201+AA205+AA212+AA220+AA228+AA236+AA246+AA263+AA255+AA264+AA275+AA280+AA284+AA261+AA288+AA293+AA296+AA300+AA305</f>
        <v>#DIV/0!</v>
      </c>
    </row>
    <row r="307" spans="1:27" x14ac:dyDescent="0.2">
      <c r="B307" s="20"/>
      <c r="F307" s="34"/>
      <c r="G307" s="34"/>
      <c r="I307" s="19"/>
      <c r="U307" s="188"/>
      <c r="V307" s="166"/>
      <c r="X307" s="410"/>
      <c r="Y307" s="410"/>
    </row>
    <row r="308" spans="1:27" x14ac:dyDescent="0.2">
      <c r="B308" s="20"/>
      <c r="F308" s="34"/>
      <c r="G308" s="34"/>
      <c r="I308" s="19"/>
      <c r="U308" s="188"/>
      <c r="V308" s="166"/>
    </row>
    <row r="309" spans="1:27" x14ac:dyDescent="0.2">
      <c r="B309" s="20"/>
      <c r="F309" s="34"/>
      <c r="G309" s="34"/>
      <c r="I309" s="19"/>
      <c r="U309" s="188"/>
      <c r="V309" s="166"/>
      <c r="X309" s="410"/>
      <c r="Y309" s="410"/>
    </row>
    <row r="310" spans="1:27" x14ac:dyDescent="0.2">
      <c r="B310" s="20"/>
      <c r="F310" s="34"/>
      <c r="G310" s="34"/>
      <c r="I310" s="19"/>
      <c r="U310" s="188"/>
      <c r="V310" s="166"/>
    </row>
    <row r="311" spans="1:27" ht="18" x14ac:dyDescent="0.35">
      <c r="A311" s="568" t="s">
        <v>695</v>
      </c>
      <c r="B311" s="18"/>
      <c r="F311" s="34"/>
      <c r="G311" s="34"/>
      <c r="I311" s="17"/>
      <c r="J311" s="17"/>
      <c r="U311" s="188"/>
      <c r="V311" s="166"/>
    </row>
    <row r="312" spans="1:27" ht="18" x14ac:dyDescent="0.35">
      <c r="A312" s="568" t="s">
        <v>599</v>
      </c>
      <c r="B312" s="18"/>
      <c r="F312" s="34"/>
      <c r="G312" s="34"/>
      <c r="U312" s="188"/>
      <c r="V312" s="166"/>
    </row>
    <row r="313" spans="1:27" ht="18" x14ac:dyDescent="0.35">
      <c r="A313" s="568" t="s">
        <v>675</v>
      </c>
      <c r="B313" s="18"/>
      <c r="F313" s="34"/>
      <c r="G313" s="34"/>
      <c r="I313" s="17"/>
      <c r="J313" s="17"/>
      <c r="U313" s="188"/>
      <c r="V313" s="166"/>
    </row>
    <row r="314" spans="1:27" ht="18" x14ac:dyDescent="0.35">
      <c r="A314" s="568" t="s">
        <v>601</v>
      </c>
      <c r="F314" s="34"/>
      <c r="G314" s="34"/>
      <c r="X314" s="412"/>
      <c r="Y314" s="412"/>
    </row>
    <row r="315" spans="1:27" x14ac:dyDescent="0.2">
      <c r="B315" s="18"/>
      <c r="F315" s="34"/>
      <c r="G315" s="34"/>
      <c r="I315" s="17"/>
      <c r="J315" s="17"/>
      <c r="U315" s="188"/>
      <c r="V315" s="166"/>
      <c r="X315" s="413"/>
      <c r="Y315" s="413"/>
    </row>
    <row r="316" spans="1:27" x14ac:dyDescent="0.2">
      <c r="I316" s="57" t="s">
        <v>602</v>
      </c>
      <c r="J316" s="58"/>
      <c r="K316" s="64"/>
      <c r="P316" s="161"/>
      <c r="Q316" s="161"/>
      <c r="R316" s="161"/>
      <c r="U316" s="188"/>
      <c r="V316" s="166"/>
      <c r="X316" s="412"/>
      <c r="Y316" s="412"/>
    </row>
    <row r="317" spans="1:27" x14ac:dyDescent="0.2">
      <c r="B317" s="57" t="s">
        <v>576</v>
      </c>
      <c r="C317" s="58"/>
      <c r="D317" s="58"/>
      <c r="E317" s="58"/>
      <c r="F317" s="61"/>
      <c r="G317" s="58"/>
      <c r="H317" s="60"/>
      <c r="I317" s="57" t="s">
        <v>593</v>
      </c>
      <c r="J317" s="58"/>
      <c r="K317" s="66" t="s">
        <v>577</v>
      </c>
      <c r="L317" s="60"/>
      <c r="M317" s="63"/>
      <c r="P317" s="161"/>
      <c r="Q317" s="161"/>
      <c r="R317" s="161"/>
      <c r="U317" s="188"/>
      <c r="V317" s="166"/>
    </row>
    <row r="318" spans="1:27" x14ac:dyDescent="0.2">
      <c r="B318" s="54"/>
      <c r="C318" s="51"/>
      <c r="D318" s="51"/>
      <c r="E318" s="51"/>
      <c r="F318" s="52"/>
      <c r="G318" s="51"/>
      <c r="H318" s="53"/>
      <c r="I318" s="55"/>
      <c r="J318" s="56"/>
      <c r="K318" s="67"/>
      <c r="L318" s="56"/>
      <c r="M318" s="33"/>
      <c r="P318" s="162"/>
      <c r="Q318" s="162"/>
      <c r="R318" s="162"/>
      <c r="U318" s="188"/>
      <c r="V318" s="166"/>
    </row>
    <row r="319" spans="1:27" x14ac:dyDescent="0.2">
      <c r="B319" s="19" t="s">
        <v>569</v>
      </c>
      <c r="C319" s="19" t="s">
        <v>570</v>
      </c>
      <c r="D319" s="19" t="s">
        <v>571</v>
      </c>
      <c r="E319" s="19" t="s">
        <v>572</v>
      </c>
      <c r="F319" s="28" t="s">
        <v>578</v>
      </c>
      <c r="G319" s="19" t="s">
        <v>579</v>
      </c>
      <c r="K319" s="68" t="s">
        <v>580</v>
      </c>
      <c r="L319" s="35" t="s">
        <v>580</v>
      </c>
      <c r="M319" s="35"/>
      <c r="N319" s="173"/>
      <c r="S319" s="173"/>
      <c r="T319" s="173"/>
      <c r="U319" s="188"/>
      <c r="V319" s="166"/>
    </row>
    <row r="320" spans="1:27" x14ac:dyDescent="0.2">
      <c r="B320" s="10">
        <f>Costs!$B$3</f>
        <v>164.9</v>
      </c>
      <c r="C320" s="10">
        <f>Costs!$B$4</f>
        <v>97.45</v>
      </c>
      <c r="D320" s="10">
        <f>Costs!$B$5</f>
        <v>72.61</v>
      </c>
      <c r="E320" s="10">
        <f>Costs!$B$6</f>
        <v>43.67</v>
      </c>
      <c r="F320" s="28" t="s">
        <v>583</v>
      </c>
      <c r="G320" s="19" t="s">
        <v>584</v>
      </c>
      <c r="H320" s="35" t="s">
        <v>585</v>
      </c>
      <c r="J320" s="19" t="s">
        <v>604</v>
      </c>
      <c r="K320" s="68" t="s">
        <v>582</v>
      </c>
      <c r="L320" s="35" t="s">
        <v>583</v>
      </c>
      <c r="M320" s="35"/>
      <c r="N320" s="173"/>
      <c r="S320" s="173"/>
      <c r="T320" s="173"/>
      <c r="U320" s="188"/>
      <c r="V320" s="166"/>
    </row>
    <row r="321" spans="1:33" x14ac:dyDescent="0.2">
      <c r="A321" s="20" t="s">
        <v>588</v>
      </c>
      <c r="B321" s="19" t="s">
        <v>590</v>
      </c>
      <c r="C321" s="19" t="s">
        <v>590</v>
      </c>
      <c r="D321" s="19" t="s">
        <v>590</v>
      </c>
      <c r="E321" s="19" t="s">
        <v>590</v>
      </c>
      <c r="F321" s="28" t="s">
        <v>607</v>
      </c>
      <c r="G321" s="19" t="s">
        <v>592</v>
      </c>
      <c r="H321" s="35" t="s">
        <v>592</v>
      </c>
      <c r="I321" s="19" t="s">
        <v>574</v>
      </c>
      <c r="J321" s="19" t="s">
        <v>606</v>
      </c>
      <c r="K321" s="68" t="s">
        <v>591</v>
      </c>
      <c r="L321" s="35" t="s">
        <v>591</v>
      </c>
      <c r="M321" s="35"/>
      <c r="N321" s="173"/>
      <c r="S321" s="173"/>
      <c r="T321" s="173"/>
      <c r="U321" s="188"/>
      <c r="V321" s="166"/>
    </row>
    <row r="322" spans="1:33" x14ac:dyDescent="0.2">
      <c r="A322" s="148" t="s">
        <v>676</v>
      </c>
      <c r="B322" s="150"/>
      <c r="C322" s="150"/>
      <c r="D322" s="150"/>
      <c r="E322" s="150"/>
      <c r="F322" s="153"/>
      <c r="G322" s="153"/>
      <c r="H322" s="153"/>
      <c r="I322" s="150"/>
      <c r="J322" s="150"/>
      <c r="K322" s="157"/>
      <c r="L322" s="158"/>
      <c r="M322" s="556"/>
      <c r="N322" s="172"/>
      <c r="U322" s="188"/>
      <c r="V322" s="166"/>
    </row>
    <row r="323" spans="1:33" ht="20.399999999999999" x14ac:dyDescent="0.2">
      <c r="A323" s="146" t="s">
        <v>356</v>
      </c>
      <c r="B323" s="85">
        <v>0</v>
      </c>
      <c r="C323" s="85">
        <v>0.25</v>
      </c>
      <c r="D323" s="85">
        <v>1</v>
      </c>
      <c r="E323" s="85">
        <v>0.25</v>
      </c>
      <c r="F323" s="32">
        <f>ROUND(Costs!$B$3*B323+Costs!$B$4*C323+Costs!$B$5*D323+Costs!$B$6*E323,2)</f>
        <v>107.89</v>
      </c>
      <c r="G323" s="32" t="str">
        <f>Costs!$B$62</f>
        <v xml:space="preserve"> </v>
      </c>
      <c r="H323" s="32">
        <f>Costs!$B$19</f>
        <v>4.4000000000000004</v>
      </c>
      <c r="I323" s="86">
        <f>ROUND((O323*(Universe!C$6)),0)</f>
        <v>11</v>
      </c>
      <c r="J323" s="88" t="s">
        <v>677</v>
      </c>
      <c r="K323" s="87">
        <f t="shared" ref="K323:K332" si="85">ROUND((B323+C323+D323+E323)*(I323+J323),2)</f>
        <v>16.5</v>
      </c>
      <c r="L323" s="32">
        <f t="shared" ref="L323:L332" si="86">(I323+J323)*SUM(F323:H323)</f>
        <v>1235.19</v>
      </c>
      <c r="M323" s="555"/>
      <c r="N323" s="165">
        <f>L323/(I323+J323)</f>
        <v>112.29</v>
      </c>
      <c r="O323" s="167">
        <v>0.3</v>
      </c>
      <c r="P323" s="167">
        <v>0</v>
      </c>
      <c r="Q323" s="167"/>
      <c r="R323" s="168">
        <f t="shared" ref="R323:R332" si="87">F323*(I323+J323)</f>
        <v>1186.79</v>
      </c>
      <c r="S323" s="168">
        <f t="shared" ref="S323:S332" si="88">G323*(I323+J323)</f>
        <v>0</v>
      </c>
      <c r="T323" s="168">
        <f t="shared" ref="T323:T332" si="89">H323*(I323+J323)</f>
        <v>48.400000000000006</v>
      </c>
      <c r="U323" s="188">
        <f>ROUND(((I323)*($B323+$C323+$D323+$E323))/(Universe!$C$6),2)</f>
        <v>0.46</v>
      </c>
      <c r="V323" s="188" t="e">
        <f>ROUND(((J323)*($B323+$C323+$D323+$E323))/(Universe!$C$2),2)</f>
        <v>#DIV/0!</v>
      </c>
      <c r="W323" s="167">
        <v>1</v>
      </c>
      <c r="X323" s="408">
        <f>IF(W323=1,U323,0)</f>
        <v>0.46</v>
      </c>
      <c r="Y323" s="408">
        <f>IF(W323=2,U323,0)</f>
        <v>0</v>
      </c>
      <c r="Z323" s="408" t="e">
        <f>IF(W323=1,V323,0)</f>
        <v>#DIV/0!</v>
      </c>
      <c r="AA323" s="408">
        <f>IF(W323=2,V323,0)</f>
        <v>0</v>
      </c>
      <c r="AE323" s="171">
        <f t="shared" ref="AE323:AE332" si="90">I323</f>
        <v>11</v>
      </c>
      <c r="AF323" s="171" t="str">
        <f t="shared" ref="AF323:AF332" si="91">J323</f>
        <v>N/A</v>
      </c>
    </row>
    <row r="324" spans="1:33" ht="20.399999999999999" x14ac:dyDescent="0.2">
      <c r="A324" s="146" t="s">
        <v>357</v>
      </c>
      <c r="B324" s="85">
        <v>0</v>
      </c>
      <c r="C324" s="85">
        <v>0.25</v>
      </c>
      <c r="D324" s="85">
        <v>1</v>
      </c>
      <c r="E324" s="85">
        <v>0.25</v>
      </c>
      <c r="F324" s="32">
        <f>ROUND(Costs!$B$3*B324+Costs!$B$4*C324+Costs!$B$5*D324+Costs!$B$6*E324,2)</f>
        <v>107.89</v>
      </c>
      <c r="G324" s="32" t="str">
        <f>Costs!$B$62</f>
        <v xml:space="preserve"> </v>
      </c>
      <c r="H324" s="32">
        <f>Costs!$B$19</f>
        <v>4.4000000000000004</v>
      </c>
      <c r="I324" s="86">
        <f>ROUND((O324*(Universe!C$6)),0)</f>
        <v>2</v>
      </c>
      <c r="J324" s="88" t="s">
        <v>677</v>
      </c>
      <c r="K324" s="87">
        <f t="shared" si="85"/>
        <v>3</v>
      </c>
      <c r="L324" s="32">
        <f t="shared" si="86"/>
        <v>224.58</v>
      </c>
      <c r="M324" s="555"/>
      <c r="N324" s="165">
        <f>L324/(I324+J324)</f>
        <v>112.29</v>
      </c>
      <c r="O324" s="167">
        <v>0.05</v>
      </c>
      <c r="P324" s="167">
        <v>0</v>
      </c>
      <c r="Q324" s="167"/>
      <c r="R324" s="168">
        <f t="shared" si="87"/>
        <v>215.78</v>
      </c>
      <c r="S324" s="168">
        <f t="shared" si="88"/>
        <v>0</v>
      </c>
      <c r="T324" s="168">
        <f t="shared" si="89"/>
        <v>8.8000000000000007</v>
      </c>
      <c r="U324" s="188">
        <f>ROUND(((I324)*($B324+$C324+$D324+$E324))/(Universe!$C$6),2)</f>
        <v>0.08</v>
      </c>
      <c r="V324" s="188" t="e">
        <f>ROUND(((J324)*($B324+$C324+$D324+$E324))/(Universe!$C$2),2)</f>
        <v>#DIV/0!</v>
      </c>
      <c r="W324" s="167">
        <v>1</v>
      </c>
      <c r="X324" s="408">
        <f>IF(W324=1,U324,0)</f>
        <v>0.08</v>
      </c>
      <c r="Y324" s="408">
        <f>IF(W324=2,U324,0)</f>
        <v>0</v>
      </c>
      <c r="Z324" s="408" t="e">
        <f>IF(W324=1,V324,0)</f>
        <v>#DIV/0!</v>
      </c>
      <c r="AA324" s="408">
        <f>IF(W324=2,V324,0)</f>
        <v>0</v>
      </c>
      <c r="AE324" s="171">
        <f t="shared" si="90"/>
        <v>2</v>
      </c>
      <c r="AF324" s="171" t="str">
        <f t="shared" si="91"/>
        <v>N/A</v>
      </c>
    </row>
    <row r="325" spans="1:33" ht="30.6" x14ac:dyDescent="0.2">
      <c r="A325" s="146" t="s">
        <v>358</v>
      </c>
      <c r="B325" s="85">
        <v>0</v>
      </c>
      <c r="C325" s="85">
        <v>0.25</v>
      </c>
      <c r="D325" s="85">
        <v>1</v>
      </c>
      <c r="E325" s="85">
        <v>0.25</v>
      </c>
      <c r="F325" s="32">
        <f>ROUND(Costs!$B$3*B325+Costs!$B$4*C325+Costs!$B$5*D325+Costs!$B$6*E325,2)</f>
        <v>107.89</v>
      </c>
      <c r="G325" s="32" t="str">
        <f>Costs!$B$62</f>
        <v xml:space="preserve"> </v>
      </c>
      <c r="H325" s="32">
        <f>Costs!$B$19</f>
        <v>4.4000000000000004</v>
      </c>
      <c r="I325" s="86">
        <f>I324*0.5</f>
        <v>1</v>
      </c>
      <c r="J325" s="88" t="s">
        <v>677</v>
      </c>
      <c r="K325" s="87">
        <f t="shared" si="85"/>
        <v>1.5</v>
      </c>
      <c r="L325" s="32">
        <f t="shared" si="86"/>
        <v>112.29</v>
      </c>
      <c r="M325" s="555"/>
      <c r="N325" s="165">
        <f>IF(I325=0,0,L325/(J325+I325))</f>
        <v>112.29</v>
      </c>
      <c r="P325" s="167">
        <v>0</v>
      </c>
      <c r="Q325" s="167"/>
      <c r="R325" s="168">
        <f t="shared" si="87"/>
        <v>107.89</v>
      </c>
      <c r="S325" s="168">
        <f t="shared" si="88"/>
        <v>0</v>
      </c>
      <c r="T325" s="168">
        <f t="shared" si="89"/>
        <v>4.4000000000000004</v>
      </c>
      <c r="U325" s="188">
        <f>ROUND(((I325)*($B325+$C325+$D325+$E325))/(Universe!$C$6),2)</f>
        <v>0.04</v>
      </c>
      <c r="V325" s="188" t="e">
        <f>ROUND(((J325)*($B325+$C325+$D325+$E325))/(Universe!$C$2),2)</f>
        <v>#DIV/0!</v>
      </c>
      <c r="W325" s="167">
        <v>1</v>
      </c>
      <c r="X325" s="408">
        <f>IF(W325=1,U325,0)</f>
        <v>0.04</v>
      </c>
      <c r="Y325" s="408">
        <f>IF(W325=2,U325,0)</f>
        <v>0</v>
      </c>
      <c r="Z325" s="408" t="e">
        <f>IF(W325=1,V325,0)</f>
        <v>#DIV/0!</v>
      </c>
      <c r="AA325" s="408">
        <f>IF(W325=2,V325,0)</f>
        <v>0</v>
      </c>
      <c r="AE325" s="171">
        <f t="shared" si="90"/>
        <v>1</v>
      </c>
      <c r="AF325" s="171" t="str">
        <f t="shared" si="91"/>
        <v>N/A</v>
      </c>
    </row>
    <row r="326" spans="1:33" ht="20.399999999999999" x14ac:dyDescent="0.2">
      <c r="A326" s="146" t="s">
        <v>678</v>
      </c>
      <c r="B326" s="85">
        <v>0</v>
      </c>
      <c r="C326" s="85">
        <v>0.25</v>
      </c>
      <c r="D326" s="85">
        <v>1</v>
      </c>
      <c r="E326" s="85">
        <v>0.25</v>
      </c>
      <c r="F326" s="32">
        <f>ROUND(Costs!$B$3*B326+Costs!$B$4*C326+Costs!$B$5*D326+Costs!$B$6*E326,2)</f>
        <v>107.89</v>
      </c>
      <c r="G326" s="32" t="str">
        <f>Costs!$B$62</f>
        <v xml:space="preserve"> </v>
      </c>
      <c r="H326" s="32">
        <f>Costs!$B$19</f>
        <v>4.4000000000000004</v>
      </c>
      <c r="I326" s="86">
        <f>ROUND(I325*0.5,0)</f>
        <v>1</v>
      </c>
      <c r="J326" s="88" t="s">
        <v>677</v>
      </c>
      <c r="K326" s="87">
        <f t="shared" si="85"/>
        <v>1.5</v>
      </c>
      <c r="L326" s="32">
        <f t="shared" si="86"/>
        <v>112.29</v>
      </c>
      <c r="M326" s="555"/>
      <c r="N326" s="165">
        <f>IF(I326=0,0,L326/(J326+I326))</f>
        <v>112.29</v>
      </c>
      <c r="P326" s="167">
        <v>0</v>
      </c>
      <c r="Q326" s="167"/>
      <c r="R326" s="168">
        <f t="shared" si="87"/>
        <v>107.89</v>
      </c>
      <c r="S326" s="168">
        <f t="shared" si="88"/>
        <v>0</v>
      </c>
      <c r="T326" s="168">
        <f t="shared" si="89"/>
        <v>4.4000000000000004</v>
      </c>
      <c r="U326" s="188">
        <f>ROUND(((I326)*($B326+$C326+$D326+$E326))/(Universe!$C$6),2)</f>
        <v>0.04</v>
      </c>
      <c r="V326" s="188" t="e">
        <f>ROUND(((J326)*($B326+$C326+$D326+$E326))/(Universe!$C$2),2)</f>
        <v>#DIV/0!</v>
      </c>
      <c r="W326" s="167">
        <v>1</v>
      </c>
      <c r="X326" s="408">
        <f t="shared" ref="X326:X332" si="92">IF(W326=1,U326,0)</f>
        <v>0.04</v>
      </c>
      <c r="Y326" s="408">
        <f t="shared" ref="Y326:Y332" si="93">IF(W326=2,U326,0)</f>
        <v>0</v>
      </c>
      <c r="Z326" s="408" t="e">
        <f t="shared" ref="Z326:Z332" si="94">IF(W326=1,V326,0)</f>
        <v>#DIV/0!</v>
      </c>
      <c r="AA326" s="408">
        <f t="shared" ref="AA326:AA332" si="95">IF(W326=2,V326,0)</f>
        <v>0</v>
      </c>
      <c r="AE326" s="171">
        <f t="shared" si="90"/>
        <v>1</v>
      </c>
      <c r="AF326" s="171" t="str">
        <f t="shared" si="91"/>
        <v>N/A</v>
      </c>
    </row>
    <row r="327" spans="1:33" x14ac:dyDescent="0.2">
      <c r="A327" s="146" t="s">
        <v>679</v>
      </c>
      <c r="B327" s="85">
        <v>0</v>
      </c>
      <c r="C327" s="85">
        <v>0.25</v>
      </c>
      <c r="D327" s="85">
        <v>8</v>
      </c>
      <c r="E327" s="85">
        <v>0.25</v>
      </c>
      <c r="F327" s="32">
        <f>ROUND(Costs!$B$3*B327+Costs!$B$4*C327+Costs!$B$5*D327+Costs!$B$6*E327,2)</f>
        <v>616.16</v>
      </c>
      <c r="G327" s="32" t="str">
        <f>Costs!$B$62</f>
        <v xml:space="preserve"> </v>
      </c>
      <c r="H327" s="32">
        <f>Costs!$B$19</f>
        <v>4.4000000000000004</v>
      </c>
      <c r="I327" s="86">
        <f>ROUND((O327*(Universe!C$6)),0)</f>
        <v>36</v>
      </c>
      <c r="J327" s="88" t="s">
        <v>677</v>
      </c>
      <c r="K327" s="87">
        <f t="shared" si="85"/>
        <v>306</v>
      </c>
      <c r="L327" s="32">
        <f t="shared" si="86"/>
        <v>22340.159999999996</v>
      </c>
      <c r="M327" s="555"/>
      <c r="N327" s="165">
        <f t="shared" ref="N327:N332" si="96">L327/(I327+J327)</f>
        <v>620.55999999999995</v>
      </c>
      <c r="O327" s="167">
        <v>1</v>
      </c>
      <c r="P327" s="167">
        <v>0</v>
      </c>
      <c r="Q327" s="167"/>
      <c r="R327" s="168">
        <f t="shared" si="87"/>
        <v>22181.759999999998</v>
      </c>
      <c r="S327" s="168">
        <f t="shared" si="88"/>
        <v>0</v>
      </c>
      <c r="T327" s="168">
        <f t="shared" si="89"/>
        <v>158.4</v>
      </c>
      <c r="U327" s="188">
        <f>ROUND(((I327)*($B327+$C327+$D327+$E327))/(Universe!$C$6),2)</f>
        <v>8.5</v>
      </c>
      <c r="V327" s="188" t="e">
        <f>ROUND(((J327)*($B327+$C327+$D327+$E327))/(Universe!$C$2),2)</f>
        <v>#DIV/0!</v>
      </c>
      <c r="W327" s="167">
        <v>1</v>
      </c>
      <c r="X327" s="408">
        <f t="shared" si="92"/>
        <v>8.5</v>
      </c>
      <c r="Y327" s="408">
        <f t="shared" si="93"/>
        <v>0</v>
      </c>
      <c r="Z327" s="408" t="e">
        <f t="shared" si="94"/>
        <v>#DIV/0!</v>
      </c>
      <c r="AA327" s="408">
        <f t="shared" si="95"/>
        <v>0</v>
      </c>
      <c r="AE327" s="171">
        <f t="shared" si="90"/>
        <v>36</v>
      </c>
      <c r="AF327" s="171" t="str">
        <f t="shared" si="91"/>
        <v>N/A</v>
      </c>
    </row>
    <row r="328" spans="1:33" ht="20.399999999999999" x14ac:dyDescent="0.2">
      <c r="A328" s="146" t="s">
        <v>359</v>
      </c>
      <c r="B328" s="85">
        <v>0</v>
      </c>
      <c r="C328" s="85">
        <v>0.25</v>
      </c>
      <c r="D328" s="85">
        <v>2</v>
      </c>
      <c r="E328" s="85">
        <v>1</v>
      </c>
      <c r="F328" s="32">
        <f>ROUND(Costs!$B$3*B328+Costs!$B$4*C328+Costs!$B$5*D328+Costs!$B$6*E328,2)</f>
        <v>213.25</v>
      </c>
      <c r="G328" s="32" t="str">
        <f>Costs!$B$62</f>
        <v xml:space="preserve"> </v>
      </c>
      <c r="H328" s="32">
        <f>Costs!$B$19</f>
        <v>4.4000000000000004</v>
      </c>
      <c r="I328" s="86">
        <f>ROUND((O328*(Universe!C$6)),0)</f>
        <v>4</v>
      </c>
      <c r="J328" s="88" t="s">
        <v>677</v>
      </c>
      <c r="K328" s="87">
        <f t="shared" si="85"/>
        <v>13</v>
      </c>
      <c r="L328" s="32">
        <f t="shared" si="86"/>
        <v>870.6</v>
      </c>
      <c r="M328" s="555"/>
      <c r="N328" s="165">
        <f t="shared" si="96"/>
        <v>217.65</v>
      </c>
      <c r="O328" s="167">
        <v>0.1</v>
      </c>
      <c r="P328" s="167">
        <v>0</v>
      </c>
      <c r="Q328" s="167"/>
      <c r="R328" s="168">
        <f t="shared" si="87"/>
        <v>853</v>
      </c>
      <c r="S328" s="168">
        <f t="shared" si="88"/>
        <v>0</v>
      </c>
      <c r="T328" s="168">
        <f t="shared" si="89"/>
        <v>17.600000000000001</v>
      </c>
      <c r="U328" s="188">
        <f>ROUND(((I328)*($B328+$C328+$D328+$E328))/(Universe!$C$6),2)</f>
        <v>0.36</v>
      </c>
      <c r="V328" s="188" t="e">
        <f>ROUND(((J328)*($B328+$C328+$D328+$E328))/(Universe!$C$2),2)</f>
        <v>#DIV/0!</v>
      </c>
      <c r="W328" s="167">
        <v>1</v>
      </c>
      <c r="X328" s="408">
        <f t="shared" si="92"/>
        <v>0.36</v>
      </c>
      <c r="Y328" s="408">
        <f t="shared" si="93"/>
        <v>0</v>
      </c>
      <c r="Z328" s="408" t="e">
        <f t="shared" si="94"/>
        <v>#DIV/0!</v>
      </c>
      <c r="AA328" s="408">
        <f t="shared" si="95"/>
        <v>0</v>
      </c>
      <c r="AE328" s="171">
        <f t="shared" si="90"/>
        <v>4</v>
      </c>
      <c r="AF328" s="171" t="str">
        <f t="shared" si="91"/>
        <v>N/A</v>
      </c>
    </row>
    <row r="329" spans="1:33" ht="30.6" x14ac:dyDescent="0.2">
      <c r="A329" s="146" t="s">
        <v>360</v>
      </c>
      <c r="B329" s="85">
        <v>0</v>
      </c>
      <c r="C329" s="85">
        <v>0.5</v>
      </c>
      <c r="D329" s="85">
        <v>8</v>
      </c>
      <c r="E329" s="85">
        <v>0.5</v>
      </c>
      <c r="F329" s="32">
        <f>ROUND(Costs!$B$3*B329+Costs!$B$4*C329+Costs!$B$5*D329+Costs!$B$6*E329,2)</f>
        <v>651.44000000000005</v>
      </c>
      <c r="G329" s="32" t="str">
        <f>Costs!$B$62</f>
        <v xml:space="preserve"> </v>
      </c>
      <c r="H329" s="32">
        <f>Costs!$B$19</f>
        <v>4.4000000000000004</v>
      </c>
      <c r="I329" s="86">
        <f>ROUND((O329*(Universe!C$6)),0)</f>
        <v>4</v>
      </c>
      <c r="J329" s="88" t="s">
        <v>677</v>
      </c>
      <c r="K329" s="87">
        <f t="shared" si="85"/>
        <v>36</v>
      </c>
      <c r="L329" s="32">
        <f t="shared" si="86"/>
        <v>2623.36</v>
      </c>
      <c r="M329" s="555"/>
      <c r="N329" s="165">
        <f t="shared" si="96"/>
        <v>655.84</v>
      </c>
      <c r="O329" s="167">
        <v>0.1</v>
      </c>
      <c r="P329" s="167">
        <v>0</v>
      </c>
      <c r="Q329" s="167"/>
      <c r="R329" s="168">
        <f t="shared" si="87"/>
        <v>2605.7600000000002</v>
      </c>
      <c r="S329" s="168">
        <f t="shared" si="88"/>
        <v>0</v>
      </c>
      <c r="T329" s="168">
        <f t="shared" si="89"/>
        <v>17.600000000000001</v>
      </c>
      <c r="U329" s="188">
        <f>ROUND(((I329)*($B329+$C329+$D329+$E329))/(Universe!$C$6),2)</f>
        <v>1</v>
      </c>
      <c r="V329" s="188" t="e">
        <f>ROUND(((J329)*($B329+$C329+$D329+$E329))/(Universe!$C$2),2)</f>
        <v>#DIV/0!</v>
      </c>
      <c r="W329" s="167">
        <v>1</v>
      </c>
      <c r="X329" s="408">
        <f t="shared" si="92"/>
        <v>1</v>
      </c>
      <c r="Y329" s="408">
        <f t="shared" si="93"/>
        <v>0</v>
      </c>
      <c r="Z329" s="408" t="e">
        <f t="shared" si="94"/>
        <v>#DIV/0!</v>
      </c>
      <c r="AA329" s="408">
        <f t="shared" si="95"/>
        <v>0</v>
      </c>
      <c r="AE329" s="171">
        <f t="shared" si="90"/>
        <v>4</v>
      </c>
      <c r="AF329" s="171" t="str">
        <f t="shared" si="91"/>
        <v>N/A</v>
      </c>
    </row>
    <row r="330" spans="1:33" ht="20.399999999999999" x14ac:dyDescent="0.2">
      <c r="A330" s="146" t="s">
        <v>361</v>
      </c>
      <c r="B330" s="85">
        <v>0</v>
      </c>
      <c r="C330" s="85">
        <v>0.5</v>
      </c>
      <c r="D330" s="85">
        <v>4</v>
      </c>
      <c r="E330" s="85">
        <v>0.5</v>
      </c>
      <c r="F330" s="32">
        <f>ROUND(Costs!$B$3*B330+Costs!$B$4*C330+Costs!$B$5*D330+Costs!$B$6*E330,2)</f>
        <v>361</v>
      </c>
      <c r="G330" s="32" t="str">
        <f>Costs!$B$62</f>
        <v xml:space="preserve"> </v>
      </c>
      <c r="H330" s="32">
        <f>Costs!$B$19</f>
        <v>4.4000000000000004</v>
      </c>
      <c r="I330" s="86">
        <f>ROUND((O330*(Universe!C$6)),0)</f>
        <v>4</v>
      </c>
      <c r="J330" s="88" t="s">
        <v>677</v>
      </c>
      <c r="K330" s="87">
        <f t="shared" si="85"/>
        <v>20</v>
      </c>
      <c r="L330" s="32">
        <f t="shared" si="86"/>
        <v>1461.6</v>
      </c>
      <c r="M330" s="555"/>
      <c r="N330" s="165">
        <f t="shared" si="96"/>
        <v>365.4</v>
      </c>
      <c r="O330" s="167">
        <v>0.1</v>
      </c>
      <c r="P330" s="167">
        <v>0</v>
      </c>
      <c r="Q330" s="167"/>
      <c r="R330" s="168">
        <f t="shared" si="87"/>
        <v>1444</v>
      </c>
      <c r="S330" s="168">
        <f t="shared" si="88"/>
        <v>0</v>
      </c>
      <c r="T330" s="168">
        <f t="shared" si="89"/>
        <v>17.600000000000001</v>
      </c>
      <c r="U330" s="188">
        <f>ROUND(((I330)*($B330+$C330+$D330+$E330))/(Universe!$C$6),2)</f>
        <v>0.56000000000000005</v>
      </c>
      <c r="V330" s="188" t="e">
        <f>ROUND(((J330)*($B330+$C330+$D330+$E330))/(Universe!$C$2),2)</f>
        <v>#DIV/0!</v>
      </c>
      <c r="W330" s="167">
        <v>1</v>
      </c>
      <c r="X330" s="408">
        <f t="shared" si="92"/>
        <v>0.56000000000000005</v>
      </c>
      <c r="Y330" s="408">
        <f t="shared" si="93"/>
        <v>0</v>
      </c>
      <c r="Z330" s="408" t="e">
        <f t="shared" si="94"/>
        <v>#DIV/0!</v>
      </c>
      <c r="AA330" s="408">
        <f t="shared" si="95"/>
        <v>0</v>
      </c>
      <c r="AE330" s="171">
        <f t="shared" si="90"/>
        <v>4</v>
      </c>
      <c r="AF330" s="171" t="str">
        <f t="shared" si="91"/>
        <v>N/A</v>
      </c>
    </row>
    <row r="331" spans="1:33" ht="20.399999999999999" x14ac:dyDescent="0.2">
      <c r="A331" s="146" t="s">
        <v>362</v>
      </c>
      <c r="B331" s="85">
        <v>0</v>
      </c>
      <c r="C331" s="85">
        <v>0.5</v>
      </c>
      <c r="D331" s="85">
        <v>2</v>
      </c>
      <c r="E331" s="85">
        <v>0.5</v>
      </c>
      <c r="F331" s="32">
        <f>ROUND(Costs!$B$3*B331+Costs!$B$4*C331+Costs!$B$5*D331+Costs!$B$6*E331,2)</f>
        <v>215.78</v>
      </c>
      <c r="G331" s="32" t="str">
        <f>Costs!$B$62</f>
        <v xml:space="preserve"> </v>
      </c>
      <c r="H331" s="32">
        <f>Costs!$B$19</f>
        <v>4.4000000000000004</v>
      </c>
      <c r="I331" s="86">
        <f>ROUND((O331*(Universe!C$6)),0)</f>
        <v>7</v>
      </c>
      <c r="J331" s="88" t="s">
        <v>677</v>
      </c>
      <c r="K331" s="87">
        <f t="shared" si="85"/>
        <v>21</v>
      </c>
      <c r="L331" s="32">
        <f t="shared" si="86"/>
        <v>1541.26</v>
      </c>
      <c r="M331" s="555"/>
      <c r="N331" s="165">
        <f t="shared" si="96"/>
        <v>220.18</v>
      </c>
      <c r="O331" s="167">
        <v>0.2</v>
      </c>
      <c r="P331" s="167">
        <v>0</v>
      </c>
      <c r="Q331" s="167"/>
      <c r="R331" s="168">
        <f t="shared" si="87"/>
        <v>1510.46</v>
      </c>
      <c r="S331" s="168">
        <f t="shared" si="88"/>
        <v>0</v>
      </c>
      <c r="T331" s="168">
        <f t="shared" si="89"/>
        <v>30.800000000000004</v>
      </c>
      <c r="U331" s="188">
        <f>ROUND(((I331)*($B331+$C331+$D331+$E331))/(Universe!$C$6),2)</f>
        <v>0.57999999999999996</v>
      </c>
      <c r="V331" s="188" t="e">
        <f>ROUND(((J331)*($B331+$C331+$D331+$E331))/(Universe!$C$2),2)</f>
        <v>#DIV/0!</v>
      </c>
      <c r="W331" s="167">
        <v>1</v>
      </c>
      <c r="X331" s="408">
        <f t="shared" si="92"/>
        <v>0.57999999999999996</v>
      </c>
      <c r="Y331" s="408">
        <f t="shared" si="93"/>
        <v>0</v>
      </c>
      <c r="Z331" s="408" t="e">
        <f t="shared" si="94"/>
        <v>#DIV/0!</v>
      </c>
      <c r="AA331" s="408">
        <f t="shared" si="95"/>
        <v>0</v>
      </c>
      <c r="AE331" s="171">
        <f t="shared" si="90"/>
        <v>7</v>
      </c>
      <c r="AF331" s="171" t="str">
        <f t="shared" si="91"/>
        <v>N/A</v>
      </c>
    </row>
    <row r="332" spans="1:33" ht="21" thickBot="1" x14ac:dyDescent="0.25">
      <c r="A332" s="189" t="s">
        <v>363</v>
      </c>
      <c r="B332" s="190">
        <v>0</v>
      </c>
      <c r="C332" s="190">
        <v>0.25</v>
      </c>
      <c r="D332" s="190">
        <v>0.5</v>
      </c>
      <c r="E332" s="190">
        <v>0.25</v>
      </c>
      <c r="F332" s="191">
        <f>ROUND(Costs!$B$3*B332+Costs!$B$4*C332+Costs!$B$5*D332+Costs!$B$6*E332,2)</f>
        <v>71.59</v>
      </c>
      <c r="G332" s="191" t="str">
        <f>Costs!$B$62</f>
        <v xml:space="preserve"> </v>
      </c>
      <c r="H332" s="191">
        <f>Costs!$B$19</f>
        <v>4.4000000000000004</v>
      </c>
      <c r="I332" s="192">
        <f>ROUND((O332*(Universe!C$6)),0)</f>
        <v>4</v>
      </c>
      <c r="J332" s="223" t="s">
        <v>677</v>
      </c>
      <c r="K332" s="193">
        <f t="shared" si="85"/>
        <v>4</v>
      </c>
      <c r="L332" s="191">
        <f t="shared" si="86"/>
        <v>303.96000000000004</v>
      </c>
      <c r="M332" s="555"/>
      <c r="N332" s="165">
        <f t="shared" si="96"/>
        <v>75.990000000000009</v>
      </c>
      <c r="O332" s="167">
        <v>0.1</v>
      </c>
      <c r="P332" s="167">
        <v>0</v>
      </c>
      <c r="Q332" s="167"/>
      <c r="R332" s="168">
        <f t="shared" si="87"/>
        <v>286.36</v>
      </c>
      <c r="S332" s="168">
        <f t="shared" si="88"/>
        <v>0</v>
      </c>
      <c r="T332" s="168">
        <f t="shared" si="89"/>
        <v>17.600000000000001</v>
      </c>
      <c r="U332" s="188">
        <f>ROUND(((I332)*($B332+$C332+$D332+$E332))/(Universe!$C$6),2)</f>
        <v>0.11</v>
      </c>
      <c r="V332" s="188" t="e">
        <f>ROUND(((J332)*($B332+$C332+$D332+$E332))/(Universe!$C$2),2)</f>
        <v>#DIV/0!</v>
      </c>
      <c r="W332" s="167">
        <v>1</v>
      </c>
      <c r="X332" s="408">
        <f t="shared" si="92"/>
        <v>0.11</v>
      </c>
      <c r="Y332" s="408">
        <f t="shared" si="93"/>
        <v>0</v>
      </c>
      <c r="Z332" s="408" t="e">
        <f t="shared" si="94"/>
        <v>#DIV/0!</v>
      </c>
      <c r="AA332" s="408">
        <f t="shared" si="95"/>
        <v>0</v>
      </c>
      <c r="AE332" s="171">
        <f t="shared" si="90"/>
        <v>4</v>
      </c>
      <c r="AF332" s="171" t="str">
        <f t="shared" si="91"/>
        <v>N/A</v>
      </c>
    </row>
    <row r="333" spans="1:33" ht="10.8" thickBot="1" x14ac:dyDescent="0.25">
      <c r="A333" s="200" t="s">
        <v>567</v>
      </c>
      <c r="B333" s="201" t="s">
        <v>597</v>
      </c>
      <c r="C333" s="201" t="s">
        <v>597</v>
      </c>
      <c r="D333" s="201" t="s">
        <v>597</v>
      </c>
      <c r="E333" s="201" t="s">
        <v>597</v>
      </c>
      <c r="F333" s="201" t="s">
        <v>597</v>
      </c>
      <c r="G333" s="201" t="s">
        <v>597</v>
      </c>
      <c r="H333" s="201" t="s">
        <v>597</v>
      </c>
      <c r="I333" s="202" t="s">
        <v>597</v>
      </c>
      <c r="J333" s="202" t="s">
        <v>677</v>
      </c>
      <c r="K333" s="203">
        <f>SUM(K323:K332)</f>
        <v>422.5</v>
      </c>
      <c r="L333" s="204">
        <f>SUM(L323:L332)</f>
        <v>30825.28999999999</v>
      </c>
      <c r="M333" s="555"/>
      <c r="N333" s="169" t="s">
        <v>597</v>
      </c>
      <c r="P333" s="171"/>
      <c r="Q333" s="171"/>
      <c r="R333" s="204">
        <f>SUM(R323:R332)</f>
        <v>30499.689999999995</v>
      </c>
      <c r="S333" s="204">
        <f>SUM(S323:S332)</f>
        <v>0</v>
      </c>
      <c r="T333" s="204">
        <f>SUM(T323:T332)</f>
        <v>325.60000000000008</v>
      </c>
      <c r="U333" s="174"/>
      <c r="V333" s="166"/>
      <c r="X333" s="203">
        <f>SUM(X323:X332)</f>
        <v>11.73</v>
      </c>
      <c r="Y333" s="203">
        <f>SUM(Y323:Y332)</f>
        <v>0</v>
      </c>
      <c r="Z333" s="203" t="e">
        <f>SUM(Z323:Z332)</f>
        <v>#DIV/0!</v>
      </c>
      <c r="AA333" s="203">
        <f>SUM(AA323:AA332)</f>
        <v>0</v>
      </c>
    </row>
    <row r="334" spans="1:33" x14ac:dyDescent="0.2">
      <c r="B334" s="18"/>
      <c r="F334" s="34"/>
      <c r="G334" s="34"/>
      <c r="I334" s="17"/>
      <c r="J334" s="23"/>
      <c r="U334" s="188"/>
      <c r="V334" s="166"/>
      <c r="X334" s="410"/>
      <c r="Y334" s="410"/>
    </row>
    <row r="335" spans="1:33" x14ac:dyDescent="0.2">
      <c r="B335" s="18"/>
      <c r="F335" s="34"/>
      <c r="G335" s="34"/>
      <c r="I335" s="17"/>
      <c r="J335" s="23"/>
      <c r="U335" s="188"/>
      <c r="V335" s="166"/>
    </row>
    <row r="336" spans="1:33" x14ac:dyDescent="0.2">
      <c r="F336" s="34"/>
      <c r="G336" s="34"/>
      <c r="X336" s="410"/>
      <c r="Y336" s="410"/>
      <c r="AE336" s="171">
        <f>SUM(AE14:AE332)</f>
        <v>358</v>
      </c>
      <c r="AF336" s="171">
        <f>SUM(AF14:AF332)</f>
        <v>0</v>
      </c>
      <c r="AG336" s="160">
        <f>SUM(AE336:AF336)</f>
        <v>358</v>
      </c>
    </row>
    <row r="337" spans="6:25" x14ac:dyDescent="0.2">
      <c r="F337" s="34"/>
      <c r="G337" s="34"/>
    </row>
    <row r="338" spans="6:25" x14ac:dyDescent="0.2">
      <c r="F338" s="34"/>
      <c r="G338" s="34"/>
      <c r="X338" s="412"/>
      <c r="Y338" s="412"/>
    </row>
    <row r="339" spans="6:25" x14ac:dyDescent="0.2">
      <c r="F339" s="34"/>
      <c r="G339" s="34"/>
    </row>
    <row r="340" spans="6:25" x14ac:dyDescent="0.2">
      <c r="F340" s="34"/>
      <c r="G340" s="34"/>
    </row>
    <row r="341" spans="6:25" x14ac:dyDescent="0.2">
      <c r="F341" s="34"/>
      <c r="G341" s="34"/>
    </row>
    <row r="342" spans="6:25" x14ac:dyDescent="0.2">
      <c r="F342" s="34"/>
      <c r="G342" s="34"/>
    </row>
    <row r="343" spans="6:25" x14ac:dyDescent="0.2">
      <c r="F343" s="34"/>
      <c r="G343" s="34"/>
    </row>
    <row r="344" spans="6:25" x14ac:dyDescent="0.2">
      <c r="F344" s="34"/>
      <c r="G344" s="34"/>
    </row>
    <row r="345" spans="6:25" x14ac:dyDescent="0.2">
      <c r="F345" s="34"/>
      <c r="G345" s="34"/>
    </row>
    <row r="346" spans="6:25" x14ac:dyDescent="0.2">
      <c r="F346" s="34"/>
      <c r="G346" s="34"/>
    </row>
    <row r="347" spans="6:25" x14ac:dyDescent="0.2">
      <c r="F347" s="34"/>
      <c r="G347" s="34"/>
    </row>
    <row r="348" spans="6:25" x14ac:dyDescent="0.2">
      <c r="F348" s="34"/>
      <c r="G348" s="34"/>
    </row>
    <row r="349" spans="6:25" x14ac:dyDescent="0.2">
      <c r="F349" s="34"/>
      <c r="G349" s="34"/>
    </row>
    <row r="350" spans="6:25" x14ac:dyDescent="0.2">
      <c r="F350" s="34"/>
      <c r="G350" s="34"/>
    </row>
    <row r="351" spans="6:25" x14ac:dyDescent="0.2">
      <c r="F351" s="34"/>
      <c r="G351" s="34"/>
    </row>
    <row r="352" spans="6:25" x14ac:dyDescent="0.2">
      <c r="F352" s="34"/>
      <c r="G352" s="34"/>
    </row>
    <row r="353" spans="6:7" x14ac:dyDescent="0.2">
      <c r="F353" s="34"/>
      <c r="G353" s="34"/>
    </row>
    <row r="354" spans="6:7" x14ac:dyDescent="0.2">
      <c r="F354" s="34"/>
      <c r="G354" s="34"/>
    </row>
    <row r="355" spans="6:7" x14ac:dyDescent="0.2">
      <c r="F355" s="34"/>
      <c r="G355" s="34"/>
    </row>
    <row r="356" spans="6:7" x14ac:dyDescent="0.2">
      <c r="F356" s="34"/>
      <c r="G356" s="34"/>
    </row>
    <row r="357" spans="6:7" x14ac:dyDescent="0.2">
      <c r="F357" s="34"/>
      <c r="G357" s="34"/>
    </row>
    <row r="358" spans="6:7" x14ac:dyDescent="0.2">
      <c r="F358" s="34"/>
      <c r="G358" s="34"/>
    </row>
    <row r="359" spans="6:7" x14ac:dyDescent="0.2">
      <c r="F359" s="34"/>
      <c r="G359" s="34"/>
    </row>
    <row r="360" spans="6:7" x14ac:dyDescent="0.2">
      <c r="F360" s="34"/>
      <c r="G360" s="34"/>
    </row>
    <row r="361" spans="6:7" x14ac:dyDescent="0.2">
      <c r="F361" s="34"/>
      <c r="G361" s="34"/>
    </row>
    <row r="362" spans="6:7" x14ac:dyDescent="0.2">
      <c r="F362" s="34"/>
      <c r="G362" s="34"/>
    </row>
    <row r="363" spans="6:7" x14ac:dyDescent="0.2">
      <c r="F363" s="34"/>
      <c r="G363" s="34"/>
    </row>
    <row r="364" spans="6:7" x14ac:dyDescent="0.2">
      <c r="F364" s="34"/>
      <c r="G364" s="34"/>
    </row>
    <row r="365" spans="6:7" x14ac:dyDescent="0.2">
      <c r="F365" s="34"/>
      <c r="G365" s="34"/>
    </row>
    <row r="366" spans="6:7" x14ac:dyDescent="0.2">
      <c r="F366" s="34"/>
      <c r="G366" s="34"/>
    </row>
    <row r="367" spans="6:7" x14ac:dyDescent="0.2">
      <c r="F367" s="34"/>
      <c r="G367" s="34"/>
    </row>
    <row r="368" spans="6:7" x14ac:dyDescent="0.2">
      <c r="F368" s="34"/>
      <c r="G368" s="34"/>
    </row>
    <row r="369" spans="6:7" x14ac:dyDescent="0.2">
      <c r="F369" s="34"/>
      <c r="G369" s="34"/>
    </row>
    <row r="370" spans="6:7" x14ac:dyDescent="0.2">
      <c r="F370" s="34"/>
      <c r="G370" s="34"/>
    </row>
    <row r="371" spans="6:7" x14ac:dyDescent="0.2">
      <c r="F371" s="34"/>
      <c r="G371" s="34"/>
    </row>
    <row r="372" spans="6:7" x14ac:dyDescent="0.2">
      <c r="F372" s="34"/>
      <c r="G372" s="34"/>
    </row>
    <row r="373" spans="6:7" x14ac:dyDescent="0.2">
      <c r="F373" s="34"/>
      <c r="G373" s="34"/>
    </row>
    <row r="374" spans="6:7" x14ac:dyDescent="0.2">
      <c r="F374" s="34"/>
      <c r="G374" s="34"/>
    </row>
    <row r="375" spans="6:7" x14ac:dyDescent="0.2">
      <c r="F375" s="34"/>
      <c r="G375" s="34"/>
    </row>
    <row r="376" spans="6:7" x14ac:dyDescent="0.2">
      <c r="F376" s="34"/>
      <c r="G376" s="34"/>
    </row>
    <row r="377" spans="6:7" x14ac:dyDescent="0.2">
      <c r="F377" s="34"/>
      <c r="G377" s="34"/>
    </row>
    <row r="378" spans="6:7" x14ac:dyDescent="0.2">
      <c r="F378" s="34"/>
      <c r="G378" s="34"/>
    </row>
    <row r="379" spans="6:7" x14ac:dyDescent="0.2">
      <c r="F379" s="34"/>
      <c r="G379" s="34"/>
    </row>
    <row r="380" spans="6:7" x14ac:dyDescent="0.2">
      <c r="F380" s="34"/>
      <c r="G380" s="34"/>
    </row>
    <row r="381" spans="6:7" x14ac:dyDescent="0.2">
      <c r="F381" s="34"/>
      <c r="G381" s="34"/>
    </row>
    <row r="382" spans="6:7" x14ac:dyDescent="0.2">
      <c r="F382" s="34"/>
      <c r="G382" s="34"/>
    </row>
    <row r="383" spans="6:7" x14ac:dyDescent="0.2">
      <c r="F383" s="34"/>
      <c r="G383" s="34"/>
    </row>
    <row r="384" spans="6:7" x14ac:dyDescent="0.2">
      <c r="F384" s="34"/>
      <c r="G384" s="34"/>
    </row>
    <row r="385" spans="6:7" x14ac:dyDescent="0.2">
      <c r="F385" s="34"/>
      <c r="G385" s="34"/>
    </row>
    <row r="386" spans="6:7" x14ac:dyDescent="0.2">
      <c r="F386" s="34"/>
      <c r="G386" s="34"/>
    </row>
    <row r="387" spans="6:7" x14ac:dyDescent="0.2">
      <c r="F387" s="34"/>
      <c r="G387" s="34"/>
    </row>
    <row r="388" spans="6:7" x14ac:dyDescent="0.2">
      <c r="F388" s="34"/>
      <c r="G388" s="34"/>
    </row>
    <row r="389" spans="6:7" x14ac:dyDescent="0.2">
      <c r="F389" s="34"/>
      <c r="G389" s="34"/>
    </row>
    <row r="390" spans="6:7" x14ac:dyDescent="0.2">
      <c r="F390" s="34"/>
      <c r="G390" s="34"/>
    </row>
    <row r="391" spans="6:7" x14ac:dyDescent="0.2">
      <c r="F391" s="34"/>
      <c r="G391" s="34"/>
    </row>
    <row r="392" spans="6:7" x14ac:dyDescent="0.2">
      <c r="F392" s="34"/>
      <c r="G392" s="34"/>
    </row>
    <row r="393" spans="6:7" x14ac:dyDescent="0.2">
      <c r="F393" s="34"/>
      <c r="G393" s="34"/>
    </row>
    <row r="394" spans="6:7" x14ac:dyDescent="0.2">
      <c r="F394" s="34"/>
      <c r="G394" s="34"/>
    </row>
    <row r="395" spans="6:7" x14ac:dyDescent="0.2">
      <c r="F395" s="34"/>
      <c r="G395" s="34"/>
    </row>
    <row r="396" spans="6:7" x14ac:dyDescent="0.2">
      <c r="F396" s="34"/>
      <c r="G396" s="34"/>
    </row>
    <row r="397" spans="6:7" x14ac:dyDescent="0.2">
      <c r="F397" s="34"/>
      <c r="G397" s="34"/>
    </row>
    <row r="398" spans="6:7" x14ac:dyDescent="0.2">
      <c r="F398" s="34"/>
      <c r="G398" s="34"/>
    </row>
    <row r="399" spans="6:7" x14ac:dyDescent="0.2">
      <c r="F399" s="34"/>
      <c r="G399" s="34"/>
    </row>
    <row r="400" spans="6:7" x14ac:dyDescent="0.2">
      <c r="F400" s="34"/>
      <c r="G400" s="34"/>
    </row>
    <row r="401" spans="6:7" x14ac:dyDescent="0.2">
      <c r="F401" s="34"/>
      <c r="G401" s="34"/>
    </row>
    <row r="402" spans="6:7" x14ac:dyDescent="0.2">
      <c r="F402" s="34"/>
      <c r="G402" s="34"/>
    </row>
    <row r="403" spans="6:7" x14ac:dyDescent="0.2">
      <c r="F403" s="34"/>
      <c r="G403" s="34"/>
    </row>
    <row r="404" spans="6:7" x14ac:dyDescent="0.2">
      <c r="F404" s="34"/>
      <c r="G404" s="34"/>
    </row>
    <row r="405" spans="6:7" x14ac:dyDescent="0.2">
      <c r="F405" s="34"/>
      <c r="G405" s="34"/>
    </row>
    <row r="406" spans="6:7" x14ac:dyDescent="0.2">
      <c r="F406" s="34"/>
      <c r="G406" s="34"/>
    </row>
    <row r="407" spans="6:7" x14ac:dyDescent="0.2">
      <c r="F407" s="34"/>
      <c r="G407" s="34"/>
    </row>
    <row r="408" spans="6:7" x14ac:dyDescent="0.2">
      <c r="F408" s="34"/>
      <c r="G408" s="34"/>
    </row>
    <row r="409" spans="6:7" x14ac:dyDescent="0.2">
      <c r="F409" s="34"/>
      <c r="G409" s="34"/>
    </row>
    <row r="410" spans="6:7" x14ac:dyDescent="0.2">
      <c r="F410" s="34"/>
      <c r="G410" s="34"/>
    </row>
    <row r="411" spans="6:7" x14ac:dyDescent="0.2">
      <c r="F411" s="34"/>
      <c r="G411" s="34"/>
    </row>
    <row r="412" spans="6:7" x14ac:dyDescent="0.2">
      <c r="F412" s="34"/>
      <c r="G412" s="34"/>
    </row>
    <row r="413" spans="6:7" x14ac:dyDescent="0.2">
      <c r="F413" s="34"/>
      <c r="G413" s="34"/>
    </row>
    <row r="414" spans="6:7" x14ac:dyDescent="0.2">
      <c r="F414" s="34"/>
      <c r="G414" s="34"/>
    </row>
    <row r="415" spans="6:7" x14ac:dyDescent="0.2">
      <c r="F415" s="34"/>
      <c r="G415" s="34"/>
    </row>
    <row r="416" spans="6:7" x14ac:dyDescent="0.2">
      <c r="F416" s="34"/>
      <c r="G416" s="34"/>
    </row>
    <row r="417" spans="6:7" x14ac:dyDescent="0.2">
      <c r="F417" s="34"/>
      <c r="G417" s="34"/>
    </row>
    <row r="418" spans="6:7" x14ac:dyDescent="0.2">
      <c r="F418" s="34"/>
      <c r="G418" s="34"/>
    </row>
    <row r="419" spans="6:7" x14ac:dyDescent="0.2">
      <c r="F419" s="34"/>
      <c r="G419" s="34"/>
    </row>
    <row r="420" spans="6:7" x14ac:dyDescent="0.2">
      <c r="F420" s="34"/>
      <c r="G420" s="34"/>
    </row>
    <row r="421" spans="6:7" x14ac:dyDescent="0.2">
      <c r="F421" s="34"/>
      <c r="G421" s="34"/>
    </row>
    <row r="422" spans="6:7" x14ac:dyDescent="0.2">
      <c r="F422" s="34"/>
      <c r="G422" s="34"/>
    </row>
    <row r="423" spans="6:7" x14ac:dyDescent="0.2">
      <c r="F423" s="34"/>
      <c r="G423" s="34"/>
    </row>
    <row r="424" spans="6:7" x14ac:dyDescent="0.2">
      <c r="F424" s="34"/>
      <c r="G424" s="34"/>
    </row>
    <row r="425" spans="6:7" x14ac:dyDescent="0.2">
      <c r="F425" s="34"/>
      <c r="G425" s="34"/>
    </row>
    <row r="426" spans="6:7" x14ac:dyDescent="0.2">
      <c r="F426" s="34"/>
      <c r="G426" s="34"/>
    </row>
    <row r="427" spans="6:7" x14ac:dyDescent="0.2">
      <c r="F427" s="34"/>
      <c r="G427" s="34"/>
    </row>
    <row r="428" spans="6:7" x14ac:dyDescent="0.2">
      <c r="F428" s="34"/>
      <c r="G428" s="34"/>
    </row>
  </sheetData>
  <mergeCells count="1">
    <mergeCell ref="AE11:AF11"/>
  </mergeCells>
  <phoneticPr fontId="8" type="noConversion"/>
  <printOptions horizontalCentered="1" gridLinesSet="0"/>
  <pageMargins left="0.1" right="0.1" top="0.5" bottom="0.5" header="0.5" footer="0.5"/>
  <pageSetup scale="75" orientation="landscape" r:id="rId1"/>
  <headerFooter alignWithMargins="0">
    <oddFooter>&amp;R&amp;P of &amp;N</oddFooter>
  </headerFooter>
  <rowBreaks count="8" manualBreakCount="8">
    <brk id="56" max="11" man="1"/>
    <brk id="100" max="11" man="1"/>
    <brk id="140" max="11" man="1"/>
    <brk id="178" max="11" man="1"/>
    <brk id="307" max="11" man="1"/>
    <brk id="449" max="65535" man="1"/>
    <brk id="483" max="65535" man="1"/>
    <brk id="506"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3E06-E289-4761-922D-DF01288BFD68}">
  <sheetPr syncVertical="1" syncRef="B149" transitionEvaluation="1" transitionEntry="1" codeName="Sheet6"/>
  <dimension ref="A2:AK197"/>
  <sheetViews>
    <sheetView showGridLines="0" zoomScaleNormal="100" workbookViewId="0">
      <pane xSplit="1" ySplit="13" topLeftCell="B149" activePane="bottomRight" state="frozen"/>
      <selection pane="topRight" activeCell="B1" sqref="B1"/>
      <selection pane="bottomLeft" activeCell="A14" sqref="A14"/>
      <selection pane="bottomRight" activeCell="M1" sqref="M1:AK65536"/>
    </sheetView>
  </sheetViews>
  <sheetFormatPr defaultColWidth="9.7109375" defaultRowHeight="10.199999999999999" x14ac:dyDescent="0.2"/>
  <cols>
    <col min="1" max="1" width="47.85546875" customWidth="1"/>
    <col min="2" max="2" width="9.28515625" style="39" customWidth="1"/>
    <col min="3" max="3" width="8.140625" style="39" customWidth="1"/>
    <col min="4" max="4" width="9.42578125" style="39" customWidth="1"/>
    <col min="5" max="5" width="9.140625" style="39" customWidth="1"/>
    <col min="6" max="6" width="13.7109375" style="31" customWidth="1"/>
    <col min="7" max="7" width="12.140625" style="31" bestFit="1" customWidth="1"/>
    <col min="8" max="8" width="12" style="31" customWidth="1"/>
    <col min="9" max="9" width="12.42578125" customWidth="1"/>
    <col min="10" max="10" width="10" customWidth="1"/>
    <col min="11" max="11" width="12.140625" style="42" customWidth="1"/>
    <col min="12" max="12" width="17.28515625" style="31" customWidth="1"/>
    <col min="13" max="13" width="13.7109375" style="232" hidden="1" customWidth="1"/>
    <col min="14" max="14" width="17" style="232" hidden="1" customWidth="1"/>
    <col min="15" max="15" width="15.85546875" style="232" hidden="1" customWidth="1"/>
    <col min="16" max="16" width="16" style="232" hidden="1" customWidth="1"/>
    <col min="17" max="17" width="14.7109375" style="162" hidden="1" customWidth="1"/>
    <col min="18" max="18" width="16.7109375" style="162" hidden="1" customWidth="1"/>
    <col min="19" max="19" width="12.28515625" style="162" hidden="1" customWidth="1"/>
    <col min="20" max="20" width="0" style="162" hidden="1" customWidth="1"/>
    <col min="21" max="24" width="13.42578125" style="162" hidden="1" customWidth="1"/>
    <col min="25" max="25" width="9.7109375" style="162" hidden="1" customWidth="1"/>
    <col min="26" max="26" width="15.7109375" style="162" hidden="1" customWidth="1"/>
    <col min="27" max="27" width="14" style="557" hidden="1" customWidth="1"/>
    <col min="28" max="28" width="11.7109375" style="557" hidden="1" customWidth="1"/>
    <col min="29" max="29" width="9.7109375" style="162" hidden="1" customWidth="1"/>
    <col min="30" max="30" width="11.7109375" style="162" hidden="1" customWidth="1"/>
    <col min="31" max="33" width="9.7109375" style="162" hidden="1" customWidth="1"/>
    <col min="34" max="34" width="7.42578125" style="162" hidden="1" customWidth="1"/>
    <col min="35" max="37" width="9.7109375" style="162" hidden="1" customWidth="1"/>
    <col min="38" max="38" width="9.28515625" style="162" customWidth="1"/>
    <col min="39" max="16384" width="9.7109375" style="162"/>
  </cols>
  <sheetData>
    <row r="2" spans="1:28" ht="18" x14ac:dyDescent="0.35">
      <c r="A2" s="569" t="s">
        <v>696</v>
      </c>
      <c r="K2" s="41"/>
    </row>
    <row r="3" spans="1:28" ht="18" x14ac:dyDescent="0.35">
      <c r="A3" s="569" t="s">
        <v>239</v>
      </c>
      <c r="K3" s="41"/>
    </row>
    <row r="4" spans="1:28" ht="18" x14ac:dyDescent="0.35">
      <c r="A4" s="568" t="s">
        <v>601</v>
      </c>
      <c r="K4" s="41"/>
    </row>
    <row r="6" spans="1:28" x14ac:dyDescent="0.2">
      <c r="B6" s="14"/>
      <c r="C6" s="14"/>
      <c r="D6" s="14"/>
      <c r="E6" s="14"/>
      <c r="F6" s="27"/>
      <c r="G6" s="14"/>
      <c r="H6" s="34"/>
      <c r="I6" s="57" t="s">
        <v>602</v>
      </c>
      <c r="J6" s="58"/>
      <c r="K6" s="64"/>
      <c r="L6" s="34"/>
      <c r="M6" s="159"/>
      <c r="N6" s="159"/>
    </row>
    <row r="7" spans="1:28" x14ac:dyDescent="0.2">
      <c r="A7" t="s">
        <v>38</v>
      </c>
      <c r="B7" s="57" t="s">
        <v>576</v>
      </c>
      <c r="C7" s="58"/>
      <c r="D7" s="58"/>
      <c r="E7" s="58"/>
      <c r="F7" s="61"/>
      <c r="G7" s="58"/>
      <c r="H7" s="60"/>
      <c r="I7" s="57" t="s">
        <v>593</v>
      </c>
      <c r="J7" s="58"/>
      <c r="K7" s="66" t="s">
        <v>577</v>
      </c>
      <c r="L7" s="60"/>
      <c r="M7" s="162"/>
      <c r="N7" s="162"/>
    </row>
    <row r="8" spans="1:28" x14ac:dyDescent="0.2">
      <c r="B8" s="54"/>
      <c r="C8" s="51"/>
      <c r="D8" s="51"/>
      <c r="E8" s="51"/>
      <c r="F8" s="52"/>
      <c r="G8" s="51"/>
      <c r="H8" s="53"/>
      <c r="I8" s="55"/>
      <c r="J8" s="56"/>
      <c r="K8" s="67"/>
      <c r="L8" s="56"/>
      <c r="M8" s="162"/>
      <c r="N8" s="162"/>
      <c r="O8" s="163"/>
      <c r="P8" s="163"/>
      <c r="S8" s="242" t="s">
        <v>242</v>
      </c>
    </row>
    <row r="9" spans="1:28" x14ac:dyDescent="0.2">
      <c r="B9" s="19" t="s">
        <v>569</v>
      </c>
      <c r="C9" s="19" t="s">
        <v>570</v>
      </c>
      <c r="D9" s="19" t="s">
        <v>571</v>
      </c>
      <c r="E9" s="19" t="s">
        <v>572</v>
      </c>
      <c r="F9" s="28" t="s">
        <v>578</v>
      </c>
      <c r="G9" s="19" t="s">
        <v>579</v>
      </c>
      <c r="H9" s="34"/>
      <c r="I9" s="14"/>
      <c r="J9" s="14"/>
      <c r="K9" s="68" t="s">
        <v>580</v>
      </c>
      <c r="L9" s="35" t="s">
        <v>580</v>
      </c>
      <c r="M9" s="163" t="s">
        <v>603</v>
      </c>
      <c r="N9" s="163" t="s">
        <v>283</v>
      </c>
      <c r="O9" s="163" t="s">
        <v>580</v>
      </c>
      <c r="P9" s="163" t="s">
        <v>580</v>
      </c>
      <c r="Q9" s="239" t="s">
        <v>581</v>
      </c>
      <c r="R9" s="239" t="s">
        <v>581</v>
      </c>
      <c r="S9" s="242" t="s">
        <v>243</v>
      </c>
    </row>
    <row r="10" spans="1:28" x14ac:dyDescent="0.2">
      <c r="B10" s="10">
        <f>Costs!$B$3</f>
        <v>164.9</v>
      </c>
      <c r="C10" s="10">
        <f>Costs!$B$4</f>
        <v>97.45</v>
      </c>
      <c r="D10" s="10">
        <f>Costs!$B$5</f>
        <v>72.61</v>
      </c>
      <c r="E10" s="10">
        <f>Costs!$B$6</f>
        <v>43.67</v>
      </c>
      <c r="F10" s="28" t="s">
        <v>583</v>
      </c>
      <c r="G10" s="19" t="s">
        <v>584</v>
      </c>
      <c r="H10" s="35" t="s">
        <v>585</v>
      </c>
      <c r="I10" s="14"/>
      <c r="J10" s="19" t="s">
        <v>604</v>
      </c>
      <c r="K10" s="68" t="s">
        <v>582</v>
      </c>
      <c r="L10" s="35" t="s">
        <v>583</v>
      </c>
      <c r="M10" s="163" t="s">
        <v>605</v>
      </c>
      <c r="N10" s="163"/>
      <c r="O10" s="163" t="s">
        <v>244</v>
      </c>
      <c r="P10" s="163" t="s">
        <v>245</v>
      </c>
      <c r="Q10" s="239" t="s">
        <v>246</v>
      </c>
      <c r="R10" s="239" t="s">
        <v>246</v>
      </c>
      <c r="S10" s="242" t="s">
        <v>247</v>
      </c>
      <c r="U10" s="409" t="s">
        <v>517</v>
      </c>
      <c r="V10" s="409" t="s">
        <v>518</v>
      </c>
      <c r="W10" s="409" t="s">
        <v>517</v>
      </c>
      <c r="X10" s="409" t="s">
        <v>518</v>
      </c>
      <c r="AA10" s="558" t="s">
        <v>574</v>
      </c>
      <c r="AB10" s="558" t="s">
        <v>680</v>
      </c>
    </row>
    <row r="11" spans="1:28" x14ac:dyDescent="0.2">
      <c r="A11" s="3" t="s">
        <v>588</v>
      </c>
      <c r="B11" s="19" t="s">
        <v>590</v>
      </c>
      <c r="C11" s="19" t="s">
        <v>590</v>
      </c>
      <c r="D11" s="19" t="s">
        <v>590</v>
      </c>
      <c r="E11" s="19" t="s">
        <v>590</v>
      </c>
      <c r="F11" s="28" t="s">
        <v>607</v>
      </c>
      <c r="G11" s="19" t="s">
        <v>592</v>
      </c>
      <c r="H11" s="35" t="s">
        <v>592</v>
      </c>
      <c r="I11" s="19" t="s">
        <v>574</v>
      </c>
      <c r="J11" s="19" t="s">
        <v>606</v>
      </c>
      <c r="K11" s="68" t="s">
        <v>591</v>
      </c>
      <c r="L11" s="35" t="s">
        <v>591</v>
      </c>
      <c r="M11" s="163" t="s">
        <v>607</v>
      </c>
      <c r="N11" s="163"/>
      <c r="O11" s="163" t="s">
        <v>248</v>
      </c>
      <c r="P11" s="163" t="s">
        <v>248</v>
      </c>
      <c r="Q11" s="239" t="s">
        <v>574</v>
      </c>
      <c r="R11" s="239" t="s">
        <v>680</v>
      </c>
      <c r="S11" s="242" t="s">
        <v>249</v>
      </c>
      <c r="U11" s="408"/>
      <c r="V11" s="408"/>
      <c r="W11" s="408"/>
      <c r="X11" s="408"/>
    </row>
    <row r="12" spans="1:28" x14ac:dyDescent="0.2">
      <c r="A12" s="249" t="s">
        <v>547</v>
      </c>
      <c r="B12" s="250"/>
      <c r="C12" s="250"/>
      <c r="D12" s="250"/>
      <c r="E12" s="250"/>
      <c r="F12" s="251"/>
      <c r="G12" s="251"/>
      <c r="H12" s="251"/>
      <c r="I12" s="252"/>
      <c r="J12" s="252"/>
      <c r="K12" s="253"/>
      <c r="L12" s="254"/>
      <c r="M12" s="233"/>
      <c r="N12" s="130"/>
      <c r="O12" s="130"/>
      <c r="P12" s="130"/>
      <c r="Q12" s="240"/>
      <c r="U12" s="408"/>
      <c r="V12" s="408"/>
      <c r="W12" s="408"/>
      <c r="X12" s="408"/>
    </row>
    <row r="13" spans="1:28" x14ac:dyDescent="0.2">
      <c r="A13" s="255" t="s">
        <v>251</v>
      </c>
      <c r="B13" s="256"/>
      <c r="C13" s="256"/>
      <c r="D13" s="256"/>
      <c r="E13" s="256"/>
      <c r="F13" s="257"/>
      <c r="G13" s="257"/>
      <c r="H13" s="257"/>
      <c r="I13" s="258"/>
      <c r="J13" s="258"/>
      <c r="K13" s="259"/>
      <c r="L13" s="260"/>
      <c r="M13" s="234"/>
      <c r="Q13" s="241"/>
      <c r="R13" s="242"/>
      <c r="S13" s="242" t="s">
        <v>573</v>
      </c>
      <c r="U13" s="410" t="s">
        <v>608</v>
      </c>
      <c r="V13" s="410" t="s">
        <v>608</v>
      </c>
      <c r="W13" s="410" t="s">
        <v>609</v>
      </c>
      <c r="X13" s="410" t="s">
        <v>609</v>
      </c>
    </row>
    <row r="14" spans="1:28" x14ac:dyDescent="0.2">
      <c r="A14" s="275" t="s">
        <v>610</v>
      </c>
      <c r="B14" s="92">
        <v>0</v>
      </c>
      <c r="C14" s="92">
        <v>0.1</v>
      </c>
      <c r="D14" s="92">
        <v>0.25</v>
      </c>
      <c r="E14" s="92">
        <v>0</v>
      </c>
      <c r="F14" s="32">
        <f>ROUND(Costs!$B$3*B14+Costs!$B$4*C14+Costs!$B$5*D14+Costs!$B$6*E14,2)</f>
        <v>27.9</v>
      </c>
      <c r="G14" s="32" t="str">
        <f>Costs!$B$62</f>
        <v xml:space="preserve"> </v>
      </c>
      <c r="H14" s="32">
        <f>Costs!$B$16</f>
        <v>0</v>
      </c>
      <c r="I14" s="95" t="s">
        <v>677</v>
      </c>
      <c r="J14" s="96">
        <f>(Universe!$C$19+Universe!$C$18)</f>
        <v>0</v>
      </c>
      <c r="K14" s="94">
        <f>ROUND((I14+J14)*(B14+C14+D14+E14),2)</f>
        <v>0</v>
      </c>
      <c r="L14" s="93">
        <f>(I14+J14)*SUM(F14:H14)</f>
        <v>0</v>
      </c>
      <c r="M14" s="233" t="e">
        <f>L14/(I14+J14)</f>
        <v>#DIV/0!</v>
      </c>
      <c r="N14" s="130">
        <f>F14*(I14+J14)</f>
        <v>0</v>
      </c>
      <c r="O14" s="130">
        <f>G14*(I14+J14)</f>
        <v>0</v>
      </c>
      <c r="P14" s="130">
        <f>H14*(I14+J14)</f>
        <v>0</v>
      </c>
      <c r="Q14" s="188">
        <f>ROUND(((I14)*($B14+$C14+$D14+$E14))/(Universe!$C$6),2)</f>
        <v>0</v>
      </c>
      <c r="R14" s="188" t="e">
        <f>ROUND(((J14)*($B14+$C14+$D14+$E14))/(Universe!$C$2),2)</f>
        <v>#DIV/0!</v>
      </c>
      <c r="S14" s="235">
        <v>2</v>
      </c>
      <c r="U14" s="408">
        <f>IF(S14=1,Q14,0)</f>
        <v>0</v>
      </c>
      <c r="V14" s="408">
        <f>IF(S14=2,Q14,0)</f>
        <v>0</v>
      </c>
      <c r="W14" s="408">
        <f>IF(S14=1,R14,0)</f>
        <v>0</v>
      </c>
      <c r="X14" s="408" t="e">
        <f>IF(S14=2,R14,0)</f>
        <v>#DIV/0!</v>
      </c>
    </row>
    <row r="15" spans="1:28" x14ac:dyDescent="0.2">
      <c r="A15" s="275" t="s">
        <v>369</v>
      </c>
      <c r="B15" s="92">
        <v>0</v>
      </c>
      <c r="C15" s="92">
        <v>0.25</v>
      </c>
      <c r="D15" s="92">
        <v>1</v>
      </c>
      <c r="E15" s="92">
        <v>0.25</v>
      </c>
      <c r="F15" s="32">
        <f>ROUND(Costs!$B$3*B15+Costs!$B$4*C15+Costs!$B$5*D15+Costs!$B$6*E15,2)</f>
        <v>107.89</v>
      </c>
      <c r="G15" s="32" t="str">
        <f>Costs!$B$62</f>
        <v xml:space="preserve"> </v>
      </c>
      <c r="H15" s="32">
        <f>Costs!$B$19</f>
        <v>4.4000000000000004</v>
      </c>
      <c r="I15" s="95" t="s">
        <v>677</v>
      </c>
      <c r="J15" s="96">
        <f>Universe!$C$19</f>
        <v>0</v>
      </c>
      <c r="K15" s="94">
        <f>ROUND((I15+J15)*(B15+C15+D15+E15),2)</f>
        <v>0</v>
      </c>
      <c r="L15" s="93">
        <f>(I15+J15)*SUM(F15:H15)</f>
        <v>0</v>
      </c>
      <c r="M15" s="233" t="e">
        <f>L15/(I15+J15)</f>
        <v>#DIV/0!</v>
      </c>
      <c r="N15" s="130">
        <f>F15*(I15+J15)</f>
        <v>0</v>
      </c>
      <c r="O15" s="130">
        <f>G15*(I15+J15)</f>
        <v>0</v>
      </c>
      <c r="P15" s="130">
        <f>H15*(I15+J15)</f>
        <v>0</v>
      </c>
      <c r="Q15" s="188">
        <f>ROUND(((I15)*($B15+$C15+$D15+$E15))/(Universe!$C$6),2)</f>
        <v>0</v>
      </c>
      <c r="R15" s="188" t="e">
        <f>ROUND(((J15)*($B15+$C15+$D15+$E15))/(Universe!$C$2),2)</f>
        <v>#DIV/0!</v>
      </c>
      <c r="S15" s="235">
        <v>1</v>
      </c>
      <c r="U15" s="408">
        <f t="shared" ref="U15:U26" si="0">IF(S15=1,Q15,0)</f>
        <v>0</v>
      </c>
      <c r="V15" s="408">
        <f t="shared" ref="V15:V26" si="1">IF(S15=2,Q15,0)</f>
        <v>0</v>
      </c>
      <c r="W15" s="408" t="e">
        <f t="shared" ref="W15:W26" si="2">IF(S15=1,R15,0)</f>
        <v>#DIV/0!</v>
      </c>
      <c r="X15" s="408">
        <f t="shared" ref="X15:X26" si="3">IF(S15=2,R15,0)</f>
        <v>0</v>
      </c>
      <c r="AA15" s="557" t="str">
        <f>I15</f>
        <v>N/A</v>
      </c>
      <c r="AB15" s="557">
        <f>J15</f>
        <v>0</v>
      </c>
    </row>
    <row r="16" spans="1:28" ht="20.399999999999999" x14ac:dyDescent="0.2">
      <c r="A16" s="275" t="s">
        <v>368</v>
      </c>
      <c r="B16" s="92">
        <v>0</v>
      </c>
      <c r="C16" s="92">
        <v>1</v>
      </c>
      <c r="D16" s="92">
        <v>12</v>
      </c>
      <c r="E16" s="92">
        <v>1</v>
      </c>
      <c r="F16" s="32">
        <f>ROUND(Costs!$B$3*B16+Costs!$B$4*C16+Costs!$B$5*D16+Costs!$B$6*E16,2)</f>
        <v>1012.44</v>
      </c>
      <c r="G16" s="32" t="str">
        <f>Costs!$B$62</f>
        <v xml:space="preserve"> </v>
      </c>
      <c r="H16" s="93">
        <f>Costs!$B$21</f>
        <v>1400</v>
      </c>
      <c r="I16" s="95" t="s">
        <v>677</v>
      </c>
      <c r="J16" s="86">
        <f>(Universe!$C$19+Universe!$C$18)*3</f>
        <v>0</v>
      </c>
      <c r="K16" s="94">
        <f>ROUND((I16+J16)*(B16+C16+D16+E16),2)</f>
        <v>0</v>
      </c>
      <c r="L16" s="93">
        <f>(I16+J16)*SUM(F16:H16)</f>
        <v>0</v>
      </c>
      <c r="M16" s="233" t="e">
        <f>L16/(I16+J16)</f>
        <v>#DIV/0!</v>
      </c>
      <c r="N16" s="130">
        <f>F16*(I16+J16)</f>
        <v>0</v>
      </c>
      <c r="O16" s="130">
        <f>G16*(I16+J16)</f>
        <v>0</v>
      </c>
      <c r="P16" s="130">
        <f>H16*(I16+J16)</f>
        <v>0</v>
      </c>
      <c r="Q16" s="188">
        <f>ROUND(((I16)*($B16+$C16+$D16+$E16))/(Universe!$C$6),2)</f>
        <v>0</v>
      </c>
      <c r="R16" s="188" t="e">
        <f>ROUND(((J16)*($B16+$C16+$D16+$E16))/(Universe!$C$2),2)</f>
        <v>#DIV/0!</v>
      </c>
      <c r="S16" s="235">
        <v>2</v>
      </c>
      <c r="U16" s="408">
        <f t="shared" si="0"/>
        <v>0</v>
      </c>
      <c r="V16" s="408">
        <f t="shared" si="1"/>
        <v>0</v>
      </c>
      <c r="W16" s="408">
        <f t="shared" si="2"/>
        <v>0</v>
      </c>
      <c r="X16" s="408" t="e">
        <f t="shared" si="3"/>
        <v>#DIV/0!</v>
      </c>
    </row>
    <row r="17" spans="1:28" ht="20.399999999999999" x14ac:dyDescent="0.2">
      <c r="A17" s="275" t="s">
        <v>183</v>
      </c>
      <c r="B17" s="92">
        <v>0</v>
      </c>
      <c r="C17" s="92">
        <v>0</v>
      </c>
      <c r="D17" s="92">
        <v>1</v>
      </c>
      <c r="E17" s="92">
        <v>6</v>
      </c>
      <c r="F17" s="32">
        <f>ROUND(Costs!$B$3*B17+Costs!$B$4*C17+Costs!$B$5*D17+Costs!$B$6*E17,2)</f>
        <v>334.63</v>
      </c>
      <c r="G17" s="32" t="str">
        <f>Costs!$B$62</f>
        <v xml:space="preserve"> </v>
      </c>
      <c r="H17" s="32">
        <f>Costs!$B$17</f>
        <v>1.5</v>
      </c>
      <c r="I17" s="95" t="s">
        <v>677</v>
      </c>
      <c r="J17" s="86">
        <f>(Universe!$C$19+Universe!$C$18)*3</f>
        <v>0</v>
      </c>
      <c r="K17" s="94">
        <f>ROUND((I17+J17)*(B17+C17+D17+E17),2)</f>
        <v>0</v>
      </c>
      <c r="L17" s="93">
        <f>(I17+J17)*SUM(F17:H17)</f>
        <v>0</v>
      </c>
      <c r="M17" s="233" t="e">
        <f>L17/(I17+J17)</f>
        <v>#DIV/0!</v>
      </c>
      <c r="N17" s="130">
        <f>F17*(I17+J17)</f>
        <v>0</v>
      </c>
      <c r="O17" s="130">
        <f>G17*(I17+J17)</f>
        <v>0</v>
      </c>
      <c r="P17" s="130">
        <f>H17*(I17+J17)</f>
        <v>0</v>
      </c>
      <c r="Q17" s="188">
        <f>ROUND(((I17)*($B17+$C17+$D17+$E17))/(Universe!$C$6),2)</f>
        <v>0</v>
      </c>
      <c r="R17" s="188" t="e">
        <f>ROUND(((J17)*($B17+$C17+$D17+$E17))/(Universe!$C$2),2)</f>
        <v>#DIV/0!</v>
      </c>
      <c r="S17" s="235">
        <v>2</v>
      </c>
      <c r="U17" s="408">
        <f t="shared" si="0"/>
        <v>0</v>
      </c>
      <c r="V17" s="408">
        <f t="shared" si="1"/>
        <v>0</v>
      </c>
      <c r="W17" s="408">
        <f t="shared" si="2"/>
        <v>0</v>
      </c>
      <c r="X17" s="408" t="e">
        <f t="shared" si="3"/>
        <v>#DIV/0!</v>
      </c>
    </row>
    <row r="18" spans="1:28" ht="51" x14ac:dyDescent="0.2">
      <c r="A18" s="275" t="s">
        <v>182</v>
      </c>
      <c r="B18" s="92">
        <v>0</v>
      </c>
      <c r="C18" s="92">
        <v>0.25</v>
      </c>
      <c r="D18" s="92">
        <v>1</v>
      </c>
      <c r="E18" s="92">
        <v>0.25</v>
      </c>
      <c r="F18" s="32">
        <f>ROUND(Costs!$B$3*B18+Costs!$B$4*C18+Costs!$B$5*D18+Costs!$B$6*E18,2)</f>
        <v>107.89</v>
      </c>
      <c r="G18" s="32" t="str">
        <f>Costs!$B$62</f>
        <v xml:space="preserve"> </v>
      </c>
      <c r="H18" s="32">
        <f>Costs!$B$19</f>
        <v>4.4000000000000004</v>
      </c>
      <c r="I18" s="95" t="s">
        <v>677</v>
      </c>
      <c r="J18" s="96">
        <f>(0.2*Universe!$C$19)</f>
        <v>0</v>
      </c>
      <c r="K18" s="94">
        <f>ROUND((I18+J18)*(B18+C18+D18+E18),2)</f>
        <v>0</v>
      </c>
      <c r="L18" s="93">
        <f>(I18+J18)*SUM(F18:H18)</f>
        <v>0</v>
      </c>
      <c r="M18" s="233" t="e">
        <f>L18/(I18+J18)</f>
        <v>#DIV/0!</v>
      </c>
      <c r="N18" s="130">
        <f>F18*(I18+J18)</f>
        <v>0</v>
      </c>
      <c r="O18" s="130">
        <f>G18*(I18+J18)</f>
        <v>0</v>
      </c>
      <c r="P18" s="130">
        <f>H18*(I18+J18)</f>
        <v>0</v>
      </c>
      <c r="Q18" s="188">
        <f>ROUND(((I18)*($B18+$C18+$D18+$E18))/(Universe!$C$6),2)</f>
        <v>0</v>
      </c>
      <c r="R18" s="188" t="e">
        <f>ROUND(((J18)*($B18+$C18+$D18+$E18))/(Universe!$C$2),2)</f>
        <v>#DIV/0!</v>
      </c>
      <c r="S18" s="235">
        <v>1</v>
      </c>
      <c r="U18" s="408">
        <f t="shared" si="0"/>
        <v>0</v>
      </c>
      <c r="V18" s="408">
        <f t="shared" si="1"/>
        <v>0</v>
      </c>
      <c r="W18" s="408" t="e">
        <f t="shared" si="2"/>
        <v>#DIV/0!</v>
      </c>
      <c r="X18" s="408">
        <f t="shared" si="3"/>
        <v>0</v>
      </c>
      <c r="AA18" s="557" t="str">
        <f>I18</f>
        <v>N/A</v>
      </c>
      <c r="AB18" s="557">
        <f>J18</f>
        <v>0</v>
      </c>
    </row>
    <row r="19" spans="1:28" x14ac:dyDescent="0.2">
      <c r="A19" s="255" t="s">
        <v>252</v>
      </c>
      <c r="B19" s="256"/>
      <c r="C19" s="256"/>
      <c r="D19" s="256"/>
      <c r="E19" s="256"/>
      <c r="F19" s="257"/>
      <c r="G19" s="257"/>
      <c r="H19" s="257"/>
      <c r="I19" s="261"/>
      <c r="J19" s="261"/>
      <c r="K19" s="259"/>
      <c r="L19" s="262"/>
      <c r="M19" s="233"/>
      <c r="N19" s="130"/>
      <c r="O19" s="130"/>
      <c r="P19" s="130"/>
      <c r="Q19" s="241"/>
      <c r="R19" s="242"/>
      <c r="U19" s="408">
        <f t="shared" si="0"/>
        <v>0</v>
      </c>
      <c r="V19" s="408">
        <f t="shared" si="1"/>
        <v>0</v>
      </c>
      <c r="W19" s="408">
        <f t="shared" si="2"/>
        <v>0</v>
      </c>
      <c r="X19" s="408">
        <f t="shared" si="3"/>
        <v>0</v>
      </c>
    </row>
    <row r="20" spans="1:28" x14ac:dyDescent="0.2">
      <c r="A20" s="275" t="s">
        <v>610</v>
      </c>
      <c r="B20" s="92">
        <v>0</v>
      </c>
      <c r="C20" s="92">
        <v>0.1</v>
      </c>
      <c r="D20" s="92">
        <v>0.25</v>
      </c>
      <c r="E20" s="92">
        <v>0</v>
      </c>
      <c r="F20" s="32">
        <f>ROUND(Costs!$B$3*B20+Costs!$B$4*C20+Costs!$B$5*D20+Costs!$B$6*E20,2)</f>
        <v>27.9</v>
      </c>
      <c r="G20" s="32" t="str">
        <f>Costs!$B$62</f>
        <v xml:space="preserve"> </v>
      </c>
      <c r="H20" s="32">
        <f>Costs!$B$16</f>
        <v>0</v>
      </c>
      <c r="I20" s="95" t="s">
        <v>677</v>
      </c>
      <c r="J20" s="96">
        <f>(Universe!$C$13+Universe!$C$12)</f>
        <v>0</v>
      </c>
      <c r="K20" s="94">
        <f>ROUND((I20+J20)*(B20+C20+D20+E20),2)</f>
        <v>0</v>
      </c>
      <c r="L20" s="93">
        <f>(I20+J20)*SUM(F20:H20)</f>
        <v>0</v>
      </c>
      <c r="M20" s="233" t="e">
        <f>L20/(I20+J20)</f>
        <v>#DIV/0!</v>
      </c>
      <c r="N20" s="130">
        <f>F20*(I20+J20)</f>
        <v>0</v>
      </c>
      <c r="O20" s="130">
        <f>G20*(I20+J20)</f>
        <v>0</v>
      </c>
      <c r="P20" s="130">
        <f>H20*(I20+J20)</f>
        <v>0</v>
      </c>
      <c r="Q20" s="188">
        <f>ROUND(((I20)*($B20+$C20+$D20+$E20))/(Universe!$C$6),2)</f>
        <v>0</v>
      </c>
      <c r="R20" s="188" t="e">
        <f>ROUND(((J20)*($B20+$C20+$D20+$E20))/(Universe!$C$2),2)</f>
        <v>#DIV/0!</v>
      </c>
      <c r="S20" s="235">
        <v>2</v>
      </c>
      <c r="U20" s="408">
        <f t="shared" si="0"/>
        <v>0</v>
      </c>
      <c r="V20" s="408">
        <f t="shared" si="1"/>
        <v>0</v>
      </c>
      <c r="W20" s="408">
        <f t="shared" si="2"/>
        <v>0</v>
      </c>
      <c r="X20" s="408" t="e">
        <f t="shared" si="3"/>
        <v>#DIV/0!</v>
      </c>
    </row>
    <row r="21" spans="1:28" x14ac:dyDescent="0.2">
      <c r="A21" s="275" t="s">
        <v>370</v>
      </c>
      <c r="B21" s="92">
        <v>0</v>
      </c>
      <c r="C21" s="92">
        <v>0.25</v>
      </c>
      <c r="D21" s="92">
        <v>1</v>
      </c>
      <c r="E21" s="92">
        <v>0.25</v>
      </c>
      <c r="F21" s="32">
        <f>ROUND(Costs!$B$3*B21+Costs!$B$4*C21+Costs!$B$5*D21+Costs!$B$6*E21,2)</f>
        <v>107.89</v>
      </c>
      <c r="G21" s="32" t="str">
        <f>Costs!$B$62</f>
        <v xml:space="preserve"> </v>
      </c>
      <c r="H21" s="32">
        <f>Costs!$B$19</f>
        <v>4.4000000000000004</v>
      </c>
      <c r="I21" s="95" t="s">
        <v>677</v>
      </c>
      <c r="J21" s="96">
        <v>0</v>
      </c>
      <c r="K21" s="94">
        <f>ROUND((I21+J21)*(B21+C21+D21+E21),2)</f>
        <v>0</v>
      </c>
      <c r="L21" s="93">
        <f>(I21+J21)*SUM(F21:H21)</f>
        <v>0</v>
      </c>
      <c r="M21" s="233" t="e">
        <f>L21/(I21+J21)</f>
        <v>#DIV/0!</v>
      </c>
      <c r="N21" s="130">
        <f>F21*(I21+J21)</f>
        <v>0</v>
      </c>
      <c r="O21" s="130">
        <f>G21*(I21+J21)</f>
        <v>0</v>
      </c>
      <c r="P21" s="130">
        <f>H21*(I21+J21)</f>
        <v>0</v>
      </c>
      <c r="Q21" s="188">
        <f>ROUND(((I21)*($B21+$C21+$D21+$E21))/(Universe!$C$6),2)</f>
        <v>0</v>
      </c>
      <c r="R21" s="188" t="e">
        <f>ROUND(((J21)*($B21+$C21+$D21+$E21))/(Universe!$C$2),2)</f>
        <v>#DIV/0!</v>
      </c>
      <c r="S21" s="235">
        <v>1</v>
      </c>
      <c r="U21" s="408">
        <f t="shared" si="0"/>
        <v>0</v>
      </c>
      <c r="V21" s="408">
        <f t="shared" si="1"/>
        <v>0</v>
      </c>
      <c r="W21" s="408" t="e">
        <f t="shared" si="2"/>
        <v>#DIV/0!</v>
      </c>
      <c r="X21" s="408">
        <f t="shared" si="3"/>
        <v>0</v>
      </c>
      <c r="AA21" s="557" t="str">
        <f>I21</f>
        <v>N/A</v>
      </c>
      <c r="AB21" s="557">
        <f>J21</f>
        <v>0</v>
      </c>
    </row>
    <row r="22" spans="1:28" ht="40.799999999999997" x14ac:dyDescent="0.2">
      <c r="A22" s="275" t="s">
        <v>184</v>
      </c>
      <c r="B22" s="92">
        <v>0</v>
      </c>
      <c r="C22" s="92">
        <v>1</v>
      </c>
      <c r="D22" s="92">
        <v>12</v>
      </c>
      <c r="E22" s="92">
        <v>1</v>
      </c>
      <c r="F22" s="32">
        <f>ROUND(Costs!$B$3*B22+Costs!$B$4*C22+Costs!$B$5*D22+Costs!$B$6*E22,2)</f>
        <v>1012.44</v>
      </c>
      <c r="G22" s="32" t="str">
        <f>Costs!$B$62</f>
        <v xml:space="preserve"> </v>
      </c>
      <c r="H22" s="93">
        <f>Costs!$B$21</f>
        <v>1400</v>
      </c>
      <c r="I22" s="95" t="s">
        <v>677</v>
      </c>
      <c r="J22" s="96">
        <f>(Universe!$C$13+Universe!$C$12)*3</f>
        <v>0</v>
      </c>
      <c r="K22" s="94">
        <f>ROUND((I22+J22)*(B22+C22+D22+E22),2)</f>
        <v>0</v>
      </c>
      <c r="L22" s="93">
        <f>(I22+J22)*SUM(F22:H22)</f>
        <v>0</v>
      </c>
      <c r="M22" s="233" t="e">
        <f>L22/(I22+J22)</f>
        <v>#DIV/0!</v>
      </c>
      <c r="N22" s="130">
        <f>F22*(I22+J22)</f>
        <v>0</v>
      </c>
      <c r="O22" s="130">
        <f>G22*(I22+J22)</f>
        <v>0</v>
      </c>
      <c r="P22" s="130">
        <f>H22*(I22+J22)</f>
        <v>0</v>
      </c>
      <c r="Q22" s="188">
        <f>ROUND(((I22)*($B22+$C22+$D22+$E22))/(Universe!$C$6),2)</f>
        <v>0</v>
      </c>
      <c r="R22" s="188" t="e">
        <f>ROUND(((J22)*($B22+$C22+$D22+$E22))/(Universe!$C$2),2)</f>
        <v>#DIV/0!</v>
      </c>
      <c r="S22" s="235">
        <v>2</v>
      </c>
      <c r="U22" s="408">
        <f t="shared" si="0"/>
        <v>0</v>
      </c>
      <c r="V22" s="408">
        <f t="shared" si="1"/>
        <v>0</v>
      </c>
      <c r="W22" s="408">
        <f t="shared" si="2"/>
        <v>0</v>
      </c>
      <c r="X22" s="408" t="e">
        <f t="shared" si="3"/>
        <v>#DIV/0!</v>
      </c>
    </row>
    <row r="23" spans="1:28" ht="20.399999999999999" x14ac:dyDescent="0.2">
      <c r="A23" s="275" t="s">
        <v>185</v>
      </c>
      <c r="B23" s="92">
        <v>0</v>
      </c>
      <c r="C23" s="92">
        <v>0</v>
      </c>
      <c r="D23" s="92">
        <v>1</v>
      </c>
      <c r="E23" s="92">
        <v>6</v>
      </c>
      <c r="F23" s="32">
        <f>ROUND(Costs!$B$3*B23+Costs!$B$4*C23+Costs!$B$5*D23+Costs!$B$6*E23,2)</f>
        <v>334.63</v>
      </c>
      <c r="G23" s="32" t="str">
        <f>Costs!$B$62</f>
        <v xml:space="preserve"> </v>
      </c>
      <c r="H23" s="32">
        <f>Costs!$B$17</f>
        <v>1.5</v>
      </c>
      <c r="I23" s="95" t="s">
        <v>677</v>
      </c>
      <c r="J23" s="96">
        <f>(Universe!$C$13+Universe!$C$12)*3</f>
        <v>0</v>
      </c>
      <c r="K23" s="94">
        <f>ROUND((I23+J23)*(B23+C23+D23+E23),2)</f>
        <v>0</v>
      </c>
      <c r="L23" s="93">
        <f>(I23+J23)*SUM(F23:H23)</f>
        <v>0</v>
      </c>
      <c r="M23" s="233" t="e">
        <f>L23/(I23+J23)</f>
        <v>#DIV/0!</v>
      </c>
      <c r="N23" s="130">
        <f>F23*(I23+J23)</f>
        <v>0</v>
      </c>
      <c r="O23" s="130">
        <f>G23*(I23+J23)</f>
        <v>0</v>
      </c>
      <c r="P23" s="130">
        <f>H23*(I23+J23)</f>
        <v>0</v>
      </c>
      <c r="Q23" s="188">
        <f>ROUND(((I23)*($B23+$C23+$D23+$E23))/(Universe!$C$6),2)</f>
        <v>0</v>
      </c>
      <c r="R23" s="188" t="e">
        <f>ROUND(((J23)*($B23+$C23+$D23+$E23))/(Universe!$C$2),2)</f>
        <v>#DIV/0!</v>
      </c>
      <c r="S23" s="235">
        <v>2</v>
      </c>
      <c r="U23" s="408">
        <f t="shared" si="0"/>
        <v>0</v>
      </c>
      <c r="V23" s="408">
        <f t="shared" si="1"/>
        <v>0</v>
      </c>
      <c r="W23" s="408">
        <f t="shared" si="2"/>
        <v>0</v>
      </c>
      <c r="X23" s="408" t="e">
        <f t="shared" si="3"/>
        <v>#DIV/0!</v>
      </c>
    </row>
    <row r="24" spans="1:28" s="160" customFormat="1" x14ac:dyDescent="0.2">
      <c r="A24" s="148" t="s">
        <v>598</v>
      </c>
      <c r="B24" s="183"/>
      <c r="C24" s="187"/>
      <c r="D24" s="187"/>
      <c r="E24" s="187"/>
      <c r="F24" s="184"/>
      <c r="G24" s="187"/>
      <c r="H24" s="185"/>
      <c r="I24" s="185"/>
      <c r="J24" s="185"/>
      <c r="K24" s="186"/>
      <c r="L24" s="248"/>
      <c r="M24" s="117"/>
      <c r="O24" s="118"/>
      <c r="P24" s="118"/>
      <c r="Q24" s="188"/>
      <c r="U24" s="408">
        <f t="shared" si="0"/>
        <v>0</v>
      </c>
      <c r="V24" s="408">
        <f t="shared" si="1"/>
        <v>0</v>
      </c>
      <c r="W24" s="408">
        <f t="shared" si="2"/>
        <v>0</v>
      </c>
      <c r="X24" s="408">
        <f t="shared" si="3"/>
        <v>0</v>
      </c>
      <c r="AA24" s="171"/>
      <c r="AB24" s="171"/>
    </row>
    <row r="25" spans="1:28" s="160" customFormat="1" x14ac:dyDescent="0.2">
      <c r="A25" s="224" t="s">
        <v>610</v>
      </c>
      <c r="B25" s="507">
        <v>1</v>
      </c>
      <c r="C25" s="508">
        <v>1</v>
      </c>
      <c r="D25" s="508">
        <v>1</v>
      </c>
      <c r="E25" s="508">
        <v>0</v>
      </c>
      <c r="F25" s="226">
        <f>ROUND(Costs!$B$3*B25+Costs!$B$4*C25+Costs!$B$5*D25+Costs!$B$6*E25,2)</f>
        <v>334.96</v>
      </c>
      <c r="G25" s="226" t="str">
        <f>Costs!$B$62</f>
        <v xml:space="preserve"> </v>
      </c>
      <c r="H25" s="377">
        <f>Costs!$B$16</f>
        <v>0</v>
      </c>
      <c r="I25" s="509" t="s">
        <v>677</v>
      </c>
      <c r="J25" s="379">
        <f>Universe!$C$45</f>
        <v>0</v>
      </c>
      <c r="K25" s="227">
        <f>ROUND((B25+C25+D25+E25)*(I25+J25),2)</f>
        <v>0</v>
      </c>
      <c r="L25" s="510">
        <f>(I25+J25)*SUM(F25:H25)</f>
        <v>0</v>
      </c>
      <c r="N25" s="130">
        <f>F25*(I25+J25)</f>
        <v>0</v>
      </c>
      <c r="O25" s="130">
        <f>G25*(I25+J25)</f>
        <v>0</v>
      </c>
      <c r="P25" s="130">
        <f>H25*(I25+J25)</f>
        <v>0</v>
      </c>
      <c r="Q25" s="188">
        <f>ROUND(((I25)*($B25+$C25+$D25+$E25))/(Universe!$C$6),2)</f>
        <v>0</v>
      </c>
      <c r="R25" s="188" t="e">
        <f>ROUND(((J25)*($B25+$C25+$D25+$E25))/(Universe!$C$2),2)</f>
        <v>#DIV/0!</v>
      </c>
      <c r="U25" s="408">
        <f t="shared" si="0"/>
        <v>0</v>
      </c>
      <c r="V25" s="408">
        <f t="shared" si="1"/>
        <v>0</v>
      </c>
      <c r="W25" s="408">
        <f t="shared" si="2"/>
        <v>0</v>
      </c>
      <c r="X25" s="408">
        <f t="shared" si="3"/>
        <v>0</v>
      </c>
      <c r="AA25" s="171"/>
      <c r="AB25" s="171"/>
    </row>
    <row r="26" spans="1:28" s="160" customFormat="1" ht="51" x14ac:dyDescent="0.2">
      <c r="A26" s="224" t="s">
        <v>367</v>
      </c>
      <c r="B26" s="507">
        <v>0</v>
      </c>
      <c r="C26" s="508">
        <v>2</v>
      </c>
      <c r="D26" s="508">
        <v>2</v>
      </c>
      <c r="E26" s="508">
        <v>1</v>
      </c>
      <c r="F26" s="226">
        <f>ROUND(Costs!$B$3*B26+Costs!$B$4*C26+Costs!$B$5*D26+Costs!$B$6*E26,2)</f>
        <v>383.79</v>
      </c>
      <c r="G26" s="226" t="str">
        <f>Costs!$B$62</f>
        <v xml:space="preserve"> </v>
      </c>
      <c r="H26" s="226">
        <f>Costs!$B$19</f>
        <v>4.4000000000000004</v>
      </c>
      <c r="I26" s="509" t="s">
        <v>677</v>
      </c>
      <c r="J26" s="379">
        <f>Universe!$C$45</f>
        <v>0</v>
      </c>
      <c r="K26" s="227">
        <f>ROUND((B26+C26+D26+E26)*(I26+J26),2)</f>
        <v>0</v>
      </c>
      <c r="L26" s="510">
        <f>(I26+J26)*SUM(F26:H26)</f>
        <v>0</v>
      </c>
      <c r="N26" s="130">
        <f>F26*(I26+J26)</f>
        <v>0</v>
      </c>
      <c r="O26" s="130">
        <f>G26*(I26+J26)</f>
        <v>0</v>
      </c>
      <c r="P26" s="130">
        <f>H26*(I26+J26)</f>
        <v>0</v>
      </c>
      <c r="Q26" s="188">
        <f>ROUND(((I26)*($B26+$C26+$D26+$E26))/(Universe!$C$6),2)</f>
        <v>0</v>
      </c>
      <c r="R26" s="188" t="e">
        <f>ROUND(((J26)*($B26+$C26+$D26+$E26))/(Universe!$C$2),2)</f>
        <v>#DIV/0!</v>
      </c>
      <c r="U26" s="408">
        <f t="shared" si="0"/>
        <v>0</v>
      </c>
      <c r="V26" s="408">
        <f t="shared" si="1"/>
        <v>0</v>
      </c>
      <c r="W26" s="408">
        <f t="shared" si="2"/>
        <v>0</v>
      </c>
      <c r="X26" s="408">
        <f t="shared" si="3"/>
        <v>0</v>
      </c>
      <c r="AA26" s="557" t="str">
        <f>I26</f>
        <v>N/A</v>
      </c>
      <c r="AB26" s="557">
        <f>J26</f>
        <v>0</v>
      </c>
    </row>
    <row r="27" spans="1:28" x14ac:dyDescent="0.2">
      <c r="A27" s="255" t="s">
        <v>253</v>
      </c>
      <c r="B27" s="256"/>
      <c r="C27" s="256"/>
      <c r="D27" s="256"/>
      <c r="E27" s="256"/>
      <c r="F27" s="257"/>
      <c r="G27" s="257"/>
      <c r="H27" s="257"/>
      <c r="I27" s="261"/>
      <c r="J27" s="261"/>
      <c r="K27" s="259"/>
      <c r="L27" s="262"/>
      <c r="M27" s="233"/>
      <c r="N27" s="130"/>
      <c r="O27" s="130"/>
      <c r="P27" s="130"/>
      <c r="Q27" s="241"/>
      <c r="R27" s="242"/>
    </row>
    <row r="28" spans="1:28" x14ac:dyDescent="0.2">
      <c r="A28" s="275" t="s">
        <v>610</v>
      </c>
      <c r="B28" s="92">
        <v>0</v>
      </c>
      <c r="C28" s="92">
        <v>0.25</v>
      </c>
      <c r="D28" s="92">
        <v>0.5</v>
      </c>
      <c r="E28" s="92">
        <v>0</v>
      </c>
      <c r="F28" s="32">
        <f>ROUND(Costs!$B$3*B28+Costs!$B$4*C28+Costs!$B$5*D28+Costs!$B$6*E28,2)</f>
        <v>60.67</v>
      </c>
      <c r="G28" s="32" t="str">
        <f>Costs!$B$62</f>
        <v xml:space="preserve"> </v>
      </c>
      <c r="H28" s="32">
        <f>Costs!$B$16</f>
        <v>0</v>
      </c>
      <c r="I28" s="95" t="s">
        <v>677</v>
      </c>
      <c r="J28" s="96">
        <f>(Universe!$C$16)</f>
        <v>0</v>
      </c>
      <c r="K28" s="94">
        <f>ROUND((I28+J28)*(B28+C28+D28+E28),2)</f>
        <v>0</v>
      </c>
      <c r="L28" s="93">
        <f>(I28+J28)*SUM(F28:H28)</f>
        <v>0</v>
      </c>
      <c r="M28" s="233" t="e">
        <f>L28/(I28+J28)</f>
        <v>#DIV/0!</v>
      </c>
      <c r="N28" s="130">
        <f>F28*(I28+J28)</f>
        <v>0</v>
      </c>
      <c r="O28" s="130">
        <f>G28*(I28+J28)</f>
        <v>0</v>
      </c>
      <c r="P28" s="130">
        <f>H28*(I28+J28)</f>
        <v>0</v>
      </c>
      <c r="Q28" s="188">
        <f>ROUND(((I28)*($B28+$C28+$D28+$E28))/(Universe!$C$6),2)</f>
        <v>0</v>
      </c>
      <c r="R28" s="188" t="e">
        <f>ROUND(((J28)*($B28+$C28+$D28+$E28))/(Universe!$C$2),2)</f>
        <v>#DIV/0!</v>
      </c>
      <c r="S28" s="235">
        <v>2</v>
      </c>
      <c r="U28" s="408">
        <f>IF(S28=1,Q28,0)</f>
        <v>0</v>
      </c>
      <c r="V28" s="408">
        <f>IF(S28=2,Q28,0)</f>
        <v>0</v>
      </c>
      <c r="W28" s="408">
        <f>IF(S28=1,R28,0)</f>
        <v>0</v>
      </c>
      <c r="X28" s="408" t="e">
        <f>IF(S28=2,R28,0)</f>
        <v>#DIV/0!</v>
      </c>
    </row>
    <row r="29" spans="1:28" ht="30.6" x14ac:dyDescent="0.2">
      <c r="A29" s="275" t="s">
        <v>186</v>
      </c>
      <c r="B29" s="92">
        <v>0</v>
      </c>
      <c r="C29" s="92">
        <v>1</v>
      </c>
      <c r="D29" s="92">
        <v>12</v>
      </c>
      <c r="E29" s="92">
        <v>1</v>
      </c>
      <c r="F29" s="32">
        <f>ROUND(Costs!$B$3*B29+Costs!$B$4*C29+Costs!$B$5*D29+Costs!$B$6*E29,2)</f>
        <v>1012.44</v>
      </c>
      <c r="G29" s="32" t="str">
        <f>Costs!$B$62</f>
        <v xml:space="preserve"> </v>
      </c>
      <c r="H29" s="32">
        <f>Costs!$B$16</f>
        <v>0</v>
      </c>
      <c r="I29" s="95" t="s">
        <v>677</v>
      </c>
      <c r="J29" s="96">
        <f>(Universe!$C$16)*3</f>
        <v>0</v>
      </c>
      <c r="K29" s="94">
        <f>ROUND((I29+J29)*(B29+C29+D29+E29),2)</f>
        <v>0</v>
      </c>
      <c r="L29" s="93">
        <f>(I29+J29)*SUM(F29:H29)</f>
        <v>0</v>
      </c>
      <c r="M29" s="233" t="e">
        <f>L29/(I29+J29)</f>
        <v>#DIV/0!</v>
      </c>
      <c r="N29" s="130">
        <f>F29*(I29+J29)</f>
        <v>0</v>
      </c>
      <c r="O29" s="130">
        <f>G29*(I29+J29)</f>
        <v>0</v>
      </c>
      <c r="P29" s="130">
        <f>H29*(I29+J29)</f>
        <v>0</v>
      </c>
      <c r="Q29" s="188">
        <f>ROUND(((I29)*($B29+$C29+$D29+$E29))/(Universe!$C$6),2)</f>
        <v>0</v>
      </c>
      <c r="R29" s="188" t="e">
        <f>ROUND(((J29)*($B29+$C29+$D29+$E29))/(Universe!$C$2),2)</f>
        <v>#DIV/0!</v>
      </c>
      <c r="S29" s="235">
        <v>1</v>
      </c>
      <c r="U29" s="408">
        <f>IF(S29=1,Q29,0)</f>
        <v>0</v>
      </c>
      <c r="V29" s="408">
        <f>IF(S29=2,Q29,0)</f>
        <v>0</v>
      </c>
      <c r="W29" s="408" t="e">
        <f>IF(S29=1,R29,0)</f>
        <v>#DIV/0!</v>
      </c>
      <c r="X29" s="408">
        <f>IF(S29=2,R29,0)</f>
        <v>0</v>
      </c>
    </row>
    <row r="30" spans="1:28" ht="20.399999999999999" x14ac:dyDescent="0.2">
      <c r="A30" s="275" t="s">
        <v>187</v>
      </c>
      <c r="B30" s="92">
        <v>0</v>
      </c>
      <c r="C30" s="92">
        <v>0.25</v>
      </c>
      <c r="D30" s="92">
        <v>0.5</v>
      </c>
      <c r="E30" s="92">
        <v>0.25</v>
      </c>
      <c r="F30" s="32">
        <f>ROUND(Costs!$B$3*B30+Costs!$B$4*C30+Costs!$B$5*D30+Costs!$B$6*E30,2)</f>
        <v>71.59</v>
      </c>
      <c r="G30" s="32" t="str">
        <f>Costs!$B$62</f>
        <v xml:space="preserve"> </v>
      </c>
      <c r="H30" s="32">
        <f>Costs!$B$19</f>
        <v>4.4000000000000004</v>
      </c>
      <c r="I30" s="95" t="s">
        <v>677</v>
      </c>
      <c r="J30" s="96">
        <f>Universe!$C$16</f>
        <v>0</v>
      </c>
      <c r="K30" s="94">
        <f>ROUND((I30+J30)*(B30+C30+D30+E30),2)</f>
        <v>0</v>
      </c>
      <c r="L30" s="93">
        <f>(I30+J30)*SUM(F30:H30)</f>
        <v>0</v>
      </c>
      <c r="M30" s="233" t="e">
        <f>L30/(I30+J30)</f>
        <v>#DIV/0!</v>
      </c>
      <c r="N30" s="130">
        <f>F30*(I30+J30)</f>
        <v>0</v>
      </c>
      <c r="O30" s="130">
        <f>G30*(I30+J30)</f>
        <v>0</v>
      </c>
      <c r="P30" s="130">
        <f>H30*(I30+J30)</f>
        <v>0</v>
      </c>
      <c r="Q30" s="188">
        <f>ROUND(((I30)*($B30+$C30+$D30+$E30))/(Universe!$C$6),2)</f>
        <v>0</v>
      </c>
      <c r="R30" s="188" t="e">
        <f>ROUND(((J30)*($B30+$C30+$D30+$E30))/(Universe!$C$2),2)</f>
        <v>#DIV/0!</v>
      </c>
      <c r="S30" s="235">
        <v>1</v>
      </c>
      <c r="U30" s="408">
        <f>IF(S30=1,Q30,0)</f>
        <v>0</v>
      </c>
      <c r="V30" s="408">
        <f>IF(S30=2,Q30,0)</f>
        <v>0</v>
      </c>
      <c r="W30" s="408" t="e">
        <f>IF(S30=1,R30,0)</f>
        <v>#DIV/0!</v>
      </c>
      <c r="X30" s="408">
        <f>IF(S30=2,R30,0)</f>
        <v>0</v>
      </c>
      <c r="AA30" s="557" t="str">
        <f>I30</f>
        <v>N/A</v>
      </c>
      <c r="AB30" s="557">
        <f>J30</f>
        <v>0</v>
      </c>
    </row>
    <row r="31" spans="1:28" ht="31.2" thickBot="1" x14ac:dyDescent="0.25">
      <c r="A31" s="281" t="s">
        <v>188</v>
      </c>
      <c r="B31" s="282">
        <v>0</v>
      </c>
      <c r="C31" s="282">
        <v>0</v>
      </c>
      <c r="D31" s="282">
        <v>1</v>
      </c>
      <c r="E31" s="282">
        <v>6</v>
      </c>
      <c r="F31" s="191">
        <f>ROUND(Costs!$B$3*B31+Costs!$B$4*C31+Costs!$B$5*D31+Costs!$B$6*E31,2)</f>
        <v>334.63</v>
      </c>
      <c r="G31" s="191" t="str">
        <f>Costs!$B$62</f>
        <v xml:space="preserve"> </v>
      </c>
      <c r="H31" s="191">
        <f>Costs!$B$17</f>
        <v>1.5</v>
      </c>
      <c r="I31" s="283" t="s">
        <v>677</v>
      </c>
      <c r="J31" s="284">
        <f>(Universe!$C$16)*3</f>
        <v>0</v>
      </c>
      <c r="K31" s="285">
        <f>ROUND((I31+J31)*(B31+C31+D31+E31),2)</f>
        <v>0</v>
      </c>
      <c r="L31" s="286">
        <f>(I31+J31)*SUM(F31:H31)</f>
        <v>0</v>
      </c>
      <c r="M31" s="233" t="e">
        <f>L31/(I31+J31)</f>
        <v>#DIV/0!</v>
      </c>
      <c r="N31" s="130">
        <f>F31*(I31+J31)</f>
        <v>0</v>
      </c>
      <c r="O31" s="130">
        <f>G31*(I31+J31)</f>
        <v>0</v>
      </c>
      <c r="P31" s="130">
        <f>H31*(I31+J31)</f>
        <v>0</v>
      </c>
      <c r="Q31" s="188">
        <f>ROUND(((I31)*($B31+$C31+$D31+$E31))/(Universe!$C$6),2)</f>
        <v>0</v>
      </c>
      <c r="R31" s="188" t="e">
        <f>ROUND(((J31)*($B31+$C31+$D31+$E31))/(Universe!$C$2),2)</f>
        <v>#DIV/0!</v>
      </c>
      <c r="S31" s="235">
        <v>2</v>
      </c>
      <c r="U31" s="408">
        <f>IF(S31=1,Q31,0)</f>
        <v>0</v>
      </c>
      <c r="V31" s="408">
        <f>IF(S31=2,Q31,0)</f>
        <v>0</v>
      </c>
      <c r="W31" s="408">
        <f>IF(S31=1,R31,0)</f>
        <v>0</v>
      </c>
      <c r="X31" s="408" t="e">
        <f>IF(S31=2,R31,0)</f>
        <v>#DIV/0!</v>
      </c>
    </row>
    <row r="32" spans="1:28" ht="10.8" thickBot="1" x14ac:dyDescent="0.25">
      <c r="A32" s="293" t="s">
        <v>596</v>
      </c>
      <c r="B32" s="201" t="s">
        <v>597</v>
      </c>
      <c r="C32" s="201" t="s">
        <v>597</v>
      </c>
      <c r="D32" s="201" t="s">
        <v>597</v>
      </c>
      <c r="E32" s="201" t="s">
        <v>597</v>
      </c>
      <c r="F32" s="201" t="s">
        <v>597</v>
      </c>
      <c r="G32" s="201" t="s">
        <v>597</v>
      </c>
      <c r="H32" s="201" t="s">
        <v>597</v>
      </c>
      <c r="I32" s="202" t="s">
        <v>597</v>
      </c>
      <c r="J32" s="202" t="s">
        <v>597</v>
      </c>
      <c r="K32" s="229">
        <f>SUM(K14:K31)</f>
        <v>0</v>
      </c>
      <c r="L32" s="294">
        <f>SUM(L14:L31)</f>
        <v>0</v>
      </c>
      <c r="M32" s="233" t="e">
        <f>ROUND(SUM(M14:M31),2)</f>
        <v>#DIV/0!</v>
      </c>
      <c r="N32" s="294">
        <f>SUM(N14:N31)</f>
        <v>0</v>
      </c>
      <c r="O32" s="229">
        <f>SUM(O14:O31)</f>
        <v>0</v>
      </c>
      <c r="P32" s="229">
        <f>SUM(P14:P31)</f>
        <v>0</v>
      </c>
      <c r="Q32" s="240"/>
      <c r="U32" s="229">
        <f>SUM(U14:U31)</f>
        <v>0</v>
      </c>
      <c r="V32" s="229">
        <f>SUM(V14:V31)</f>
        <v>0</v>
      </c>
      <c r="W32" s="229" t="e">
        <f>SUM(W14:W31)</f>
        <v>#DIV/0!</v>
      </c>
      <c r="X32" s="229" t="e">
        <f>SUM(X14:X31)</f>
        <v>#DIV/0!</v>
      </c>
    </row>
    <row r="33" spans="1:28" x14ac:dyDescent="0.2">
      <c r="A33" s="287" t="s">
        <v>562</v>
      </c>
      <c r="B33" s="288"/>
      <c r="C33" s="288"/>
      <c r="D33" s="288"/>
      <c r="E33" s="288"/>
      <c r="F33" s="289"/>
      <c r="G33" s="289"/>
      <c r="H33" s="289"/>
      <c r="I33" s="290"/>
      <c r="J33" s="290"/>
      <c r="K33" s="291"/>
      <c r="L33" s="292"/>
      <c r="M33" s="233"/>
      <c r="N33" s="130"/>
      <c r="O33" s="130"/>
      <c r="P33" s="130"/>
    </row>
    <row r="34" spans="1:28" x14ac:dyDescent="0.2">
      <c r="A34" s="255" t="s">
        <v>255</v>
      </c>
      <c r="B34" s="256"/>
      <c r="C34" s="256"/>
      <c r="D34" s="256"/>
      <c r="E34" s="256"/>
      <c r="F34" s="257"/>
      <c r="G34" s="257"/>
      <c r="H34" s="257"/>
      <c r="I34" s="261"/>
      <c r="J34" s="261"/>
      <c r="K34" s="259"/>
      <c r="L34" s="262"/>
      <c r="M34" s="233"/>
      <c r="N34" s="130"/>
      <c r="O34" s="130"/>
      <c r="P34" s="130"/>
      <c r="Q34" s="241"/>
      <c r="R34" s="242"/>
      <c r="S34" s="242" t="s">
        <v>573</v>
      </c>
    </row>
    <row r="35" spans="1:28" x14ac:dyDescent="0.2">
      <c r="A35" s="275" t="s">
        <v>610</v>
      </c>
      <c r="B35" s="92">
        <v>0</v>
      </c>
      <c r="C35" s="92">
        <v>0.1</v>
      </c>
      <c r="D35" s="92">
        <v>0.25</v>
      </c>
      <c r="E35" s="92">
        <v>0</v>
      </c>
      <c r="F35" s="32">
        <f>ROUND(Costs!$B$3*B35+Costs!$B$4*C35+Costs!$B$5*D35+Costs!$B$6*E35,2)</f>
        <v>27.9</v>
      </c>
      <c r="G35" s="32" t="str">
        <f>Costs!$B$62</f>
        <v xml:space="preserve"> </v>
      </c>
      <c r="H35" s="32">
        <f>Costs!$B$16</f>
        <v>0</v>
      </c>
      <c r="I35" s="96">
        <f>(Universe!$C$6)*0.85</f>
        <v>30.599999999999998</v>
      </c>
      <c r="J35" s="95" t="s">
        <v>677</v>
      </c>
      <c r="K35" s="94">
        <f t="shared" ref="K35:K57" si="4">ROUND((I35+J35)*(B35+C35+D35+E35),2)</f>
        <v>10.71</v>
      </c>
      <c r="L35" s="93">
        <f t="shared" ref="L35:L55" si="5">(I35+J35)*SUM(F35:H35)</f>
        <v>853.7399999999999</v>
      </c>
      <c r="M35" s="233">
        <f t="shared" ref="M35:M55" si="6">L35/(I35+J35)</f>
        <v>27.9</v>
      </c>
      <c r="N35" s="130">
        <f t="shared" ref="N35:N55" si="7">F35*(I35+J35)</f>
        <v>853.7399999999999</v>
      </c>
      <c r="O35" s="130">
        <f t="shared" ref="O35:O55" si="8">G35*(I35+J35)</f>
        <v>0</v>
      </c>
      <c r="P35" s="130">
        <f t="shared" ref="P35:P55" si="9">H35*(I35+J35)</f>
        <v>0</v>
      </c>
      <c r="Q35" s="188">
        <f>ROUND(((I35)*($B35+$C35+$D35+$E35))/(Universe!$C$6),2)</f>
        <v>0.3</v>
      </c>
      <c r="R35" s="188" t="e">
        <f>ROUND(((J35)*($B35+$C35+$D35+$E35))/(Universe!$C$2),2)</f>
        <v>#DIV/0!</v>
      </c>
      <c r="S35" s="235">
        <v>2</v>
      </c>
      <c r="U35" s="408">
        <f t="shared" ref="U35:U55" si="10">IF(S35=1,Q35,0)</f>
        <v>0</v>
      </c>
      <c r="V35" s="408">
        <f t="shared" ref="V35:V55" si="11">IF(S35=2,Q35,0)</f>
        <v>0.3</v>
      </c>
      <c r="W35" s="408">
        <f t="shared" ref="W35:W55" si="12">IF(S35=1,R35,0)</f>
        <v>0</v>
      </c>
      <c r="X35" s="408" t="e">
        <f t="shared" ref="X35:X55" si="13">IF(S35=2,R35,0)</f>
        <v>#DIV/0!</v>
      </c>
    </row>
    <row r="36" spans="1:28" ht="40.799999999999997" x14ac:dyDescent="0.2">
      <c r="A36" s="275" t="s">
        <v>189</v>
      </c>
      <c r="B36" s="92">
        <v>0</v>
      </c>
      <c r="C36" s="92">
        <v>0</v>
      </c>
      <c r="D36" s="92">
        <v>330</v>
      </c>
      <c r="E36" s="92">
        <v>0</v>
      </c>
      <c r="F36" s="32">
        <f>ROUND(Costs!$B$3*B36+Costs!$B$4*C36+Costs!$B$5*D36+Costs!$B$6*E36,2)</f>
        <v>23961.3</v>
      </c>
      <c r="G36" s="32" t="str">
        <f>Costs!$B$62</f>
        <v xml:space="preserve"> </v>
      </c>
      <c r="H36" s="32">
        <f>Costs!B29</f>
        <v>32700</v>
      </c>
      <c r="I36" s="96">
        <f>(Universe!$C$6)*0.85</f>
        <v>30.599999999999998</v>
      </c>
      <c r="J36" s="95" t="s">
        <v>677</v>
      </c>
      <c r="K36" s="94">
        <f t="shared" si="4"/>
        <v>10098</v>
      </c>
      <c r="L36" s="93">
        <f t="shared" si="5"/>
        <v>1733835.78</v>
      </c>
      <c r="M36" s="233">
        <f t="shared" si="6"/>
        <v>56661.3</v>
      </c>
      <c r="N36" s="130">
        <f t="shared" si="7"/>
        <v>733215.77999999991</v>
      </c>
      <c r="O36" s="130">
        <f t="shared" si="8"/>
        <v>0</v>
      </c>
      <c r="P36" s="130">
        <f t="shared" si="9"/>
        <v>1000619.9999999999</v>
      </c>
      <c r="Q36" s="188">
        <f>ROUND(((I36)*($B36+$C36+$D36+$E36))/(Universe!$C$6),2)</f>
        <v>280.5</v>
      </c>
      <c r="R36" s="188" t="e">
        <f>ROUND(((J36)*($B36+$C36+$D36+$E36))/(Universe!$C$2),2)</f>
        <v>#DIV/0!</v>
      </c>
      <c r="S36" s="235">
        <v>1</v>
      </c>
      <c r="U36" s="408">
        <f t="shared" si="10"/>
        <v>280.5</v>
      </c>
      <c r="V36" s="408">
        <f t="shared" si="11"/>
        <v>0</v>
      </c>
      <c r="W36" s="408" t="e">
        <f t="shared" si="12"/>
        <v>#DIV/0!</v>
      </c>
      <c r="X36" s="408">
        <f t="shared" si="13"/>
        <v>0</v>
      </c>
    </row>
    <row r="37" spans="1:28" ht="20.399999999999999" x14ac:dyDescent="0.2">
      <c r="A37" s="275" t="s">
        <v>190</v>
      </c>
      <c r="B37" s="92">
        <v>0</v>
      </c>
      <c r="C37" s="92">
        <v>0</v>
      </c>
      <c r="D37" s="92">
        <v>2</v>
      </c>
      <c r="E37" s="92">
        <v>0</v>
      </c>
      <c r="F37" s="32">
        <f>ROUND(Costs!$B$3*B37+Costs!$B$4*C37+Costs!$B$5*D37+Costs!$B$6*E37,2)</f>
        <v>145.22</v>
      </c>
      <c r="G37" s="32" t="str">
        <f>Costs!$B$62</f>
        <v xml:space="preserve"> </v>
      </c>
      <c r="H37" s="32">
        <f>Costs!$B$16</f>
        <v>0</v>
      </c>
      <c r="I37" s="96">
        <f>ROUND(I36*0.1,0)</f>
        <v>3</v>
      </c>
      <c r="J37" s="95" t="s">
        <v>677</v>
      </c>
      <c r="K37" s="94">
        <f t="shared" si="4"/>
        <v>6</v>
      </c>
      <c r="L37" s="93">
        <f t="shared" si="5"/>
        <v>435.65999999999997</v>
      </c>
      <c r="M37" s="233">
        <f t="shared" si="6"/>
        <v>145.22</v>
      </c>
      <c r="N37" s="130">
        <f t="shared" si="7"/>
        <v>435.65999999999997</v>
      </c>
      <c r="O37" s="130">
        <f t="shared" si="8"/>
        <v>0</v>
      </c>
      <c r="P37" s="130">
        <f t="shared" si="9"/>
        <v>0</v>
      </c>
      <c r="Q37" s="188">
        <f>ROUND(((I37)*($B37+$C37+$D37+$E37))/(Universe!$C$6),2)</f>
        <v>0.17</v>
      </c>
      <c r="R37" s="188" t="e">
        <f>ROUND(((J37)*($B37+$C37+$D37+$E37))/(Universe!$C$2),2)</f>
        <v>#DIV/0!</v>
      </c>
      <c r="S37" s="235">
        <v>2</v>
      </c>
      <c r="U37" s="408">
        <f t="shared" si="10"/>
        <v>0</v>
      </c>
      <c r="V37" s="408">
        <f t="shared" si="11"/>
        <v>0.17</v>
      </c>
      <c r="W37" s="408">
        <f t="shared" si="12"/>
        <v>0</v>
      </c>
      <c r="X37" s="408" t="e">
        <f t="shared" si="13"/>
        <v>#DIV/0!</v>
      </c>
    </row>
    <row r="38" spans="1:28" ht="30.6" x14ac:dyDescent="0.2">
      <c r="A38" s="275" t="s">
        <v>191</v>
      </c>
      <c r="B38" s="92">
        <v>0</v>
      </c>
      <c r="C38" s="92">
        <v>0</v>
      </c>
      <c r="D38" s="92">
        <v>0.25</v>
      </c>
      <c r="E38" s="92">
        <v>0</v>
      </c>
      <c r="F38" s="32">
        <f>ROUND(Costs!$B$3*B38+Costs!$B$4*C38+Costs!$B$5*D38+Costs!$B$6*E38,2)</f>
        <v>18.149999999999999</v>
      </c>
      <c r="G38" s="32" t="str">
        <f>Costs!$B$62</f>
        <v xml:space="preserve"> </v>
      </c>
      <c r="H38" s="32">
        <f>Costs!$B$16</f>
        <v>0</v>
      </c>
      <c r="I38" s="96">
        <f>(Universe!$C$6)*0.85</f>
        <v>30.599999999999998</v>
      </c>
      <c r="J38" s="95" t="s">
        <v>677</v>
      </c>
      <c r="K38" s="94">
        <f t="shared" si="4"/>
        <v>7.65</v>
      </c>
      <c r="L38" s="93">
        <f t="shared" si="5"/>
        <v>555.38999999999987</v>
      </c>
      <c r="M38" s="233">
        <f t="shared" si="6"/>
        <v>18.149999999999999</v>
      </c>
      <c r="N38" s="130">
        <f t="shared" si="7"/>
        <v>555.38999999999987</v>
      </c>
      <c r="O38" s="130">
        <f t="shared" si="8"/>
        <v>0</v>
      </c>
      <c r="P38" s="130">
        <f t="shared" si="9"/>
        <v>0</v>
      </c>
      <c r="Q38" s="188">
        <f>ROUND(((I38)*($B38+$C38+$D38+$E38))/(Universe!$C$6),2)</f>
        <v>0.21</v>
      </c>
      <c r="R38" s="188" t="e">
        <f>ROUND(((J38)*($B38+$C38+$D38+$E38))/(Universe!$C$2),2)</f>
        <v>#DIV/0!</v>
      </c>
      <c r="S38" s="235">
        <v>2</v>
      </c>
      <c r="U38" s="408">
        <f t="shared" si="10"/>
        <v>0</v>
      </c>
      <c r="V38" s="408">
        <f t="shared" si="11"/>
        <v>0.21</v>
      </c>
      <c r="W38" s="408">
        <f t="shared" si="12"/>
        <v>0</v>
      </c>
      <c r="X38" s="408" t="e">
        <f t="shared" si="13"/>
        <v>#DIV/0!</v>
      </c>
    </row>
    <row r="39" spans="1:28" ht="30.6" x14ac:dyDescent="0.2">
      <c r="A39" s="275" t="s">
        <v>192</v>
      </c>
      <c r="B39" s="92">
        <v>0</v>
      </c>
      <c r="C39" s="92">
        <v>0</v>
      </c>
      <c r="D39" s="92">
        <v>0.25</v>
      </c>
      <c r="E39" s="92">
        <v>0</v>
      </c>
      <c r="F39" s="32">
        <f>ROUND(Costs!$B$3*B39+Costs!$B$4*C39+Costs!$B$5*D39+Costs!$B$6*E39,2)</f>
        <v>18.149999999999999</v>
      </c>
      <c r="G39" s="32" t="str">
        <f>Costs!$B$62</f>
        <v xml:space="preserve"> </v>
      </c>
      <c r="H39" s="32">
        <f>Costs!$B$16</f>
        <v>0</v>
      </c>
      <c r="I39" s="96">
        <f>(Universe!$C$6)*0.85</f>
        <v>30.599999999999998</v>
      </c>
      <c r="J39" s="95" t="s">
        <v>677</v>
      </c>
      <c r="K39" s="94">
        <f t="shared" si="4"/>
        <v>7.65</v>
      </c>
      <c r="L39" s="93">
        <f t="shared" si="5"/>
        <v>555.38999999999987</v>
      </c>
      <c r="M39" s="233">
        <f t="shared" si="6"/>
        <v>18.149999999999999</v>
      </c>
      <c r="N39" s="130">
        <f t="shared" si="7"/>
        <v>555.38999999999987</v>
      </c>
      <c r="O39" s="130">
        <f t="shared" si="8"/>
        <v>0</v>
      </c>
      <c r="P39" s="130">
        <f t="shared" si="9"/>
        <v>0</v>
      </c>
      <c r="Q39" s="188">
        <f>ROUND(((I39)*($B39+$C39+$D39+$E39))/(Universe!$C$6),2)</f>
        <v>0.21</v>
      </c>
      <c r="R39" s="188" t="e">
        <f>ROUND(((J39)*($B39+$C39+$D39+$E39))/(Universe!$C$2),2)</f>
        <v>#DIV/0!</v>
      </c>
      <c r="S39" s="235">
        <v>2</v>
      </c>
      <c r="U39" s="408">
        <f t="shared" si="10"/>
        <v>0</v>
      </c>
      <c r="V39" s="408">
        <f t="shared" si="11"/>
        <v>0.21</v>
      </c>
      <c r="W39" s="408">
        <f t="shared" si="12"/>
        <v>0</v>
      </c>
      <c r="X39" s="408" t="e">
        <f t="shared" si="13"/>
        <v>#DIV/0!</v>
      </c>
    </row>
    <row r="40" spans="1:28" ht="20.399999999999999" x14ac:dyDescent="0.2">
      <c r="A40" s="275" t="s">
        <v>193</v>
      </c>
      <c r="B40" s="92">
        <v>0</v>
      </c>
      <c r="C40" s="92">
        <v>0</v>
      </c>
      <c r="D40" s="92">
        <v>0.25</v>
      </c>
      <c r="E40" s="92">
        <v>0</v>
      </c>
      <c r="F40" s="32">
        <f>ROUND(Costs!$B$3*B40+Costs!$B$4*C40+Costs!$B$5*D40+Costs!$B$6*E40,2)</f>
        <v>18.149999999999999</v>
      </c>
      <c r="G40" s="32" t="str">
        <f>Costs!$B$62</f>
        <v xml:space="preserve"> </v>
      </c>
      <c r="H40" s="32">
        <f>Costs!$B$16</f>
        <v>0</v>
      </c>
      <c r="I40" s="96">
        <f>(Universe!$C$6)*0.85</f>
        <v>30.599999999999998</v>
      </c>
      <c r="J40" s="95" t="s">
        <v>677</v>
      </c>
      <c r="K40" s="94">
        <f t="shared" si="4"/>
        <v>7.65</v>
      </c>
      <c r="L40" s="93">
        <f t="shared" si="5"/>
        <v>555.38999999999987</v>
      </c>
      <c r="M40" s="233">
        <f t="shared" si="6"/>
        <v>18.149999999999999</v>
      </c>
      <c r="N40" s="130">
        <f t="shared" si="7"/>
        <v>555.38999999999987</v>
      </c>
      <c r="O40" s="130">
        <f t="shared" si="8"/>
        <v>0</v>
      </c>
      <c r="P40" s="130">
        <f t="shared" si="9"/>
        <v>0</v>
      </c>
      <c r="Q40" s="188">
        <f>ROUND(((I40)*($B40+$C40+$D40+$E40))/(Universe!$C$6),2)</f>
        <v>0.21</v>
      </c>
      <c r="R40" s="188" t="e">
        <f>ROUND(((J40)*($B40+$C40+$D40+$E40))/(Universe!$C$2),2)</f>
        <v>#DIV/0!</v>
      </c>
      <c r="S40" s="235">
        <v>2</v>
      </c>
      <c r="U40" s="408">
        <f t="shared" si="10"/>
        <v>0</v>
      </c>
      <c r="V40" s="408">
        <f t="shared" si="11"/>
        <v>0.21</v>
      </c>
      <c r="W40" s="408">
        <f t="shared" si="12"/>
        <v>0</v>
      </c>
      <c r="X40" s="408" t="e">
        <f t="shared" si="13"/>
        <v>#DIV/0!</v>
      </c>
    </row>
    <row r="41" spans="1:28" ht="30.6" x14ac:dyDescent="0.2">
      <c r="A41" s="275" t="s">
        <v>194</v>
      </c>
      <c r="B41" s="92">
        <v>0</v>
      </c>
      <c r="C41" s="92">
        <v>1</v>
      </c>
      <c r="D41" s="92">
        <v>4</v>
      </c>
      <c r="E41" s="92">
        <v>1</v>
      </c>
      <c r="F41" s="32">
        <f>ROUND(Costs!$B$3*B41+Costs!$B$4*C41+Costs!$B$5*D41+Costs!$B$6*E41,2)</f>
        <v>431.56</v>
      </c>
      <c r="G41" s="32" t="str">
        <f>Costs!$B$62</f>
        <v xml:space="preserve"> </v>
      </c>
      <c r="H41" s="32">
        <f>Costs!$B$16</f>
        <v>0</v>
      </c>
      <c r="I41" s="96">
        <f>(Universe!$C$6)*0.85</f>
        <v>30.599999999999998</v>
      </c>
      <c r="J41" s="95" t="s">
        <v>677</v>
      </c>
      <c r="K41" s="94">
        <f t="shared" si="4"/>
        <v>183.6</v>
      </c>
      <c r="L41" s="93">
        <f t="shared" si="5"/>
        <v>13205.735999999999</v>
      </c>
      <c r="M41" s="233">
        <f t="shared" si="6"/>
        <v>431.56</v>
      </c>
      <c r="N41" s="130">
        <f t="shared" si="7"/>
        <v>13205.735999999999</v>
      </c>
      <c r="O41" s="130">
        <f t="shared" si="8"/>
        <v>0</v>
      </c>
      <c r="P41" s="130">
        <f t="shared" si="9"/>
        <v>0</v>
      </c>
      <c r="Q41" s="188">
        <f>ROUND(((I41)*($B41+$C41+$D41+$E41))/(Universe!$C$6),2)</f>
        <v>5.0999999999999996</v>
      </c>
      <c r="R41" s="188" t="e">
        <f>ROUND(((J41)*($B41+$C41+$D41+$E41))/(Universe!$C$2),2)</f>
        <v>#DIV/0!</v>
      </c>
      <c r="S41" s="235">
        <v>1</v>
      </c>
      <c r="U41" s="408">
        <f t="shared" si="10"/>
        <v>5.0999999999999996</v>
      </c>
      <c r="V41" s="408">
        <f t="shared" si="11"/>
        <v>0</v>
      </c>
      <c r="W41" s="408" t="e">
        <f t="shared" si="12"/>
        <v>#DIV/0!</v>
      </c>
      <c r="X41" s="408">
        <f t="shared" si="13"/>
        <v>0</v>
      </c>
    </row>
    <row r="42" spans="1:28" ht="20.399999999999999" x14ac:dyDescent="0.2">
      <c r="A42" s="275" t="s">
        <v>195</v>
      </c>
      <c r="B42" s="92">
        <v>0</v>
      </c>
      <c r="C42" s="92">
        <v>1</v>
      </c>
      <c r="D42" s="92">
        <v>4</v>
      </c>
      <c r="E42" s="92">
        <v>1</v>
      </c>
      <c r="F42" s="32">
        <f>ROUND(Costs!$B$3*B42+Costs!$B$4*C42+Costs!$B$5*D42+Costs!$B$6*E42,2)</f>
        <v>431.56</v>
      </c>
      <c r="G42" s="32" t="str">
        <f>Costs!$B$62</f>
        <v xml:space="preserve"> </v>
      </c>
      <c r="H42" s="32">
        <f>Costs!$B$19</f>
        <v>4.4000000000000004</v>
      </c>
      <c r="I42" s="96">
        <f>(Universe!$C$6)*0.85</f>
        <v>30.599999999999998</v>
      </c>
      <c r="J42" s="95" t="s">
        <v>677</v>
      </c>
      <c r="K42" s="94">
        <f t="shared" si="4"/>
        <v>183.6</v>
      </c>
      <c r="L42" s="93">
        <f t="shared" si="5"/>
        <v>13340.375999999998</v>
      </c>
      <c r="M42" s="233">
        <f t="shared" si="6"/>
        <v>435.96</v>
      </c>
      <c r="N42" s="130">
        <f t="shared" si="7"/>
        <v>13205.735999999999</v>
      </c>
      <c r="O42" s="130">
        <f t="shared" si="8"/>
        <v>0</v>
      </c>
      <c r="P42" s="130">
        <f t="shared" si="9"/>
        <v>134.64000000000001</v>
      </c>
      <c r="Q42" s="188">
        <f>ROUND(((I42)*($B42+$C42+$D42+$E42))/(Universe!$C$6),2)</f>
        <v>5.0999999999999996</v>
      </c>
      <c r="R42" s="188" t="e">
        <f>ROUND(((J42)*($B42+$C42+$D42+$E42))/(Universe!$C$2),2)</f>
        <v>#DIV/0!</v>
      </c>
      <c r="S42" s="235">
        <v>1</v>
      </c>
      <c r="U42" s="408">
        <f t="shared" si="10"/>
        <v>5.0999999999999996</v>
      </c>
      <c r="V42" s="408">
        <f t="shared" si="11"/>
        <v>0</v>
      </c>
      <c r="W42" s="408" t="e">
        <f t="shared" si="12"/>
        <v>#DIV/0!</v>
      </c>
      <c r="X42" s="408">
        <f t="shared" si="13"/>
        <v>0</v>
      </c>
    </row>
    <row r="43" spans="1:28" ht="30.6" x14ac:dyDescent="0.2">
      <c r="A43" s="275" t="s">
        <v>196</v>
      </c>
      <c r="B43" s="92">
        <v>0</v>
      </c>
      <c r="C43" s="92">
        <v>1</v>
      </c>
      <c r="D43" s="92">
        <v>4</v>
      </c>
      <c r="E43" s="92">
        <v>1</v>
      </c>
      <c r="F43" s="32">
        <f>ROUND(Costs!$B$3*B43+Costs!$B$4*C43+Costs!$B$5*D43+Costs!$B$6*E43,2)</f>
        <v>431.56</v>
      </c>
      <c r="G43" s="32" t="str">
        <f>Costs!$B$62</f>
        <v xml:space="preserve"> </v>
      </c>
      <c r="H43" s="32">
        <f>Costs!$B$19</f>
        <v>4.4000000000000004</v>
      </c>
      <c r="I43" s="96">
        <f>(Universe!$C$6)*0.85</f>
        <v>30.599999999999998</v>
      </c>
      <c r="J43" s="95" t="s">
        <v>677</v>
      </c>
      <c r="K43" s="94">
        <f t="shared" si="4"/>
        <v>183.6</v>
      </c>
      <c r="L43" s="93">
        <f t="shared" si="5"/>
        <v>13340.375999999998</v>
      </c>
      <c r="M43" s="233">
        <f t="shared" si="6"/>
        <v>435.96</v>
      </c>
      <c r="N43" s="130">
        <f t="shared" si="7"/>
        <v>13205.735999999999</v>
      </c>
      <c r="O43" s="130">
        <f t="shared" si="8"/>
        <v>0</v>
      </c>
      <c r="P43" s="130">
        <f t="shared" si="9"/>
        <v>134.64000000000001</v>
      </c>
      <c r="Q43" s="188">
        <f>ROUND(((I43)*($B43+$C43+$D43+$E43))/(Universe!$C$6),2)</f>
        <v>5.0999999999999996</v>
      </c>
      <c r="R43" s="188" t="e">
        <f>ROUND(((J43)*($B43+$C43+$D43+$E43))/(Universe!$C$2),2)</f>
        <v>#DIV/0!</v>
      </c>
      <c r="S43" s="235">
        <v>1</v>
      </c>
      <c r="U43" s="408">
        <f t="shared" si="10"/>
        <v>5.0999999999999996</v>
      </c>
      <c r="V43" s="408">
        <f t="shared" si="11"/>
        <v>0</v>
      </c>
      <c r="W43" s="408" t="e">
        <f t="shared" si="12"/>
        <v>#DIV/0!</v>
      </c>
      <c r="X43" s="408">
        <f t="shared" si="13"/>
        <v>0</v>
      </c>
    </row>
    <row r="44" spans="1:28" ht="20.399999999999999" x14ac:dyDescent="0.2">
      <c r="A44" s="275" t="s">
        <v>197</v>
      </c>
      <c r="B44" s="92">
        <v>0</v>
      </c>
      <c r="C44" s="92">
        <v>1</v>
      </c>
      <c r="D44" s="92">
        <v>8</v>
      </c>
      <c r="E44" s="92">
        <v>1</v>
      </c>
      <c r="F44" s="32">
        <f>ROUND(Costs!$B$3*B44+Costs!$B$4*C44+Costs!$B$5*D44+Costs!$B$6*E44,2)</f>
        <v>722</v>
      </c>
      <c r="G44" s="32" t="str">
        <f>Costs!$B$62</f>
        <v xml:space="preserve"> </v>
      </c>
      <c r="H44" s="32">
        <f>Costs!$B$19</f>
        <v>4.4000000000000004</v>
      </c>
      <c r="I44" s="100">
        <f>ROUND(I43*0.05,0)</f>
        <v>2</v>
      </c>
      <c r="J44" s="95" t="s">
        <v>677</v>
      </c>
      <c r="K44" s="94">
        <f t="shared" si="4"/>
        <v>20</v>
      </c>
      <c r="L44" s="93">
        <f t="shared" si="5"/>
        <v>1452.8</v>
      </c>
      <c r="M44" s="233">
        <f t="shared" si="6"/>
        <v>726.4</v>
      </c>
      <c r="N44" s="130">
        <f t="shared" si="7"/>
        <v>1444</v>
      </c>
      <c r="O44" s="130">
        <f t="shared" si="8"/>
        <v>0</v>
      </c>
      <c r="P44" s="130">
        <f t="shared" si="9"/>
        <v>8.8000000000000007</v>
      </c>
      <c r="Q44" s="188">
        <f>ROUND(((I44)*($B44+$C44+$D44+$E44))/(Universe!$C$6),2)</f>
        <v>0.56000000000000005</v>
      </c>
      <c r="R44" s="188" t="e">
        <f>ROUND(((J44)*($B44+$C44+$D44+$E44))/(Universe!$C$2),2)</f>
        <v>#DIV/0!</v>
      </c>
      <c r="S44" s="235">
        <v>1</v>
      </c>
      <c r="U44" s="408">
        <f t="shared" si="10"/>
        <v>0.56000000000000005</v>
      </c>
      <c r="V44" s="408">
        <f t="shared" si="11"/>
        <v>0</v>
      </c>
      <c r="W44" s="408" t="e">
        <f t="shared" si="12"/>
        <v>#DIV/0!</v>
      </c>
      <c r="X44" s="408">
        <f t="shared" si="13"/>
        <v>0</v>
      </c>
    </row>
    <row r="45" spans="1:28" ht="30.6" x14ac:dyDescent="0.2">
      <c r="A45" s="275" t="s">
        <v>198</v>
      </c>
      <c r="B45" s="92">
        <v>0</v>
      </c>
      <c r="C45" s="92">
        <v>1</v>
      </c>
      <c r="D45" s="92">
        <v>8</v>
      </c>
      <c r="E45" s="92">
        <v>1</v>
      </c>
      <c r="F45" s="32">
        <f>ROUND(Costs!$B$3*B45+Costs!$B$4*C45+Costs!$B$5*D45+Costs!$B$6*E45,2)</f>
        <v>722</v>
      </c>
      <c r="G45" s="32" t="str">
        <f>Costs!$B$62</f>
        <v xml:space="preserve"> </v>
      </c>
      <c r="H45" s="32">
        <f>Costs!$B$16</f>
        <v>0</v>
      </c>
      <c r="I45" s="96">
        <f>Universe!C8</f>
        <v>1</v>
      </c>
      <c r="J45" s="95" t="s">
        <v>677</v>
      </c>
      <c r="K45" s="94">
        <f t="shared" si="4"/>
        <v>10</v>
      </c>
      <c r="L45" s="93">
        <f t="shared" si="5"/>
        <v>722</v>
      </c>
      <c r="M45" s="233">
        <f t="shared" si="6"/>
        <v>722</v>
      </c>
      <c r="N45" s="130">
        <f t="shared" si="7"/>
        <v>722</v>
      </c>
      <c r="O45" s="130">
        <f t="shared" si="8"/>
        <v>0</v>
      </c>
      <c r="P45" s="130">
        <f t="shared" si="9"/>
        <v>0</v>
      </c>
      <c r="Q45" s="188">
        <f>ROUND(((I45)*($B45+$C45+$D45+$E45))/(Universe!$C$8),2)</f>
        <v>10</v>
      </c>
      <c r="R45" s="188" t="e">
        <f>ROUND(((J45)*($B45+$C45+$D45+$E45))/(Universe!$C$2),2)</f>
        <v>#DIV/0!</v>
      </c>
      <c r="S45" s="235">
        <v>2</v>
      </c>
      <c r="U45" s="408">
        <f t="shared" si="10"/>
        <v>0</v>
      </c>
      <c r="V45" s="408">
        <f t="shared" si="11"/>
        <v>10</v>
      </c>
      <c r="W45" s="408">
        <f t="shared" si="12"/>
        <v>0</v>
      </c>
      <c r="X45" s="408" t="e">
        <f t="shared" si="13"/>
        <v>#DIV/0!</v>
      </c>
    </row>
    <row r="46" spans="1:28" ht="30.6" x14ac:dyDescent="0.2">
      <c r="A46" s="275" t="s">
        <v>548</v>
      </c>
      <c r="B46" s="92">
        <v>0</v>
      </c>
      <c r="C46" s="92">
        <v>1</v>
      </c>
      <c r="D46" s="92">
        <v>8</v>
      </c>
      <c r="E46" s="92">
        <v>1</v>
      </c>
      <c r="F46" s="32">
        <f>ROUND(Costs!$B$3*B46+Costs!$B$4*C46+Costs!$B$5*D46+Costs!$B$6*E46,2)</f>
        <v>722</v>
      </c>
      <c r="G46" s="32" t="str">
        <f>Costs!$B$62</f>
        <v xml:space="preserve"> </v>
      </c>
      <c r="H46" s="32">
        <f>Costs!$B$19</f>
        <v>4.4000000000000004</v>
      </c>
      <c r="I46" s="96">
        <f>ROUND(I43*0.05,0)</f>
        <v>2</v>
      </c>
      <c r="J46" s="95" t="s">
        <v>677</v>
      </c>
      <c r="K46" s="94">
        <f t="shared" si="4"/>
        <v>20</v>
      </c>
      <c r="L46" s="93">
        <f t="shared" si="5"/>
        <v>1452.8</v>
      </c>
      <c r="M46" s="233">
        <f t="shared" si="6"/>
        <v>726.4</v>
      </c>
      <c r="N46" s="130">
        <f t="shared" si="7"/>
        <v>1444</v>
      </c>
      <c r="O46" s="130">
        <f t="shared" si="8"/>
        <v>0</v>
      </c>
      <c r="P46" s="130">
        <f t="shared" si="9"/>
        <v>8.8000000000000007</v>
      </c>
      <c r="Q46" s="188">
        <f>ROUND(((I46)*($B46+$C46+$D46+$E46))/(Universe!$C$6),2)</f>
        <v>0.56000000000000005</v>
      </c>
      <c r="R46" s="188" t="e">
        <f>ROUND(((J46)*($B46+$C46+$D46+$E46))/(Universe!$C$2),2)</f>
        <v>#DIV/0!</v>
      </c>
      <c r="S46" s="235">
        <v>1</v>
      </c>
      <c r="U46" s="408">
        <f t="shared" si="10"/>
        <v>0.56000000000000005</v>
      </c>
      <c r="V46" s="408">
        <f t="shared" si="11"/>
        <v>0</v>
      </c>
      <c r="W46" s="408" t="e">
        <f t="shared" si="12"/>
        <v>#DIV/0!</v>
      </c>
      <c r="X46" s="408">
        <f t="shared" si="13"/>
        <v>0</v>
      </c>
      <c r="AA46" s="557">
        <f>I46</f>
        <v>2</v>
      </c>
      <c r="AB46" s="557" t="str">
        <f>J46</f>
        <v>N/A</v>
      </c>
    </row>
    <row r="47" spans="1:28" ht="20.399999999999999" x14ac:dyDescent="0.2">
      <c r="A47" s="275" t="s">
        <v>199</v>
      </c>
      <c r="B47" s="92">
        <v>0</v>
      </c>
      <c r="C47" s="92">
        <v>1</v>
      </c>
      <c r="D47" s="92">
        <v>8</v>
      </c>
      <c r="E47" s="92">
        <v>0</v>
      </c>
      <c r="F47" s="32">
        <f>ROUND(Costs!$B$3*B47+Costs!$B$4*C47+Costs!$B$5*D47+Costs!$B$6*E47,2)</f>
        <v>678.33</v>
      </c>
      <c r="G47" s="32" t="str">
        <f>Costs!$B$62</f>
        <v xml:space="preserve"> </v>
      </c>
      <c r="H47" s="32">
        <f>Costs!$B$16</f>
        <v>0</v>
      </c>
      <c r="I47" s="96">
        <f>(Universe!$C$6)*4*0.85</f>
        <v>122.39999999999999</v>
      </c>
      <c r="J47" s="95" t="s">
        <v>677</v>
      </c>
      <c r="K47" s="94">
        <f t="shared" si="4"/>
        <v>1101.5999999999999</v>
      </c>
      <c r="L47" s="93">
        <f t="shared" si="5"/>
        <v>83027.592000000004</v>
      </c>
      <c r="M47" s="233">
        <f t="shared" si="6"/>
        <v>678.33</v>
      </c>
      <c r="N47" s="130">
        <f t="shared" si="7"/>
        <v>83027.592000000004</v>
      </c>
      <c r="O47" s="130">
        <f t="shared" si="8"/>
        <v>0</v>
      </c>
      <c r="P47" s="130">
        <f t="shared" si="9"/>
        <v>0</v>
      </c>
      <c r="Q47" s="188">
        <f>ROUND(((I47)*($B47+$C47+$D47+$E47))/(Universe!$C$6),2)</f>
        <v>30.6</v>
      </c>
      <c r="R47" s="188" t="e">
        <f>ROUND(((J47)*($B47+$C47+$D47+$E47))/(Universe!$C$2),2)</f>
        <v>#DIV/0!</v>
      </c>
      <c r="S47" s="235">
        <v>2</v>
      </c>
      <c r="U47" s="408">
        <f t="shared" si="10"/>
        <v>0</v>
      </c>
      <c r="V47" s="408">
        <f t="shared" si="11"/>
        <v>30.6</v>
      </c>
      <c r="W47" s="408">
        <f t="shared" si="12"/>
        <v>0</v>
      </c>
      <c r="X47" s="408" t="e">
        <f t="shared" si="13"/>
        <v>#DIV/0!</v>
      </c>
    </row>
    <row r="48" spans="1:28" ht="20.399999999999999" x14ac:dyDescent="0.2">
      <c r="A48" s="275" t="s">
        <v>200</v>
      </c>
      <c r="B48" s="92">
        <v>0</v>
      </c>
      <c r="C48" s="92">
        <v>2</v>
      </c>
      <c r="D48" s="92">
        <v>16</v>
      </c>
      <c r="E48" s="92">
        <v>0</v>
      </c>
      <c r="F48" s="32">
        <f>ROUND(Costs!$B$3*B48+Costs!$B$4*C48+Costs!$B$5*D48+Costs!$B$6*E48,2)</f>
        <v>1356.66</v>
      </c>
      <c r="G48" s="32" t="str">
        <f>Costs!$B$62</f>
        <v xml:space="preserve"> </v>
      </c>
      <c r="H48" s="32">
        <f>Costs!$B$16</f>
        <v>0</v>
      </c>
      <c r="I48" s="96">
        <f>(Universe!$C$6)*0.85</f>
        <v>30.599999999999998</v>
      </c>
      <c r="J48" s="95" t="s">
        <v>677</v>
      </c>
      <c r="K48" s="94">
        <f t="shared" si="4"/>
        <v>550.79999999999995</v>
      </c>
      <c r="L48" s="93">
        <f t="shared" si="5"/>
        <v>41513.796000000002</v>
      </c>
      <c r="M48" s="233">
        <f t="shared" si="6"/>
        <v>1356.66</v>
      </c>
      <c r="N48" s="130">
        <f t="shared" si="7"/>
        <v>41513.796000000002</v>
      </c>
      <c r="O48" s="130">
        <f t="shared" si="8"/>
        <v>0</v>
      </c>
      <c r="P48" s="130">
        <f t="shared" si="9"/>
        <v>0</v>
      </c>
      <c r="Q48" s="188">
        <f>ROUND(((I48)*($B48+$C48+$D48+$E48))/(Universe!$C$6),2)</f>
        <v>15.3</v>
      </c>
      <c r="R48" s="188" t="e">
        <f>ROUND(((J48)*($B48+$C48+$D48+$E48))/(Universe!$C$2),2)</f>
        <v>#DIV/0!</v>
      </c>
      <c r="S48" s="235">
        <v>2</v>
      </c>
      <c r="U48" s="408">
        <f t="shared" si="10"/>
        <v>0</v>
      </c>
      <c r="V48" s="408">
        <f t="shared" si="11"/>
        <v>15.3</v>
      </c>
      <c r="W48" s="408">
        <f t="shared" si="12"/>
        <v>0</v>
      </c>
      <c r="X48" s="408" t="e">
        <f t="shared" si="13"/>
        <v>#DIV/0!</v>
      </c>
    </row>
    <row r="49" spans="1:30" ht="20.399999999999999" x14ac:dyDescent="0.2">
      <c r="A49" s="275" t="s">
        <v>201</v>
      </c>
      <c r="B49" s="92">
        <v>0</v>
      </c>
      <c r="C49" s="92">
        <v>0</v>
      </c>
      <c r="D49" s="92">
        <v>0.25</v>
      </c>
      <c r="E49" s="92">
        <v>0</v>
      </c>
      <c r="F49" s="32">
        <f>ROUND(Costs!$B$3*B49+Costs!$B$4*C49+Costs!$B$5*D49+Costs!$B$6*E49,2)</f>
        <v>18.149999999999999</v>
      </c>
      <c r="G49" s="32" t="str">
        <f>Costs!$B$62</f>
        <v xml:space="preserve"> </v>
      </c>
      <c r="H49" s="32">
        <f>Costs!$B$16</f>
        <v>0</v>
      </c>
      <c r="I49" s="96">
        <v>1500</v>
      </c>
      <c r="J49" s="95" t="s">
        <v>677</v>
      </c>
      <c r="K49" s="94">
        <f t="shared" si="4"/>
        <v>375</v>
      </c>
      <c r="L49" s="93">
        <f t="shared" si="5"/>
        <v>27224.999999999996</v>
      </c>
      <c r="M49" s="233">
        <f t="shared" si="6"/>
        <v>18.149999999999999</v>
      </c>
      <c r="N49" s="130">
        <f t="shared" si="7"/>
        <v>27224.999999999996</v>
      </c>
      <c r="O49" s="130">
        <f t="shared" si="8"/>
        <v>0</v>
      </c>
      <c r="P49" s="130">
        <f t="shared" si="9"/>
        <v>0</v>
      </c>
      <c r="Q49" s="188">
        <f>ROUND(((I49)*($B49+$C49+$D49+$E49))/(Universe!$C$6),2)</f>
        <v>10.42</v>
      </c>
      <c r="R49" s="188" t="e">
        <f>ROUND(((J49)*($B49+$C49+$D49+$E49))/(Universe!$C$2),2)</f>
        <v>#DIV/0!</v>
      </c>
      <c r="S49" s="235">
        <v>2</v>
      </c>
      <c r="U49" s="408">
        <f t="shared" si="10"/>
        <v>0</v>
      </c>
      <c r="V49" s="408">
        <f t="shared" si="11"/>
        <v>10.42</v>
      </c>
      <c r="W49" s="408">
        <f t="shared" si="12"/>
        <v>0</v>
      </c>
      <c r="X49" s="408" t="e">
        <f t="shared" si="13"/>
        <v>#DIV/0!</v>
      </c>
    </row>
    <row r="50" spans="1:30" ht="20.399999999999999" x14ac:dyDescent="0.2">
      <c r="A50" s="275" t="s">
        <v>202</v>
      </c>
      <c r="B50" s="92">
        <v>0</v>
      </c>
      <c r="C50" s="92">
        <v>0</v>
      </c>
      <c r="D50" s="92">
        <v>0.25</v>
      </c>
      <c r="E50" s="92">
        <v>0</v>
      </c>
      <c r="F50" s="32">
        <f>ROUND(Costs!$B$3*B50+Costs!$B$4*C50+Costs!$B$5*D50+Costs!$B$6*E50,2)</f>
        <v>18.149999999999999</v>
      </c>
      <c r="G50" s="32" t="str">
        <f>Costs!$B$62</f>
        <v xml:space="preserve"> </v>
      </c>
      <c r="H50" s="32">
        <f>Costs!$B$16</f>
        <v>0</v>
      </c>
      <c r="I50" s="96">
        <v>1500</v>
      </c>
      <c r="J50" s="95" t="s">
        <v>677</v>
      </c>
      <c r="K50" s="94">
        <f t="shared" si="4"/>
        <v>375</v>
      </c>
      <c r="L50" s="93">
        <f t="shared" si="5"/>
        <v>27224.999999999996</v>
      </c>
      <c r="M50" s="233">
        <f t="shared" si="6"/>
        <v>18.149999999999999</v>
      </c>
      <c r="N50" s="130">
        <f t="shared" si="7"/>
        <v>27224.999999999996</v>
      </c>
      <c r="O50" s="130">
        <f t="shared" si="8"/>
        <v>0</v>
      </c>
      <c r="P50" s="130">
        <f t="shared" si="9"/>
        <v>0</v>
      </c>
      <c r="Q50" s="188">
        <f>ROUND(((I50)*($B50+$C50+$D50+$E50))/(Universe!$C$6),2)</f>
        <v>10.42</v>
      </c>
      <c r="R50" s="188" t="e">
        <f>ROUND(((J50)*($B50+$C50+$D50+$E50))/(Universe!$C$2),2)</f>
        <v>#DIV/0!</v>
      </c>
      <c r="S50" s="235">
        <v>2</v>
      </c>
      <c r="U50" s="408">
        <f t="shared" si="10"/>
        <v>0</v>
      </c>
      <c r="V50" s="408">
        <f t="shared" si="11"/>
        <v>10.42</v>
      </c>
      <c r="W50" s="408">
        <f t="shared" si="12"/>
        <v>0</v>
      </c>
      <c r="X50" s="408" t="e">
        <f t="shared" si="13"/>
        <v>#DIV/0!</v>
      </c>
    </row>
    <row r="51" spans="1:30" ht="20.399999999999999" x14ac:dyDescent="0.2">
      <c r="A51" s="275" t="s">
        <v>203</v>
      </c>
      <c r="B51" s="92">
        <v>0</v>
      </c>
      <c r="C51" s="92">
        <v>0</v>
      </c>
      <c r="D51" s="92">
        <v>0.25</v>
      </c>
      <c r="E51" s="92">
        <v>0</v>
      </c>
      <c r="F51" s="32">
        <f>ROUND(Costs!$B$3*B51+Costs!$B$4*C51+Costs!$B$5*D51+Costs!$B$6*E51,2)</f>
        <v>18.149999999999999</v>
      </c>
      <c r="G51" s="32" t="str">
        <f>Costs!$B$62</f>
        <v xml:space="preserve"> </v>
      </c>
      <c r="H51" s="32">
        <f>Costs!$B$16</f>
        <v>0</v>
      </c>
      <c r="I51" s="96">
        <v>1500</v>
      </c>
      <c r="J51" s="95" t="s">
        <v>677</v>
      </c>
      <c r="K51" s="94">
        <f t="shared" si="4"/>
        <v>375</v>
      </c>
      <c r="L51" s="93">
        <f t="shared" si="5"/>
        <v>27224.999999999996</v>
      </c>
      <c r="M51" s="233">
        <f t="shared" si="6"/>
        <v>18.149999999999999</v>
      </c>
      <c r="N51" s="130">
        <f t="shared" si="7"/>
        <v>27224.999999999996</v>
      </c>
      <c r="O51" s="130">
        <f t="shared" si="8"/>
        <v>0</v>
      </c>
      <c r="P51" s="130">
        <f t="shared" si="9"/>
        <v>0</v>
      </c>
      <c r="Q51" s="188">
        <f>ROUND(((I51)*($B51+$C51+$D51+$E51))/(Universe!$C$6),2)</f>
        <v>10.42</v>
      </c>
      <c r="R51" s="188" t="e">
        <f>ROUND(((J51)*($B51+$C51+$D51+$E51))/(Universe!$C$2),2)</f>
        <v>#DIV/0!</v>
      </c>
      <c r="S51" s="235">
        <v>2</v>
      </c>
      <c r="U51" s="408">
        <f t="shared" si="10"/>
        <v>0</v>
      </c>
      <c r="V51" s="408">
        <f t="shared" si="11"/>
        <v>10.42</v>
      </c>
      <c r="W51" s="408">
        <f t="shared" si="12"/>
        <v>0</v>
      </c>
      <c r="X51" s="408" t="e">
        <f t="shared" si="13"/>
        <v>#DIV/0!</v>
      </c>
    </row>
    <row r="52" spans="1:30" ht="61.2" x14ac:dyDescent="0.2">
      <c r="A52" s="275" t="s">
        <v>204</v>
      </c>
      <c r="B52" s="92">
        <v>0</v>
      </c>
      <c r="C52" s="92">
        <v>83</v>
      </c>
      <c r="D52" s="92">
        <f>Universe!C30*4</f>
        <v>0</v>
      </c>
      <c r="E52" s="92">
        <v>0</v>
      </c>
      <c r="F52" s="32">
        <f>ROUND(Costs!$B$3*B52+Costs!$B$4*C52+Costs!$B$5*D52+Costs!$B$6*E52,2)</f>
        <v>8088.35</v>
      </c>
      <c r="G52" s="93">
        <v>0</v>
      </c>
      <c r="H52" s="93">
        <f>Costs!B30</f>
        <v>37200</v>
      </c>
      <c r="I52" s="96">
        <f>(Universe!$C$6)*0.85</f>
        <v>30.599999999999998</v>
      </c>
      <c r="J52" s="95" t="s">
        <v>677</v>
      </c>
      <c r="K52" s="94">
        <f t="shared" si="4"/>
        <v>2539.8000000000002</v>
      </c>
      <c r="L52" s="93">
        <f t="shared" si="5"/>
        <v>1385823.5099999998</v>
      </c>
      <c r="M52" s="233">
        <f t="shared" si="6"/>
        <v>45288.35</v>
      </c>
      <c r="N52" s="130">
        <f t="shared" si="7"/>
        <v>247503.50999999998</v>
      </c>
      <c r="O52" s="130">
        <f t="shared" si="8"/>
        <v>0</v>
      </c>
      <c r="P52" s="130">
        <f t="shared" si="9"/>
        <v>1138320</v>
      </c>
      <c r="Q52" s="188">
        <f>ROUND(((I52)*($B52+$C52+$D52+$E52))/(Universe!$C$6),2)</f>
        <v>70.55</v>
      </c>
      <c r="R52" s="188" t="e">
        <f>ROUND(((J52)*($B52+$C52+$D52+$E52))/(Universe!$C$2),2)</f>
        <v>#DIV/0!</v>
      </c>
      <c r="S52" s="235">
        <v>2</v>
      </c>
      <c r="U52" s="408">
        <f t="shared" si="10"/>
        <v>0</v>
      </c>
      <c r="V52" s="408">
        <f t="shared" si="11"/>
        <v>70.55</v>
      </c>
      <c r="W52" s="408">
        <f t="shared" si="12"/>
        <v>0</v>
      </c>
      <c r="X52" s="408" t="e">
        <f t="shared" si="13"/>
        <v>#DIV/0!</v>
      </c>
    </row>
    <row r="53" spans="1:30" ht="20.399999999999999" x14ac:dyDescent="0.2">
      <c r="A53" s="275" t="s">
        <v>205</v>
      </c>
      <c r="B53" s="92">
        <v>0</v>
      </c>
      <c r="C53" s="92">
        <v>0</v>
      </c>
      <c r="D53" s="92">
        <v>1.5</v>
      </c>
      <c r="E53" s="92">
        <v>0</v>
      </c>
      <c r="F53" s="32">
        <f>ROUND(Costs!$B$3*B53+Costs!$B$4*C53+Costs!$B$5*D53+Costs!$B$6*E53,2)</f>
        <v>108.92</v>
      </c>
      <c r="G53" s="32" t="str">
        <f>Costs!$B$62</f>
        <v xml:space="preserve"> </v>
      </c>
      <c r="H53" s="32">
        <f>Costs!$B$16</f>
        <v>0</v>
      </c>
      <c r="I53" s="96">
        <f>(Universe!$C$6-I54)*52</f>
        <v>1664</v>
      </c>
      <c r="J53" s="95" t="s">
        <v>677</v>
      </c>
      <c r="K53" s="94">
        <f t="shared" si="4"/>
        <v>2496</v>
      </c>
      <c r="L53" s="93">
        <f t="shared" si="5"/>
        <v>181242.88</v>
      </c>
      <c r="M53" s="233">
        <f t="shared" si="6"/>
        <v>108.92</v>
      </c>
      <c r="N53" s="130">
        <f t="shared" si="7"/>
        <v>181242.88</v>
      </c>
      <c r="O53" s="130">
        <f t="shared" si="8"/>
        <v>0</v>
      </c>
      <c r="P53" s="130">
        <f t="shared" si="9"/>
        <v>0</v>
      </c>
      <c r="Q53" s="188">
        <f>ROUND(((I53)*($B53+$C53+$D53+$E53))/(Universe!$C$6),2)</f>
        <v>69.33</v>
      </c>
      <c r="R53" s="188" t="e">
        <f>ROUND(((J53)*($B53+$C53+$D53+$E53))/(Universe!$C$2),2)</f>
        <v>#DIV/0!</v>
      </c>
      <c r="S53" s="235">
        <v>2</v>
      </c>
      <c r="U53" s="408">
        <f t="shared" si="10"/>
        <v>0</v>
      </c>
      <c r="V53" s="408">
        <f t="shared" si="11"/>
        <v>69.33</v>
      </c>
      <c r="W53" s="408">
        <f t="shared" si="12"/>
        <v>0</v>
      </c>
      <c r="X53" s="408" t="e">
        <f t="shared" si="13"/>
        <v>#DIV/0!</v>
      </c>
    </row>
    <row r="54" spans="1:30" ht="30.6" x14ac:dyDescent="0.2">
      <c r="A54" s="275" t="s">
        <v>206</v>
      </c>
      <c r="B54" s="92">
        <v>0</v>
      </c>
      <c r="C54" s="92">
        <v>0.5</v>
      </c>
      <c r="D54" s="92">
        <v>2</v>
      </c>
      <c r="E54" s="92">
        <v>0.5</v>
      </c>
      <c r="F54" s="32">
        <f>ROUND(Costs!$B$3*B54+Costs!$B$4*C54+Costs!$B$5*D54+Costs!$B$6*E54,2)</f>
        <v>215.78</v>
      </c>
      <c r="G54" s="32" t="str">
        <f>Costs!$B$62</f>
        <v xml:space="preserve"> </v>
      </c>
      <c r="H54" s="32">
        <f>Costs!$B$16</f>
        <v>0</v>
      </c>
      <c r="I54" s="96">
        <f>ROUND((Universe!$C$6)/10,0)</f>
        <v>4</v>
      </c>
      <c r="J54" s="95" t="s">
        <v>677</v>
      </c>
      <c r="K54" s="94">
        <f t="shared" si="4"/>
        <v>12</v>
      </c>
      <c r="L54" s="93">
        <f t="shared" si="5"/>
        <v>863.12</v>
      </c>
      <c r="M54" s="233">
        <f t="shared" si="6"/>
        <v>215.78</v>
      </c>
      <c r="N54" s="130">
        <f t="shared" si="7"/>
        <v>863.12</v>
      </c>
      <c r="O54" s="130">
        <f t="shared" si="8"/>
        <v>0</v>
      </c>
      <c r="P54" s="130">
        <f t="shared" si="9"/>
        <v>0</v>
      </c>
      <c r="Q54" s="188">
        <f>ROUND(((I54)*($B54+$C54+$D54+$E54))/(Universe!$C$6),2)</f>
        <v>0.33</v>
      </c>
      <c r="R54" s="188" t="e">
        <f>ROUND(((J54)*($B54+$C54+$D54+$E54))/(Universe!$C$2),2)</f>
        <v>#DIV/0!</v>
      </c>
      <c r="S54" s="235">
        <v>1</v>
      </c>
      <c r="U54" s="408">
        <f t="shared" si="10"/>
        <v>0.33</v>
      </c>
      <c r="V54" s="408">
        <f t="shared" si="11"/>
        <v>0</v>
      </c>
      <c r="W54" s="408" t="e">
        <f t="shared" si="12"/>
        <v>#DIV/0!</v>
      </c>
      <c r="X54" s="408">
        <f t="shared" si="13"/>
        <v>0</v>
      </c>
    </row>
    <row r="55" spans="1:30" ht="30.6" x14ac:dyDescent="0.2">
      <c r="A55" s="275" t="s">
        <v>207</v>
      </c>
      <c r="B55" s="92">
        <v>0</v>
      </c>
      <c r="C55" s="92">
        <v>0</v>
      </c>
      <c r="D55" s="92">
        <v>0.25</v>
      </c>
      <c r="E55" s="92">
        <v>0</v>
      </c>
      <c r="F55" s="32">
        <f>ROUND(Costs!$B$3*B55+Costs!$B$4*C55+Costs!$B$5*D55+Costs!$B$6*E55,2)</f>
        <v>18.149999999999999</v>
      </c>
      <c r="G55" s="32" t="str">
        <f>Costs!$B$62</f>
        <v xml:space="preserve"> </v>
      </c>
      <c r="H55" s="32">
        <f>Costs!$B$16</f>
        <v>0</v>
      </c>
      <c r="I55" s="96">
        <f>(I54*12)</f>
        <v>48</v>
      </c>
      <c r="J55" s="95" t="s">
        <v>677</v>
      </c>
      <c r="K55" s="94">
        <f t="shared" si="4"/>
        <v>12</v>
      </c>
      <c r="L55" s="93">
        <f t="shared" si="5"/>
        <v>871.19999999999993</v>
      </c>
      <c r="M55" s="233">
        <f t="shared" si="6"/>
        <v>18.149999999999999</v>
      </c>
      <c r="N55" s="130">
        <f t="shared" si="7"/>
        <v>871.19999999999993</v>
      </c>
      <c r="O55" s="130">
        <f t="shared" si="8"/>
        <v>0</v>
      </c>
      <c r="P55" s="130">
        <f t="shared" si="9"/>
        <v>0</v>
      </c>
      <c r="Q55" s="188">
        <f>ROUND(((I55)*($B55+$C55+$D55+$E55))/(Universe!$C$6),2)</f>
        <v>0.33</v>
      </c>
      <c r="R55" s="188" t="e">
        <f>ROUND(((J55)*($B55+$C55+$D55+$E55))/(Universe!$C$2),2)</f>
        <v>#DIV/0!</v>
      </c>
      <c r="S55" s="235">
        <v>2</v>
      </c>
      <c r="U55" s="408">
        <f t="shared" si="10"/>
        <v>0</v>
      </c>
      <c r="V55" s="408">
        <f t="shared" si="11"/>
        <v>0.33</v>
      </c>
      <c r="W55" s="408">
        <f t="shared" si="12"/>
        <v>0</v>
      </c>
      <c r="X55" s="408" t="e">
        <f t="shared" si="13"/>
        <v>#DIV/0!</v>
      </c>
    </row>
    <row r="56" spans="1:30" x14ac:dyDescent="0.2">
      <c r="A56" s="255" t="s">
        <v>256</v>
      </c>
      <c r="B56" s="256"/>
      <c r="C56" s="256"/>
      <c r="D56" s="256"/>
      <c r="E56" s="256"/>
      <c r="F56" s="257"/>
      <c r="G56" s="257"/>
      <c r="H56" s="257"/>
      <c r="I56" s="261"/>
      <c r="J56" s="261"/>
      <c r="K56" s="259"/>
      <c r="L56" s="262"/>
      <c r="M56" s="233"/>
      <c r="N56" s="130"/>
      <c r="O56" s="130"/>
      <c r="P56" s="130"/>
      <c r="Q56" s="240"/>
    </row>
    <row r="57" spans="1:30" ht="21" thickBot="1" x14ac:dyDescent="0.25">
      <c r="A57" s="281" t="s">
        <v>208</v>
      </c>
      <c r="B57" s="282">
        <v>0</v>
      </c>
      <c r="C57" s="282">
        <v>2</v>
      </c>
      <c r="D57" s="282">
        <v>12</v>
      </c>
      <c r="E57" s="282">
        <v>104</v>
      </c>
      <c r="F57" s="191">
        <f>ROUND(Costs!$B$3*B57+Costs!$B$4*C57+Costs!$B$5*D57+Costs!$B$6*E57,2)</f>
        <v>5607.9</v>
      </c>
      <c r="G57" s="191" t="str">
        <f>Costs!$B$62</f>
        <v xml:space="preserve"> </v>
      </c>
      <c r="H57" s="191">
        <f>Costs!$B$17</f>
        <v>1.5</v>
      </c>
      <c r="I57" s="284">
        <f>(Universe!$C$6)</f>
        <v>36</v>
      </c>
      <c r="J57" s="283" t="s">
        <v>677</v>
      </c>
      <c r="K57" s="285">
        <f t="shared" si="4"/>
        <v>4248</v>
      </c>
      <c r="L57" s="286">
        <f>(I57+J57)*SUM(F57:H57)</f>
        <v>201938.4</v>
      </c>
      <c r="M57" s="233">
        <f>L57/(I57+J57)</f>
        <v>5609.4</v>
      </c>
      <c r="N57" s="130">
        <f>F57*(I57+J57)</f>
        <v>201884.4</v>
      </c>
      <c r="O57" s="130">
        <f>G57*(I57+J57)</f>
        <v>0</v>
      </c>
      <c r="P57" s="130">
        <f>H57*(I57+J57)</f>
        <v>54</v>
      </c>
      <c r="Q57" s="188">
        <f>ROUND(((I57)*($B57+$C57+$D57+$E57))/(Universe!$C$6),2)</f>
        <v>118</v>
      </c>
      <c r="R57" s="188" t="e">
        <f>ROUND(((J57)*($B57+$C57+$D57+$E57))/(Universe!$C$2),2)</f>
        <v>#DIV/0!</v>
      </c>
      <c r="S57" s="235">
        <v>2</v>
      </c>
      <c r="U57" s="408">
        <f>IF(S57=1,Q57,0)</f>
        <v>0</v>
      </c>
      <c r="V57" s="408">
        <f>IF(S57=2,Q57,0)</f>
        <v>118</v>
      </c>
      <c r="W57" s="408">
        <f>IF(S57=1,R57,0)</f>
        <v>0</v>
      </c>
      <c r="X57" s="408" t="e">
        <f>IF(S57=2,R57,0)</f>
        <v>#DIV/0!</v>
      </c>
    </row>
    <row r="58" spans="1:30" ht="10.8" thickBot="1" x14ac:dyDescent="0.25">
      <c r="A58" s="293" t="s">
        <v>596</v>
      </c>
      <c r="B58" s="201" t="s">
        <v>597</v>
      </c>
      <c r="C58" s="201" t="s">
        <v>597</v>
      </c>
      <c r="D58" s="201" t="s">
        <v>597</v>
      </c>
      <c r="E58" s="201" t="s">
        <v>597</v>
      </c>
      <c r="F58" s="201" t="s">
        <v>597</v>
      </c>
      <c r="G58" s="201" t="s">
        <v>597</v>
      </c>
      <c r="H58" s="201" t="s">
        <v>597</v>
      </c>
      <c r="I58" s="202" t="s">
        <v>597</v>
      </c>
      <c r="J58" s="202" t="s">
        <v>597</v>
      </c>
      <c r="K58" s="229">
        <f>SUM(K35:K57)</f>
        <v>22823.66</v>
      </c>
      <c r="L58" s="294">
        <f>SUM(L35:L57)</f>
        <v>3757260.9359999993</v>
      </c>
      <c r="M58" s="233">
        <f>ROUND(SUM(M35:M57),2)</f>
        <v>113697.19</v>
      </c>
      <c r="N58" s="229">
        <f>SUM(N35:N57)</f>
        <v>1617980.0560000001</v>
      </c>
      <c r="O58" s="229">
        <f>SUM(O35:O57)</f>
        <v>0</v>
      </c>
      <c r="P58" s="229">
        <f>SUM(P35:P57)</f>
        <v>2139280.88</v>
      </c>
      <c r="Q58" s="240"/>
      <c r="U58" s="229">
        <f>SUM(U35:U57)</f>
        <v>297.25000000000006</v>
      </c>
      <c r="V58" s="229">
        <f>SUM(V35:V57)</f>
        <v>346.47</v>
      </c>
      <c r="W58" s="229" t="e">
        <f>SUM(W35:W57)</f>
        <v>#DIV/0!</v>
      </c>
      <c r="X58" s="229" t="e">
        <f>SUM(X35:X57)</f>
        <v>#DIV/0!</v>
      </c>
      <c r="AD58" s="162">
        <v>4848.99</v>
      </c>
    </row>
    <row r="59" spans="1:30" x14ac:dyDescent="0.2">
      <c r="A59" s="287" t="s">
        <v>550</v>
      </c>
      <c r="B59" s="288"/>
      <c r="C59" s="288"/>
      <c r="D59" s="288"/>
      <c r="E59" s="288"/>
      <c r="F59" s="289"/>
      <c r="G59" s="289"/>
      <c r="H59" s="289"/>
      <c r="I59" s="290"/>
      <c r="J59" s="290"/>
      <c r="K59" s="295" t="s">
        <v>240</v>
      </c>
      <c r="L59" s="296" t="s">
        <v>240</v>
      </c>
      <c r="M59" s="233"/>
      <c r="N59" s="130"/>
      <c r="O59" s="130"/>
      <c r="P59" s="130"/>
      <c r="Q59" s="240"/>
      <c r="AD59" s="162">
        <v>10341.24</v>
      </c>
    </row>
    <row r="60" spans="1:30" x14ac:dyDescent="0.2">
      <c r="A60" s="255" t="s">
        <v>257</v>
      </c>
      <c r="B60" s="256"/>
      <c r="C60" s="256"/>
      <c r="D60" s="256"/>
      <c r="E60" s="256"/>
      <c r="F60" s="257"/>
      <c r="G60" s="257"/>
      <c r="H60" s="257"/>
      <c r="I60" s="261"/>
      <c r="J60" s="261"/>
      <c r="K60" s="259"/>
      <c r="L60" s="262"/>
      <c r="M60" s="233"/>
      <c r="N60" s="130"/>
      <c r="O60" s="130"/>
      <c r="P60" s="130"/>
      <c r="Q60" s="240"/>
      <c r="AD60" s="162">
        <v>0</v>
      </c>
    </row>
    <row r="61" spans="1:30" x14ac:dyDescent="0.2">
      <c r="A61" s="275" t="s">
        <v>610</v>
      </c>
      <c r="B61" s="92">
        <v>0</v>
      </c>
      <c r="C61" s="92">
        <v>0.5</v>
      </c>
      <c r="D61" s="92">
        <v>1</v>
      </c>
      <c r="E61" s="92">
        <v>0</v>
      </c>
      <c r="F61" s="32">
        <f>ROUND(Costs!$B$3*B61+Costs!$B$4*C61+Costs!$B$5*D61+Costs!$B$6*E61,2)</f>
        <v>121.34</v>
      </c>
      <c r="G61" s="32" t="str">
        <f>Costs!$B$62</f>
        <v xml:space="preserve"> </v>
      </c>
      <c r="H61" s="32">
        <f>Costs!$B$16</f>
        <v>0</v>
      </c>
      <c r="I61" s="95" t="s">
        <v>677</v>
      </c>
      <c r="J61" s="96">
        <f>Universe!$C$2*0.85</f>
        <v>0</v>
      </c>
      <c r="K61" s="94">
        <f t="shared" ref="K61:K69" si="14">ROUND((I61+J61)*(B61+C61+D61+E61),2)</f>
        <v>0</v>
      </c>
      <c r="L61" s="93">
        <f t="shared" ref="L61:L69" si="15">(I61+J61)*SUM(F61:H61)</f>
        <v>0</v>
      </c>
      <c r="M61" s="233" t="e">
        <f t="shared" ref="M61:M69" si="16">L61/(I61+J61)</f>
        <v>#DIV/0!</v>
      </c>
      <c r="N61" s="130">
        <f t="shared" ref="N61:N69" si="17">F61*(I61+J61)</f>
        <v>0</v>
      </c>
      <c r="O61" s="130">
        <f t="shared" ref="O61:O69" si="18">G61*(I61+J61)</f>
        <v>0</v>
      </c>
      <c r="P61" s="130">
        <f t="shared" ref="P61:P69" si="19">H61*(I61+J61)</f>
        <v>0</v>
      </c>
      <c r="Q61" s="188">
        <f>ROUND(((I61)*($B61+$C61+$D61+$E61))/(Universe!$C$6),2)</f>
        <v>0</v>
      </c>
      <c r="R61" s="188" t="e">
        <f>ROUND(((J61)*($B61+$C61+$D61+$E61))/(Universe!$C$2),2)</f>
        <v>#DIV/0!</v>
      </c>
      <c r="S61" s="235">
        <v>2</v>
      </c>
      <c r="U61" s="408">
        <f t="shared" ref="U61:U69" si="20">IF(S61=1,Q61,0)</f>
        <v>0</v>
      </c>
      <c r="V61" s="408">
        <f t="shared" ref="V61:V69" si="21">IF(S61=2,Q61,0)</f>
        <v>0</v>
      </c>
      <c r="W61" s="408">
        <f t="shared" ref="W61:W69" si="22">IF(S61=1,R61,0)</f>
        <v>0</v>
      </c>
      <c r="X61" s="408" t="e">
        <f t="shared" ref="X61:X69" si="23">IF(S61=2,R61,0)</f>
        <v>#DIV/0!</v>
      </c>
      <c r="AD61" s="162">
        <v>4736.17</v>
      </c>
    </row>
    <row r="62" spans="1:30" ht="40.799999999999997" x14ac:dyDescent="0.2">
      <c r="A62" s="275" t="s">
        <v>209</v>
      </c>
      <c r="B62" s="92">
        <v>0</v>
      </c>
      <c r="C62" s="92">
        <v>1</v>
      </c>
      <c r="D62" s="92">
        <v>12</v>
      </c>
      <c r="E62" s="92">
        <v>1</v>
      </c>
      <c r="F62" s="32">
        <f>ROUND(Costs!$B$3*B62+Costs!$B$4*C62+Costs!$B$5*D62+Costs!$B$6*E62,2)</f>
        <v>1012.44</v>
      </c>
      <c r="G62" s="32" t="str">
        <f>Costs!$B$62</f>
        <v xml:space="preserve"> </v>
      </c>
      <c r="H62" s="32">
        <f>Costs!$B$16</f>
        <v>0</v>
      </c>
      <c r="I62" s="95" t="s">
        <v>677</v>
      </c>
      <c r="J62" s="96">
        <f>ROUND(ROUNDUP((Universe!$C$12*(Universe!$C$2/(Universe!$C$2+Universe!$C$8)))*0.1*0.69,0)*12,0)</f>
        <v>0</v>
      </c>
      <c r="K62" s="94">
        <f t="shared" si="14"/>
        <v>0</v>
      </c>
      <c r="L62" s="93">
        <f t="shared" si="15"/>
        <v>0</v>
      </c>
      <c r="M62" s="233" t="e">
        <f t="shared" si="16"/>
        <v>#DIV/0!</v>
      </c>
      <c r="N62" s="130">
        <f t="shared" si="17"/>
        <v>0</v>
      </c>
      <c r="O62" s="130">
        <f t="shared" si="18"/>
        <v>0</v>
      </c>
      <c r="P62" s="130">
        <f t="shared" si="19"/>
        <v>0</v>
      </c>
      <c r="Q62" s="188">
        <f>ROUND(((I62)*($B62+$C62+$D62+$E62))/(Universe!$C$6),2)</f>
        <v>0</v>
      </c>
      <c r="R62" s="188">
        <f>ROUND(((J62)*($B62+$C62+$D62+$E62))/(Universe!$C$2+Universe!$C$8),2)</f>
        <v>0</v>
      </c>
      <c r="S62" s="235">
        <v>2</v>
      </c>
      <c r="U62" s="408">
        <f t="shared" si="20"/>
        <v>0</v>
      </c>
      <c r="V62" s="408">
        <f t="shared" si="21"/>
        <v>0</v>
      </c>
      <c r="W62" s="408">
        <f t="shared" si="22"/>
        <v>0</v>
      </c>
      <c r="X62" s="408">
        <f t="shared" si="23"/>
        <v>0</v>
      </c>
      <c r="AD62" s="162">
        <v>16342.37</v>
      </c>
    </row>
    <row r="63" spans="1:30" x14ac:dyDescent="0.2">
      <c r="A63" s="275" t="s">
        <v>371</v>
      </c>
      <c r="B63" s="92">
        <v>0</v>
      </c>
      <c r="C63" s="92">
        <v>1</v>
      </c>
      <c r="D63" s="92">
        <v>12</v>
      </c>
      <c r="E63" s="92">
        <v>1</v>
      </c>
      <c r="F63" s="32">
        <f>ROUND(Costs!$B$3*B63+Costs!$B$4*C63+Costs!$B$5*D63+Costs!$B$6*E63,2)</f>
        <v>1012.44</v>
      </c>
      <c r="G63" s="32" t="str">
        <f>Costs!$B$62</f>
        <v xml:space="preserve"> </v>
      </c>
      <c r="H63" s="32">
        <f>Costs!$B$16</f>
        <v>0</v>
      </c>
      <c r="I63" s="95" t="s">
        <v>677</v>
      </c>
      <c r="J63" s="96">
        <f>ROUND(ROUND((Universe!$C$12*(Universe!$C$2/(Universe!$C$2+Universe!$C$8)))*0.1*0.31,0)*52,0)</f>
        <v>0</v>
      </c>
      <c r="K63" s="94">
        <f t="shared" si="14"/>
        <v>0</v>
      </c>
      <c r="L63" s="93">
        <f t="shared" si="15"/>
        <v>0</v>
      </c>
      <c r="M63" s="233" t="e">
        <f t="shared" si="16"/>
        <v>#DIV/0!</v>
      </c>
      <c r="N63" s="130">
        <f t="shared" si="17"/>
        <v>0</v>
      </c>
      <c r="O63" s="130">
        <f t="shared" si="18"/>
        <v>0</v>
      </c>
      <c r="P63" s="130">
        <f t="shared" si="19"/>
        <v>0</v>
      </c>
      <c r="Q63" s="188">
        <f>ROUND(((I63)*($B63+$C63+$D63+$E63))/(Universe!$C$6),2)</f>
        <v>0</v>
      </c>
      <c r="R63" s="188">
        <f>ROUND(((J63)*($B63+$C63+$D63+$E63))/(Universe!$C$2+Universe!$C$8),2)</f>
        <v>0</v>
      </c>
      <c r="S63" s="235">
        <v>2</v>
      </c>
      <c r="U63" s="408">
        <f t="shared" si="20"/>
        <v>0</v>
      </c>
      <c r="V63" s="408">
        <f t="shared" si="21"/>
        <v>0</v>
      </c>
      <c r="W63" s="408">
        <f t="shared" si="22"/>
        <v>0</v>
      </c>
      <c r="X63" s="408">
        <f t="shared" si="23"/>
        <v>0</v>
      </c>
      <c r="AD63" s="162">
        <v>156745</v>
      </c>
    </row>
    <row r="64" spans="1:30" ht="30.6" x14ac:dyDescent="0.2">
      <c r="A64" s="275" t="s">
        <v>549</v>
      </c>
      <c r="B64" s="92">
        <v>0</v>
      </c>
      <c r="C64" s="92">
        <v>5</v>
      </c>
      <c r="D64" s="92">
        <v>60</v>
      </c>
      <c r="E64" s="92">
        <v>5</v>
      </c>
      <c r="F64" s="32">
        <f>ROUND(Costs!$B$3*B64+Costs!$B$4*C64+Costs!$B$5*D64+Costs!$B$6*E64,2)</f>
        <v>5062.2</v>
      </c>
      <c r="G64" s="32" t="str">
        <f>Costs!$B$62</f>
        <v xml:space="preserve"> </v>
      </c>
      <c r="H64" s="93">
        <f>Costs!B31</f>
        <v>500</v>
      </c>
      <c r="I64" s="95" t="s">
        <v>677</v>
      </c>
      <c r="J64" s="96">
        <f>(J62/12)+(J63/52)</f>
        <v>0</v>
      </c>
      <c r="K64" s="94">
        <f t="shared" si="14"/>
        <v>0</v>
      </c>
      <c r="L64" s="93">
        <f t="shared" si="15"/>
        <v>0</v>
      </c>
      <c r="M64" s="233" t="e">
        <f t="shared" si="16"/>
        <v>#DIV/0!</v>
      </c>
      <c r="N64" s="130">
        <f t="shared" si="17"/>
        <v>0</v>
      </c>
      <c r="O64" s="130">
        <f t="shared" si="18"/>
        <v>0</v>
      </c>
      <c r="P64" s="130">
        <f t="shared" si="19"/>
        <v>0</v>
      </c>
      <c r="Q64" s="188">
        <f>ROUND(((I64)*($B64+$C64+$D64+$E64))/(Universe!$C$6),2)</f>
        <v>0</v>
      </c>
      <c r="R64" s="188" t="e">
        <f>ROUND(((J64)*($B64+$C64+$D64+$E64))/(Universe!$C$2),2)</f>
        <v>#DIV/0!</v>
      </c>
      <c r="S64" s="235">
        <v>2</v>
      </c>
      <c r="U64" s="408">
        <f t="shared" si="20"/>
        <v>0</v>
      </c>
      <c r="V64" s="408">
        <f t="shared" si="21"/>
        <v>0</v>
      </c>
      <c r="W64" s="408">
        <f t="shared" si="22"/>
        <v>0</v>
      </c>
      <c r="X64" s="408" t="e">
        <f t="shared" si="23"/>
        <v>#DIV/0!</v>
      </c>
      <c r="AD64" s="162">
        <v>16342.37</v>
      </c>
    </row>
    <row r="65" spans="1:30" ht="20.399999999999999" x14ac:dyDescent="0.2">
      <c r="A65" s="275" t="s">
        <v>210</v>
      </c>
      <c r="B65" s="92">
        <v>0</v>
      </c>
      <c r="C65" s="92">
        <v>0.5</v>
      </c>
      <c r="D65" s="92">
        <v>2</v>
      </c>
      <c r="E65" s="92">
        <v>6</v>
      </c>
      <c r="F65" s="32">
        <f>ROUND(Costs!$B$3*B65+Costs!$B$4*C65+Costs!$B$5*D65+Costs!$B$6*E65,2)</f>
        <v>455.97</v>
      </c>
      <c r="G65" s="32" t="str">
        <f>Costs!$B$62</f>
        <v xml:space="preserve"> </v>
      </c>
      <c r="H65" s="32">
        <f>Costs!$B$17</f>
        <v>1.5</v>
      </c>
      <c r="I65" s="95" t="s">
        <v>677</v>
      </c>
      <c r="J65" s="96">
        <f>Universe!$C$2*0.85</f>
        <v>0</v>
      </c>
      <c r="K65" s="94">
        <f t="shared" si="14"/>
        <v>0</v>
      </c>
      <c r="L65" s="93">
        <f t="shared" si="15"/>
        <v>0</v>
      </c>
      <c r="M65" s="233" t="e">
        <f t="shared" si="16"/>
        <v>#DIV/0!</v>
      </c>
      <c r="N65" s="130">
        <f t="shared" si="17"/>
        <v>0</v>
      </c>
      <c r="O65" s="130">
        <f t="shared" si="18"/>
        <v>0</v>
      </c>
      <c r="P65" s="130">
        <f t="shared" si="19"/>
        <v>0</v>
      </c>
      <c r="Q65" s="188">
        <f>ROUND(((I65)*($B65+$C65+$D65+$E65))/(Universe!$C$6),2)</f>
        <v>0</v>
      </c>
      <c r="R65" s="188" t="e">
        <f>ROUND(((J65)*($B65+$C65+$D65+$E65))/(Universe!$C$2),2)</f>
        <v>#DIV/0!</v>
      </c>
      <c r="S65" s="235">
        <v>2</v>
      </c>
      <c r="U65" s="408">
        <f t="shared" si="20"/>
        <v>0</v>
      </c>
      <c r="V65" s="408">
        <f t="shared" si="21"/>
        <v>0</v>
      </c>
      <c r="W65" s="408">
        <f t="shared" si="22"/>
        <v>0</v>
      </c>
      <c r="X65" s="408" t="e">
        <f t="shared" si="23"/>
        <v>#DIV/0!</v>
      </c>
      <c r="AD65" s="162">
        <v>1332.4</v>
      </c>
    </row>
    <row r="66" spans="1:30" ht="20.399999999999999" x14ac:dyDescent="0.2">
      <c r="A66" s="275" t="s">
        <v>211</v>
      </c>
      <c r="B66" s="92">
        <v>0</v>
      </c>
      <c r="C66" s="92">
        <v>5</v>
      </c>
      <c r="D66" s="92">
        <v>40</v>
      </c>
      <c r="E66" s="92">
        <v>0</v>
      </c>
      <c r="F66" s="32">
        <f>ROUND(Costs!$B$3*B66+Costs!$B$4*C66+Costs!$B$5*D66+Costs!$B$6*E66,2)</f>
        <v>3391.65</v>
      </c>
      <c r="G66" s="32" t="str">
        <f>Costs!$B$62</f>
        <v xml:space="preserve"> </v>
      </c>
      <c r="H66" s="93">
        <f>Costs!B31</f>
        <v>500</v>
      </c>
      <c r="I66" s="95" t="s">
        <v>677</v>
      </c>
      <c r="J66" s="96">
        <f>Universe!$C$2*0.85</f>
        <v>0</v>
      </c>
      <c r="K66" s="94">
        <f t="shared" si="14"/>
        <v>0</v>
      </c>
      <c r="L66" s="93">
        <f t="shared" si="15"/>
        <v>0</v>
      </c>
      <c r="M66" s="233" t="e">
        <f t="shared" si="16"/>
        <v>#DIV/0!</v>
      </c>
      <c r="N66" s="130">
        <f t="shared" si="17"/>
        <v>0</v>
      </c>
      <c r="O66" s="130">
        <f t="shared" si="18"/>
        <v>0</v>
      </c>
      <c r="P66" s="130">
        <f t="shared" si="19"/>
        <v>0</v>
      </c>
      <c r="Q66" s="188">
        <f>ROUND(((I66)*($B66+$C66+$D66+$E66))/(Universe!$C$6),2)</f>
        <v>0</v>
      </c>
      <c r="R66" s="188" t="e">
        <f>ROUND(((J66)*($B66+$C66+$D66+$E66))/(Universe!$C$2),2)</f>
        <v>#DIV/0!</v>
      </c>
      <c r="S66" s="235">
        <v>2</v>
      </c>
      <c r="U66" s="408">
        <f t="shared" si="20"/>
        <v>0</v>
      </c>
      <c r="V66" s="408">
        <f t="shared" si="21"/>
        <v>0</v>
      </c>
      <c r="W66" s="408">
        <f t="shared" si="22"/>
        <v>0</v>
      </c>
      <c r="X66" s="408" t="e">
        <f t="shared" si="23"/>
        <v>#DIV/0!</v>
      </c>
      <c r="AD66" s="162">
        <v>0</v>
      </c>
    </row>
    <row r="67" spans="1:30" ht="20.399999999999999" x14ac:dyDescent="0.2">
      <c r="A67" s="275" t="s">
        <v>212</v>
      </c>
      <c r="B67" s="92">
        <v>0</v>
      </c>
      <c r="C67" s="92">
        <v>0.5</v>
      </c>
      <c r="D67" s="92">
        <v>2</v>
      </c>
      <c r="E67" s="92">
        <v>6</v>
      </c>
      <c r="F67" s="32">
        <f>ROUND(Costs!$B$3*B67+Costs!$B$4*C67+Costs!$B$5*D67+Costs!$B$6*E67,2)</f>
        <v>455.97</v>
      </c>
      <c r="G67" s="32" t="str">
        <f>Costs!$B$62</f>
        <v xml:space="preserve"> </v>
      </c>
      <c r="H67" s="32">
        <f>Costs!$B$17</f>
        <v>1.5</v>
      </c>
      <c r="I67" s="95" t="s">
        <v>677</v>
      </c>
      <c r="J67" s="96">
        <f>Universe!$C$2*0.85</f>
        <v>0</v>
      </c>
      <c r="K67" s="94">
        <f t="shared" si="14"/>
        <v>0</v>
      </c>
      <c r="L67" s="93">
        <f t="shared" si="15"/>
        <v>0</v>
      </c>
      <c r="M67" s="233" t="e">
        <f t="shared" si="16"/>
        <v>#DIV/0!</v>
      </c>
      <c r="N67" s="130">
        <f t="shared" si="17"/>
        <v>0</v>
      </c>
      <c r="O67" s="130">
        <f t="shared" si="18"/>
        <v>0</v>
      </c>
      <c r="P67" s="130">
        <f t="shared" si="19"/>
        <v>0</v>
      </c>
      <c r="Q67" s="188">
        <f>ROUND(((I67)*($B67+$C67+$D67+$E67))/(Universe!$C$6),2)</f>
        <v>0</v>
      </c>
      <c r="R67" s="188" t="e">
        <f>ROUND(((J67)*($B67+$C67+$D67+$E67))/(Universe!$C$2),2)</f>
        <v>#DIV/0!</v>
      </c>
      <c r="S67" s="235">
        <v>2</v>
      </c>
      <c r="U67" s="408">
        <f t="shared" si="20"/>
        <v>0</v>
      </c>
      <c r="V67" s="408">
        <f t="shared" si="21"/>
        <v>0</v>
      </c>
      <c r="W67" s="408">
        <f t="shared" si="22"/>
        <v>0</v>
      </c>
      <c r="X67" s="408" t="e">
        <f t="shared" si="23"/>
        <v>#DIV/0!</v>
      </c>
    </row>
    <row r="68" spans="1:30" ht="40.799999999999997" x14ac:dyDescent="0.2">
      <c r="A68" s="275" t="s">
        <v>213</v>
      </c>
      <c r="B68" s="92">
        <v>1</v>
      </c>
      <c r="C68" s="92">
        <v>0.5</v>
      </c>
      <c r="D68" s="92">
        <v>8</v>
      </c>
      <c r="E68" s="92">
        <v>0.5</v>
      </c>
      <c r="F68" s="32">
        <f>ROUND(Costs!$B$3*B68+Costs!$B$4*C68+Costs!$B$5*D68+Costs!$B$6*E68,2)</f>
        <v>816.34</v>
      </c>
      <c r="G68" s="32" t="str">
        <f>Costs!$B$62</f>
        <v xml:space="preserve"> </v>
      </c>
      <c r="H68" s="93">
        <f>Costs!B19</f>
        <v>4.4000000000000004</v>
      </c>
      <c r="I68" s="95" t="s">
        <v>677</v>
      </c>
      <c r="J68" s="96">
        <f>ROUND(Universe!$C$2*0.05,0)</f>
        <v>0</v>
      </c>
      <c r="K68" s="94">
        <f t="shared" si="14"/>
        <v>0</v>
      </c>
      <c r="L68" s="93">
        <f t="shared" si="15"/>
        <v>0</v>
      </c>
      <c r="M68" s="233" t="e">
        <f t="shared" si="16"/>
        <v>#DIV/0!</v>
      </c>
      <c r="N68" s="130">
        <f t="shared" si="17"/>
        <v>0</v>
      </c>
      <c r="O68" s="130">
        <f t="shared" si="18"/>
        <v>0</v>
      </c>
      <c r="P68" s="130">
        <f t="shared" si="19"/>
        <v>0</v>
      </c>
      <c r="Q68" s="188">
        <f>ROUND(((I68)*($B68+$C68+$D68+$E68))/(Universe!$C$6),2)</f>
        <v>0</v>
      </c>
      <c r="R68" s="188" t="e">
        <f>ROUND(((J68)*($B68+$C68+$D68+$E68))/(Universe!$C$2),2)</f>
        <v>#DIV/0!</v>
      </c>
      <c r="S68" s="235">
        <v>1</v>
      </c>
      <c r="U68" s="408">
        <f t="shared" si="20"/>
        <v>0</v>
      </c>
      <c r="V68" s="408">
        <f t="shared" si="21"/>
        <v>0</v>
      </c>
      <c r="W68" s="408" t="e">
        <f t="shared" si="22"/>
        <v>#DIV/0!</v>
      </c>
      <c r="X68" s="408">
        <f t="shared" si="23"/>
        <v>0</v>
      </c>
      <c r="AA68" s="557" t="str">
        <f>I68</f>
        <v>N/A</v>
      </c>
      <c r="AB68" s="557">
        <f>J68</f>
        <v>0</v>
      </c>
      <c r="AD68" s="162">
        <v>0</v>
      </c>
    </row>
    <row r="69" spans="1:30" ht="30.6" x14ac:dyDescent="0.2">
      <c r="A69" s="275" t="s">
        <v>214</v>
      </c>
      <c r="B69" s="92">
        <v>0</v>
      </c>
      <c r="C69" s="92">
        <v>0.5</v>
      </c>
      <c r="D69" s="92">
        <v>1</v>
      </c>
      <c r="E69" s="92">
        <v>0.5</v>
      </c>
      <c r="F69" s="32">
        <f>ROUND(Costs!$B$3*B69+Costs!$B$4*C69+Costs!$B$5*D69+Costs!$B$6*E69,2)</f>
        <v>143.16999999999999</v>
      </c>
      <c r="G69" s="32" t="str">
        <f>Costs!$B$62</f>
        <v xml:space="preserve"> </v>
      </c>
      <c r="H69" s="32">
        <f>Costs!$B$17</f>
        <v>1.5</v>
      </c>
      <c r="I69" s="95" t="s">
        <v>677</v>
      </c>
      <c r="J69" s="96">
        <f>ROUND((J68*0.2),0)</f>
        <v>0</v>
      </c>
      <c r="K69" s="94">
        <f t="shared" si="14"/>
        <v>0</v>
      </c>
      <c r="L69" s="93">
        <f t="shared" si="15"/>
        <v>0</v>
      </c>
      <c r="M69" s="233" t="e">
        <f t="shared" si="16"/>
        <v>#DIV/0!</v>
      </c>
      <c r="N69" s="130">
        <f t="shared" si="17"/>
        <v>0</v>
      </c>
      <c r="O69" s="130">
        <f t="shared" si="18"/>
        <v>0</v>
      </c>
      <c r="P69" s="130">
        <f t="shared" si="19"/>
        <v>0</v>
      </c>
      <c r="Q69" s="188">
        <f>ROUND(((I69)*($B69+$C69+$D69+$E69))/(Universe!$C$6),2)</f>
        <v>0</v>
      </c>
      <c r="R69" s="188" t="e">
        <f>ROUND(((J69)*($B69+$C69+$D69+$E69))/(Universe!$C$2),2)</f>
        <v>#DIV/0!</v>
      </c>
      <c r="S69" s="235">
        <v>2</v>
      </c>
      <c r="U69" s="408">
        <f t="shared" si="20"/>
        <v>0</v>
      </c>
      <c r="V69" s="408">
        <f t="shared" si="21"/>
        <v>0</v>
      </c>
      <c r="W69" s="408">
        <f t="shared" si="22"/>
        <v>0</v>
      </c>
      <c r="X69" s="408" t="e">
        <f t="shared" si="23"/>
        <v>#DIV/0!</v>
      </c>
      <c r="AD69" s="162">
        <v>0</v>
      </c>
    </row>
    <row r="70" spans="1:30" x14ac:dyDescent="0.2">
      <c r="A70" s="255" t="s">
        <v>258</v>
      </c>
      <c r="B70" s="256"/>
      <c r="C70" s="256"/>
      <c r="D70" s="256"/>
      <c r="E70" s="256"/>
      <c r="F70" s="257"/>
      <c r="G70" s="257"/>
      <c r="H70" s="257"/>
      <c r="I70" s="261"/>
      <c r="J70" s="261"/>
      <c r="K70" s="259"/>
      <c r="L70" s="262"/>
      <c r="M70" s="233"/>
      <c r="N70" s="130"/>
      <c r="O70" s="130"/>
      <c r="P70" s="130"/>
      <c r="Q70" s="240"/>
      <c r="R70" s="240"/>
      <c r="AD70" s="162">
        <v>0</v>
      </c>
    </row>
    <row r="71" spans="1:30" x14ac:dyDescent="0.2">
      <c r="A71" s="275" t="s">
        <v>610</v>
      </c>
      <c r="B71" s="92">
        <v>0</v>
      </c>
      <c r="C71" s="92">
        <v>1</v>
      </c>
      <c r="D71" s="92">
        <v>2</v>
      </c>
      <c r="E71" s="92">
        <v>0</v>
      </c>
      <c r="F71" s="32">
        <f>ROUND(Costs!$B$3*B71+Costs!$B$4*C71+Costs!$B$5*D71+Costs!$B$6*E71,2)</f>
        <v>242.67</v>
      </c>
      <c r="G71" s="32" t="str">
        <f>Costs!$B$62</f>
        <v xml:space="preserve"> </v>
      </c>
      <c r="H71" s="32">
        <f>Costs!$B$16</f>
        <v>0</v>
      </c>
      <c r="I71" s="95" t="s">
        <v>677</v>
      </c>
      <c r="J71" s="96">
        <f>(Universe!$C$26)</f>
        <v>0</v>
      </c>
      <c r="K71" s="94">
        <f t="shared" ref="K71:K81" si="24">ROUND((I71+J71)*(B71+C71+D71+E71),2)</f>
        <v>0</v>
      </c>
      <c r="L71" s="93">
        <f t="shared" ref="L71:L81" si="25">(I71+J71)*SUM(F71:H71)</f>
        <v>0</v>
      </c>
      <c r="M71" s="233" t="e">
        <f t="shared" ref="M71:M81" si="26">L71/(I71+J71)</f>
        <v>#DIV/0!</v>
      </c>
      <c r="N71" s="130">
        <f t="shared" ref="N71:N81" si="27">F71*(I71+J71)</f>
        <v>0</v>
      </c>
      <c r="O71" s="130">
        <f t="shared" ref="O71:O81" si="28">G71*(I71+J71)</f>
        <v>0</v>
      </c>
      <c r="P71" s="130">
        <f t="shared" ref="P71:P81" si="29">H71*(I71+J71)</f>
        <v>0</v>
      </c>
      <c r="Q71" s="188">
        <f>ROUND(((I71)*($B71+$C71+$D71+$E71))/(Universe!$C$6),2)</f>
        <v>0</v>
      </c>
      <c r="R71" s="188" t="e">
        <f>ROUND(((J71)*($B71+$C71+$D71+$E71))/(Universe!$C$2),2)</f>
        <v>#DIV/0!</v>
      </c>
      <c r="S71" s="235">
        <v>2</v>
      </c>
      <c r="U71" s="408">
        <f t="shared" ref="U71:U81" si="30">IF(S71=1,Q71,0)</f>
        <v>0</v>
      </c>
      <c r="V71" s="408">
        <f t="shared" ref="V71:V81" si="31">IF(S71=2,Q71,0)</f>
        <v>0</v>
      </c>
      <c r="W71" s="408">
        <f t="shared" ref="W71:W81" si="32">IF(S71=1,R71,0)</f>
        <v>0</v>
      </c>
      <c r="X71" s="408" t="e">
        <f t="shared" ref="X71:X81" si="33">IF(S71=2,R71,0)</f>
        <v>#DIV/0!</v>
      </c>
      <c r="AD71" s="162">
        <v>0</v>
      </c>
    </row>
    <row r="72" spans="1:30" ht="40.799999999999997" x14ac:dyDescent="0.2">
      <c r="A72" s="275" t="s">
        <v>215</v>
      </c>
      <c r="B72" s="92">
        <v>0</v>
      </c>
      <c r="C72" s="92">
        <v>1</v>
      </c>
      <c r="D72" s="92">
        <v>16</v>
      </c>
      <c r="E72" s="92">
        <v>1</v>
      </c>
      <c r="F72" s="32">
        <f>ROUND(Costs!$B$3*B72+Costs!$B$4*C72+Costs!$B$5*D72+Costs!$B$6*E72,2)</f>
        <v>1302.8800000000001</v>
      </c>
      <c r="G72" s="32" t="str">
        <f>Costs!$B$62</f>
        <v xml:space="preserve"> </v>
      </c>
      <c r="H72" s="32">
        <f>Costs!$B$17</f>
        <v>1.5</v>
      </c>
      <c r="I72" s="95" t="s">
        <v>677</v>
      </c>
      <c r="J72" s="96">
        <f>(Universe!$C$26)</f>
        <v>0</v>
      </c>
      <c r="K72" s="94">
        <f t="shared" si="24"/>
        <v>0</v>
      </c>
      <c r="L72" s="93">
        <f t="shared" si="25"/>
        <v>0</v>
      </c>
      <c r="M72" s="233" t="e">
        <f t="shared" si="26"/>
        <v>#DIV/0!</v>
      </c>
      <c r="N72" s="130">
        <f t="shared" si="27"/>
        <v>0</v>
      </c>
      <c r="O72" s="130">
        <f t="shared" si="28"/>
        <v>0</v>
      </c>
      <c r="P72" s="130">
        <f t="shared" si="29"/>
        <v>0</v>
      </c>
      <c r="Q72" s="188">
        <f>ROUND(((I72)*($B72+$C72+$D72+$E72))/(Universe!$C$6),2)</f>
        <v>0</v>
      </c>
      <c r="R72" s="188" t="e">
        <f>ROUND(((J72)*($B72+$C72+$D72+$E72))/(Universe!$C$2),2)</f>
        <v>#DIV/0!</v>
      </c>
      <c r="S72" s="235">
        <v>2</v>
      </c>
      <c r="U72" s="408">
        <f t="shared" si="30"/>
        <v>0</v>
      </c>
      <c r="V72" s="408">
        <f t="shared" si="31"/>
        <v>0</v>
      </c>
      <c r="W72" s="408">
        <f t="shared" si="32"/>
        <v>0</v>
      </c>
      <c r="X72" s="408" t="e">
        <f t="shared" si="33"/>
        <v>#DIV/0!</v>
      </c>
      <c r="AD72" s="162">
        <v>0</v>
      </c>
    </row>
    <row r="73" spans="1:30" ht="20.399999999999999" x14ac:dyDescent="0.2">
      <c r="A73" s="275" t="s">
        <v>216</v>
      </c>
      <c r="B73" s="92">
        <v>0</v>
      </c>
      <c r="C73" s="92">
        <v>0</v>
      </c>
      <c r="D73" s="92">
        <v>0</v>
      </c>
      <c r="E73" s="92">
        <v>0.5</v>
      </c>
      <c r="F73" s="32">
        <f>ROUND(Costs!$B$3*B73+Costs!$B$4*C73+Costs!$B$5*D73+Costs!$B$6*E73,2)</f>
        <v>21.84</v>
      </c>
      <c r="G73" s="32" t="str">
        <f>Costs!$B$62</f>
        <v xml:space="preserve"> </v>
      </c>
      <c r="H73" s="32">
        <f>Costs!$B$19</f>
        <v>4.4000000000000004</v>
      </c>
      <c r="I73" s="95" t="s">
        <v>677</v>
      </c>
      <c r="J73" s="96">
        <f>(Universe!$C$26)</f>
        <v>0</v>
      </c>
      <c r="K73" s="94">
        <f t="shared" si="24"/>
        <v>0</v>
      </c>
      <c r="L73" s="93">
        <f t="shared" si="25"/>
        <v>0</v>
      </c>
      <c r="M73" s="233" t="e">
        <f t="shared" si="26"/>
        <v>#DIV/0!</v>
      </c>
      <c r="N73" s="130">
        <f t="shared" si="27"/>
        <v>0</v>
      </c>
      <c r="O73" s="130">
        <f t="shared" si="28"/>
        <v>0</v>
      </c>
      <c r="P73" s="130">
        <f t="shared" si="29"/>
        <v>0</v>
      </c>
      <c r="Q73" s="188">
        <f>ROUND(((I73)*($B73+$C73+$D73+$E73))/(Universe!$C$6),2)</f>
        <v>0</v>
      </c>
      <c r="R73" s="188" t="e">
        <f>ROUND(((J73)*($B73+$C73+$D73+$E73))/(Universe!$C$2),2)</f>
        <v>#DIV/0!</v>
      </c>
      <c r="S73" s="235">
        <v>1</v>
      </c>
      <c r="U73" s="408">
        <f t="shared" si="30"/>
        <v>0</v>
      </c>
      <c r="V73" s="408">
        <f t="shared" si="31"/>
        <v>0</v>
      </c>
      <c r="W73" s="408" t="e">
        <f t="shared" si="32"/>
        <v>#DIV/0!</v>
      </c>
      <c r="X73" s="408">
        <f t="shared" si="33"/>
        <v>0</v>
      </c>
      <c r="AD73" s="162">
        <v>0</v>
      </c>
    </row>
    <row r="74" spans="1:30" ht="20.399999999999999" x14ac:dyDescent="0.2">
      <c r="A74" s="275" t="s">
        <v>217</v>
      </c>
      <c r="B74" s="92">
        <v>1</v>
      </c>
      <c r="C74" s="92">
        <f>10*0.25</f>
        <v>2.5</v>
      </c>
      <c r="D74" s="92">
        <f>0.25*250</f>
        <v>62.5</v>
      </c>
      <c r="E74" s="92">
        <f>20*0.25</f>
        <v>5</v>
      </c>
      <c r="F74" s="32">
        <f>ROUND(Costs!$B$3*B74+Costs!$B$4*C74+Costs!$B$5*D74+Costs!$B$6*E74,2)</f>
        <v>5165</v>
      </c>
      <c r="G74" s="32" t="str">
        <f>Costs!$B$62</f>
        <v xml:space="preserve"> </v>
      </c>
      <c r="H74" s="93">
        <f>Costs!B32</f>
        <v>26000</v>
      </c>
      <c r="I74" s="95" t="s">
        <v>677</v>
      </c>
      <c r="J74" s="96">
        <f>(Universe!$C$26)</f>
        <v>0</v>
      </c>
      <c r="K74" s="94">
        <f t="shared" si="24"/>
        <v>0</v>
      </c>
      <c r="L74" s="93">
        <f t="shared" si="25"/>
        <v>0</v>
      </c>
      <c r="M74" s="233" t="e">
        <f t="shared" si="26"/>
        <v>#DIV/0!</v>
      </c>
      <c r="N74" s="130">
        <f t="shared" si="27"/>
        <v>0</v>
      </c>
      <c r="O74" s="130">
        <f t="shared" si="28"/>
        <v>0</v>
      </c>
      <c r="P74" s="130">
        <f t="shared" si="29"/>
        <v>0</v>
      </c>
      <c r="Q74" s="188">
        <f>ROUND(((I74)*($B74+$C74+$D74+$E74))/(Universe!$C$6),2)</f>
        <v>0</v>
      </c>
      <c r="R74" s="188" t="e">
        <f>ROUND(((J74)*($B74+$C74+$D74+$E74))/(Universe!$C$2),2)</f>
        <v>#DIV/0!</v>
      </c>
      <c r="S74" s="235">
        <v>1</v>
      </c>
      <c r="U74" s="408">
        <f t="shared" si="30"/>
        <v>0</v>
      </c>
      <c r="V74" s="408">
        <f t="shared" si="31"/>
        <v>0</v>
      </c>
      <c r="W74" s="408" t="e">
        <f t="shared" si="32"/>
        <v>#DIV/0!</v>
      </c>
      <c r="X74" s="408">
        <f t="shared" si="33"/>
        <v>0</v>
      </c>
      <c r="AA74" s="557" t="str">
        <f>I74</f>
        <v>N/A</v>
      </c>
      <c r="AB74" s="557">
        <f>J74</f>
        <v>0</v>
      </c>
      <c r="AD74" s="162">
        <v>0</v>
      </c>
    </row>
    <row r="75" spans="1:30" ht="20.399999999999999" x14ac:dyDescent="0.2">
      <c r="A75" s="275" t="s">
        <v>218</v>
      </c>
      <c r="B75" s="92">
        <v>0</v>
      </c>
      <c r="C75" s="92">
        <v>0.5</v>
      </c>
      <c r="D75" s="92">
        <v>8</v>
      </c>
      <c r="E75" s="92">
        <v>0.5</v>
      </c>
      <c r="F75" s="32">
        <f>ROUND(Costs!$B$3*B75+Costs!$B$4*C75+Costs!$B$5*D75+Costs!$B$6*E75,2)</f>
        <v>651.44000000000005</v>
      </c>
      <c r="G75" s="32" t="str">
        <f>Costs!$B$62</f>
        <v xml:space="preserve"> </v>
      </c>
      <c r="H75" s="32">
        <f>Costs!$B$16</f>
        <v>0</v>
      </c>
      <c r="I75" s="95" t="s">
        <v>677</v>
      </c>
      <c r="J75" s="96">
        <f>(Universe!$C$26)</f>
        <v>0</v>
      </c>
      <c r="K75" s="94">
        <f t="shared" si="24"/>
        <v>0</v>
      </c>
      <c r="L75" s="93">
        <f t="shared" si="25"/>
        <v>0</v>
      </c>
      <c r="M75" s="233" t="e">
        <f t="shared" si="26"/>
        <v>#DIV/0!</v>
      </c>
      <c r="N75" s="130">
        <f t="shared" si="27"/>
        <v>0</v>
      </c>
      <c r="O75" s="130">
        <f t="shared" si="28"/>
        <v>0</v>
      </c>
      <c r="P75" s="130">
        <f t="shared" si="29"/>
        <v>0</v>
      </c>
      <c r="Q75" s="188">
        <f>ROUND(((I75)*($B75+$C75+$D75+$E75))/(Universe!$C$6),2)</f>
        <v>0</v>
      </c>
      <c r="R75" s="188" t="e">
        <f>ROUND(((J75)*($B75+$C75+$D75+$E75))/(Universe!$C$2),2)</f>
        <v>#DIV/0!</v>
      </c>
      <c r="S75" s="235">
        <v>1</v>
      </c>
      <c r="U75" s="408">
        <f t="shared" si="30"/>
        <v>0</v>
      </c>
      <c r="V75" s="408">
        <f t="shared" si="31"/>
        <v>0</v>
      </c>
      <c r="W75" s="408" t="e">
        <f t="shared" si="32"/>
        <v>#DIV/0!</v>
      </c>
      <c r="X75" s="408">
        <f t="shared" si="33"/>
        <v>0</v>
      </c>
      <c r="AD75" s="162">
        <v>0</v>
      </c>
    </row>
    <row r="76" spans="1:30" ht="20.399999999999999" x14ac:dyDescent="0.2">
      <c r="A76" s="275" t="s">
        <v>219</v>
      </c>
      <c r="B76" s="92">
        <v>0</v>
      </c>
      <c r="C76" s="92">
        <v>0</v>
      </c>
      <c r="D76" s="92">
        <v>130</v>
      </c>
      <c r="E76" s="92">
        <v>0</v>
      </c>
      <c r="F76" s="32">
        <f>ROUND(Costs!$B$3*B76+Costs!$B$4*C76+Costs!$B$5*D76+Costs!$B$6*E76,2)</f>
        <v>9439.2999999999993</v>
      </c>
      <c r="G76" s="32" t="str">
        <f>Costs!$B$62</f>
        <v xml:space="preserve"> </v>
      </c>
      <c r="H76" s="32">
        <f>Costs!$B$16</f>
        <v>0</v>
      </c>
      <c r="I76" s="95" t="s">
        <v>677</v>
      </c>
      <c r="J76" s="96">
        <f>(Universe!$C$26)</f>
        <v>0</v>
      </c>
      <c r="K76" s="94">
        <f t="shared" si="24"/>
        <v>0</v>
      </c>
      <c r="L76" s="93">
        <f t="shared" si="25"/>
        <v>0</v>
      </c>
      <c r="M76" s="233" t="e">
        <f t="shared" si="26"/>
        <v>#DIV/0!</v>
      </c>
      <c r="N76" s="130">
        <f t="shared" si="27"/>
        <v>0</v>
      </c>
      <c r="O76" s="130">
        <f t="shared" si="28"/>
        <v>0</v>
      </c>
      <c r="P76" s="130">
        <f t="shared" si="29"/>
        <v>0</v>
      </c>
      <c r="Q76" s="188">
        <f>ROUND(((I76)*($B76+$C76+$D76+$E76))/(Universe!$C$6),2)</f>
        <v>0</v>
      </c>
      <c r="R76" s="188" t="e">
        <f>ROUND(((J76)*($B76+$C76+$D76+$E76))/(Universe!$C$2),2)</f>
        <v>#DIV/0!</v>
      </c>
      <c r="S76" s="235">
        <v>2</v>
      </c>
      <c r="U76" s="408">
        <f t="shared" si="30"/>
        <v>0</v>
      </c>
      <c r="V76" s="408">
        <f t="shared" si="31"/>
        <v>0</v>
      </c>
      <c r="W76" s="408">
        <f t="shared" si="32"/>
        <v>0</v>
      </c>
      <c r="X76" s="408" t="e">
        <f t="shared" si="33"/>
        <v>#DIV/0!</v>
      </c>
      <c r="AD76" s="162">
        <v>0</v>
      </c>
    </row>
    <row r="77" spans="1:30" x14ac:dyDescent="0.2">
      <c r="A77" s="275" t="s">
        <v>372</v>
      </c>
      <c r="B77" s="92">
        <v>0</v>
      </c>
      <c r="C77" s="92">
        <v>0.5</v>
      </c>
      <c r="D77" s="92">
        <v>3</v>
      </c>
      <c r="E77" s="92">
        <v>0.5</v>
      </c>
      <c r="F77" s="32">
        <f>ROUND(Costs!$B$3*B77+Costs!$B$4*C77+Costs!$B$5*D77+Costs!$B$6*E77,2)</f>
        <v>288.39</v>
      </c>
      <c r="G77" s="32" t="str">
        <f>Costs!$B$62</f>
        <v xml:space="preserve"> </v>
      </c>
      <c r="H77" s="32">
        <f>Costs!$B$19</f>
        <v>4.4000000000000004</v>
      </c>
      <c r="I77" s="95" t="s">
        <v>677</v>
      </c>
      <c r="J77" s="96">
        <f>(Universe!$C$26)</f>
        <v>0</v>
      </c>
      <c r="K77" s="94">
        <f t="shared" si="24"/>
        <v>0</v>
      </c>
      <c r="L77" s="93">
        <f t="shared" si="25"/>
        <v>0</v>
      </c>
      <c r="M77" s="233" t="e">
        <f t="shared" si="26"/>
        <v>#DIV/0!</v>
      </c>
      <c r="N77" s="130">
        <f t="shared" si="27"/>
        <v>0</v>
      </c>
      <c r="O77" s="130">
        <f t="shared" si="28"/>
        <v>0</v>
      </c>
      <c r="P77" s="130">
        <f t="shared" si="29"/>
        <v>0</v>
      </c>
      <c r="Q77" s="188">
        <f>ROUND(((I77)*($B77+$C77+$D77+$E77))/(Universe!$C$6),2)</f>
        <v>0</v>
      </c>
      <c r="R77" s="188" t="e">
        <f>ROUND(((J77)*($B77+$C77+$D77+$E77))/(Universe!$C$2),2)</f>
        <v>#DIV/0!</v>
      </c>
      <c r="S77" s="235">
        <v>1</v>
      </c>
      <c r="U77" s="408">
        <f t="shared" si="30"/>
        <v>0</v>
      </c>
      <c r="V77" s="408">
        <f t="shared" si="31"/>
        <v>0</v>
      </c>
      <c r="W77" s="408" t="e">
        <f t="shared" si="32"/>
        <v>#DIV/0!</v>
      </c>
      <c r="X77" s="408">
        <f t="shared" si="33"/>
        <v>0</v>
      </c>
      <c r="AA77" s="557" t="str">
        <f>I77</f>
        <v>N/A</v>
      </c>
      <c r="AB77" s="557">
        <f>J77</f>
        <v>0</v>
      </c>
      <c r="AD77" s="162">
        <v>0</v>
      </c>
    </row>
    <row r="78" spans="1:30" ht="20.399999999999999" x14ac:dyDescent="0.2">
      <c r="A78" s="275" t="s">
        <v>220</v>
      </c>
      <c r="B78" s="92">
        <v>0</v>
      </c>
      <c r="C78" s="92">
        <v>1</v>
      </c>
      <c r="D78" s="92">
        <v>1</v>
      </c>
      <c r="E78" s="92">
        <v>8</v>
      </c>
      <c r="F78" s="32">
        <f>ROUND(Costs!$B$3*B78+Costs!$B$4*C78+Costs!$B$5*D78+Costs!$B$6*E78,2)</f>
        <v>519.41999999999996</v>
      </c>
      <c r="G78" s="32" t="str">
        <f>Costs!$B$62</f>
        <v xml:space="preserve"> </v>
      </c>
      <c r="H78" s="32">
        <f>Costs!$B$17</f>
        <v>1.5</v>
      </c>
      <c r="I78" s="95" t="s">
        <v>677</v>
      </c>
      <c r="J78" s="96">
        <f>(Universe!$C$26)</f>
        <v>0</v>
      </c>
      <c r="K78" s="94">
        <f t="shared" si="24"/>
        <v>0</v>
      </c>
      <c r="L78" s="93">
        <f t="shared" si="25"/>
        <v>0</v>
      </c>
      <c r="M78" s="233" t="e">
        <f t="shared" si="26"/>
        <v>#DIV/0!</v>
      </c>
      <c r="N78" s="130">
        <f t="shared" si="27"/>
        <v>0</v>
      </c>
      <c r="O78" s="130">
        <f t="shared" si="28"/>
        <v>0</v>
      </c>
      <c r="P78" s="130">
        <f t="shared" si="29"/>
        <v>0</v>
      </c>
      <c r="Q78" s="188">
        <f>ROUND(((I78)*($B78+$C78+$D78+$E78))/(Universe!$C$6),2)</f>
        <v>0</v>
      </c>
      <c r="R78" s="188" t="e">
        <f>ROUND(((J78)*($B78+$C78+$D78+$E78))/(Universe!$C$2),2)</f>
        <v>#DIV/0!</v>
      </c>
      <c r="S78" s="235">
        <v>2</v>
      </c>
      <c r="U78" s="408">
        <f t="shared" si="30"/>
        <v>0</v>
      </c>
      <c r="V78" s="408">
        <f t="shared" si="31"/>
        <v>0</v>
      </c>
      <c r="W78" s="408">
        <f t="shared" si="32"/>
        <v>0</v>
      </c>
      <c r="X78" s="408" t="e">
        <f t="shared" si="33"/>
        <v>#DIV/0!</v>
      </c>
      <c r="AD78" s="162">
        <v>0</v>
      </c>
    </row>
    <row r="79" spans="1:30" ht="20.399999999999999" x14ac:dyDescent="0.2">
      <c r="A79" s="275" t="s">
        <v>221</v>
      </c>
      <c r="B79" s="92">
        <v>0</v>
      </c>
      <c r="C79" s="92">
        <v>0</v>
      </c>
      <c r="D79" s="92">
        <v>50</v>
      </c>
      <c r="E79" s="92">
        <v>3</v>
      </c>
      <c r="F79" s="32">
        <f>ROUND(Costs!$B$3*B79+Costs!$B$4*C79+Costs!$B$5*D79+Costs!$B$6*E79,2)</f>
        <v>3761.51</v>
      </c>
      <c r="G79" s="32" t="str">
        <f>Costs!$B$62</f>
        <v xml:space="preserve"> </v>
      </c>
      <c r="H79" s="32">
        <f>Costs!$B$16</f>
        <v>0</v>
      </c>
      <c r="I79" s="95" t="s">
        <v>677</v>
      </c>
      <c r="J79" s="96">
        <f>(Universe!$C$26)</f>
        <v>0</v>
      </c>
      <c r="K79" s="94">
        <f t="shared" si="24"/>
        <v>0</v>
      </c>
      <c r="L79" s="93">
        <f t="shared" si="25"/>
        <v>0</v>
      </c>
      <c r="M79" s="233" t="e">
        <f t="shared" si="26"/>
        <v>#DIV/0!</v>
      </c>
      <c r="N79" s="130">
        <f t="shared" si="27"/>
        <v>0</v>
      </c>
      <c r="O79" s="130">
        <f t="shared" si="28"/>
        <v>0</v>
      </c>
      <c r="P79" s="130">
        <f t="shared" si="29"/>
        <v>0</v>
      </c>
      <c r="Q79" s="188">
        <f>ROUND(((I79)*($B79+$C79+$D79+$E79))/(Universe!$C$6),2)</f>
        <v>0</v>
      </c>
      <c r="R79" s="188" t="e">
        <f>ROUND(((J79)*($B79+$C79+$D79+$E79))/(Universe!$C$2),2)</f>
        <v>#DIV/0!</v>
      </c>
      <c r="S79" s="235">
        <v>2</v>
      </c>
      <c r="U79" s="408">
        <f t="shared" si="30"/>
        <v>0</v>
      </c>
      <c r="V79" s="408">
        <f t="shared" si="31"/>
        <v>0</v>
      </c>
      <c r="W79" s="408">
        <f t="shared" si="32"/>
        <v>0</v>
      </c>
      <c r="X79" s="408" t="e">
        <f t="shared" si="33"/>
        <v>#DIV/0!</v>
      </c>
    </row>
    <row r="80" spans="1:30" ht="20.399999999999999" x14ac:dyDescent="0.2">
      <c r="A80" s="275" t="s">
        <v>222</v>
      </c>
      <c r="B80" s="92">
        <v>0.5</v>
      </c>
      <c r="C80" s="92">
        <f>5*0.25</f>
        <v>1.25</v>
      </c>
      <c r="D80" s="92">
        <f>0.25*125</f>
        <v>31.25</v>
      </c>
      <c r="E80" s="92">
        <f>10*0.25</f>
        <v>2.5</v>
      </c>
      <c r="F80" s="32">
        <f>ROUND(Costs!$B$3*B80+Costs!$B$4*C80+Costs!$B$5*D80+Costs!$B$6*E80,2)</f>
        <v>2582.5</v>
      </c>
      <c r="G80" s="32" t="str">
        <f>Costs!$B$62</f>
        <v xml:space="preserve"> </v>
      </c>
      <c r="H80" s="93">
        <f>Costs!B33</f>
        <v>13000</v>
      </c>
      <c r="I80" s="95" t="s">
        <v>677</v>
      </c>
      <c r="J80" s="96">
        <f>(Universe!$C$26)</f>
        <v>0</v>
      </c>
      <c r="K80" s="94">
        <f t="shared" si="24"/>
        <v>0</v>
      </c>
      <c r="L80" s="93">
        <f t="shared" si="25"/>
        <v>0</v>
      </c>
      <c r="M80" s="233" t="e">
        <f t="shared" si="26"/>
        <v>#DIV/0!</v>
      </c>
      <c r="N80" s="130">
        <f t="shared" si="27"/>
        <v>0</v>
      </c>
      <c r="O80" s="130">
        <f t="shared" si="28"/>
        <v>0</v>
      </c>
      <c r="P80" s="130">
        <f t="shared" si="29"/>
        <v>0</v>
      </c>
      <c r="Q80" s="188">
        <f>ROUND(((I80)*($B80+$C80+$D80+$E80))/(Universe!$C$6),2)</f>
        <v>0</v>
      </c>
      <c r="R80" s="188" t="e">
        <f>ROUND(((J80)*($B80+$C80+$D80+$E80))/(Universe!$C$2),2)</f>
        <v>#DIV/0!</v>
      </c>
      <c r="S80" s="235">
        <v>1</v>
      </c>
      <c r="U80" s="408">
        <f t="shared" si="30"/>
        <v>0</v>
      </c>
      <c r="V80" s="408">
        <f t="shared" si="31"/>
        <v>0</v>
      </c>
      <c r="W80" s="408" t="e">
        <f t="shared" si="32"/>
        <v>#DIV/0!</v>
      </c>
      <c r="X80" s="408">
        <f t="shared" si="33"/>
        <v>0</v>
      </c>
      <c r="AA80" s="557" t="str">
        <f>I80</f>
        <v>N/A</v>
      </c>
      <c r="AB80" s="557">
        <f>J80</f>
        <v>0</v>
      </c>
      <c r="AD80" s="162">
        <v>0</v>
      </c>
    </row>
    <row r="81" spans="1:30" ht="20.399999999999999" x14ac:dyDescent="0.2">
      <c r="A81" s="275" t="s">
        <v>223</v>
      </c>
      <c r="B81" s="92">
        <v>0</v>
      </c>
      <c r="C81" s="92">
        <v>0.5</v>
      </c>
      <c r="D81" s="92">
        <v>0</v>
      </c>
      <c r="E81" s="92">
        <v>0.5</v>
      </c>
      <c r="F81" s="32">
        <f>ROUND(Costs!$B$3*B81+Costs!$B$4*C81+Costs!$B$5*D81+Costs!$B$6*E81,2)</f>
        <v>70.56</v>
      </c>
      <c r="G81" s="32" t="str">
        <f>Costs!$B$62</f>
        <v xml:space="preserve"> </v>
      </c>
      <c r="H81" s="32">
        <f>Costs!$B$19</f>
        <v>4.4000000000000004</v>
      </c>
      <c r="I81" s="95" t="s">
        <v>677</v>
      </c>
      <c r="J81" s="96">
        <f>(Universe!$C$26)</f>
        <v>0</v>
      </c>
      <c r="K81" s="94">
        <f t="shared" si="24"/>
        <v>0</v>
      </c>
      <c r="L81" s="93">
        <f t="shared" si="25"/>
        <v>0</v>
      </c>
      <c r="M81" s="233" t="e">
        <f t="shared" si="26"/>
        <v>#DIV/0!</v>
      </c>
      <c r="N81" s="130">
        <f t="shared" si="27"/>
        <v>0</v>
      </c>
      <c r="O81" s="130">
        <f t="shared" si="28"/>
        <v>0</v>
      </c>
      <c r="P81" s="130">
        <f t="shared" si="29"/>
        <v>0</v>
      </c>
      <c r="Q81" s="188">
        <f>ROUND(((I81)*($B81+$C81+$D81+$E81))/(Universe!$C$6),2)</f>
        <v>0</v>
      </c>
      <c r="R81" s="188" t="e">
        <f>ROUND(((J81)*($B81+$C81+$D81+$E81))/(Universe!$C$2),2)</f>
        <v>#DIV/0!</v>
      </c>
      <c r="S81" s="235">
        <v>1</v>
      </c>
      <c r="U81" s="408">
        <f t="shared" si="30"/>
        <v>0</v>
      </c>
      <c r="V81" s="408">
        <f t="shared" si="31"/>
        <v>0</v>
      </c>
      <c r="W81" s="408" t="e">
        <f t="shared" si="32"/>
        <v>#DIV/0!</v>
      </c>
      <c r="X81" s="408">
        <f t="shared" si="33"/>
        <v>0</v>
      </c>
      <c r="AA81" s="557" t="str">
        <f>I81</f>
        <v>N/A</v>
      </c>
      <c r="AB81" s="557">
        <f>J81</f>
        <v>0</v>
      </c>
      <c r="AD81" s="162">
        <v>0</v>
      </c>
    </row>
    <row r="82" spans="1:30" x14ac:dyDescent="0.2">
      <c r="A82" s="255" t="s">
        <v>259</v>
      </c>
      <c r="B82" s="256"/>
      <c r="C82" s="256"/>
      <c r="D82" s="256"/>
      <c r="E82" s="256"/>
      <c r="F82" s="257"/>
      <c r="G82" s="257"/>
      <c r="H82" s="257"/>
      <c r="I82" s="261"/>
      <c r="J82" s="261"/>
      <c r="K82" s="259"/>
      <c r="L82" s="262"/>
      <c r="M82" s="233"/>
      <c r="N82" s="130"/>
      <c r="O82" s="130"/>
      <c r="P82" s="130"/>
      <c r="Q82" s="240"/>
      <c r="R82" s="240"/>
      <c r="AD82" s="162">
        <v>0</v>
      </c>
    </row>
    <row r="83" spans="1:30" x14ac:dyDescent="0.2">
      <c r="A83" s="275" t="s">
        <v>610</v>
      </c>
      <c r="B83" s="92">
        <v>0</v>
      </c>
      <c r="C83" s="92">
        <v>1</v>
      </c>
      <c r="D83" s="92">
        <v>2</v>
      </c>
      <c r="E83" s="92">
        <v>0</v>
      </c>
      <c r="F83" s="32">
        <f>ROUND(Costs!$B$3*B83+Costs!$B$4*C83+Costs!$B$5*D83+Costs!$B$6*E83,2)</f>
        <v>242.67</v>
      </c>
      <c r="G83" s="32" t="str">
        <f>Costs!$B$62</f>
        <v xml:space="preserve"> </v>
      </c>
      <c r="H83" s="32">
        <f>Costs!$B$16</f>
        <v>0</v>
      </c>
      <c r="I83" s="95" t="s">
        <v>677</v>
      </c>
      <c r="J83" s="96">
        <f>(Universe!$C$28)</f>
        <v>0</v>
      </c>
      <c r="K83" s="94">
        <f t="shared" ref="K83:K94" si="34">ROUND((I83+J83)*(B83+C83+D83+E83),2)</f>
        <v>0</v>
      </c>
      <c r="L83" s="93">
        <f t="shared" ref="L83:L94" si="35">(I83+J83)*SUM(F83:H83)</f>
        <v>0</v>
      </c>
      <c r="M83" s="233" t="e">
        <f t="shared" ref="M83:M94" si="36">L83/(I83+J83)</f>
        <v>#DIV/0!</v>
      </c>
      <c r="N83" s="130">
        <f t="shared" ref="N83:N94" si="37">F83*(I83+J83)</f>
        <v>0</v>
      </c>
      <c r="O83" s="130">
        <f t="shared" ref="O83:O94" si="38">G83*(I83+J83)</f>
        <v>0</v>
      </c>
      <c r="P83" s="130">
        <f t="shared" ref="P83:P94" si="39">H83*(I83+J83)</f>
        <v>0</v>
      </c>
      <c r="Q83" s="188">
        <f>ROUND(((I83)*($B83+$C83+$D83+$E83))/(Universe!$C$6),2)</f>
        <v>0</v>
      </c>
      <c r="R83" s="188" t="e">
        <f>ROUND(((J83)*($B83+$C83+$D83+$E83))/(Universe!$C$2),2)</f>
        <v>#DIV/0!</v>
      </c>
      <c r="S83" s="235">
        <v>2</v>
      </c>
      <c r="U83" s="408">
        <f t="shared" ref="U83:U94" si="40">IF(S83=1,Q83,0)</f>
        <v>0</v>
      </c>
      <c r="V83" s="408">
        <f t="shared" ref="V83:V94" si="41">IF(S83=2,Q83,0)</f>
        <v>0</v>
      </c>
      <c r="W83" s="408">
        <f t="shared" ref="W83:W94" si="42">IF(S83=1,R83,0)</f>
        <v>0</v>
      </c>
      <c r="X83" s="408" t="e">
        <f t="shared" ref="X83:X94" si="43">IF(S83=2,R83,0)</f>
        <v>#DIV/0!</v>
      </c>
      <c r="AD83" s="162">
        <v>0</v>
      </c>
    </row>
    <row r="84" spans="1:30" x14ac:dyDescent="0.2">
      <c r="A84" s="275" t="s">
        <v>373</v>
      </c>
      <c r="B84" s="92">
        <v>0</v>
      </c>
      <c r="C84" s="92">
        <v>0.5</v>
      </c>
      <c r="D84" s="92">
        <v>3</v>
      </c>
      <c r="E84" s="92">
        <v>0</v>
      </c>
      <c r="F84" s="32">
        <f>ROUND(Costs!$B$3*B84+Costs!$B$4*C84+Costs!$B$5*D84+Costs!$B$6*E84,2)</f>
        <v>266.56</v>
      </c>
      <c r="G84" s="32" t="str">
        <f>Costs!$B$62</f>
        <v xml:space="preserve"> </v>
      </c>
      <c r="H84" s="32">
        <f>Costs!$B$16</f>
        <v>0</v>
      </c>
      <c r="I84" s="95" t="s">
        <v>677</v>
      </c>
      <c r="J84" s="96">
        <f>ROUND((($J$83*0.9)/3),0)</f>
        <v>0</v>
      </c>
      <c r="K84" s="94">
        <f t="shared" si="34"/>
        <v>0</v>
      </c>
      <c r="L84" s="93">
        <f t="shared" si="35"/>
        <v>0</v>
      </c>
      <c r="M84" s="233" t="e">
        <f t="shared" si="36"/>
        <v>#DIV/0!</v>
      </c>
      <c r="N84" s="130">
        <f t="shared" si="37"/>
        <v>0</v>
      </c>
      <c r="O84" s="130">
        <f t="shared" si="38"/>
        <v>0</v>
      </c>
      <c r="P84" s="130">
        <f t="shared" si="39"/>
        <v>0</v>
      </c>
      <c r="Q84" s="188">
        <f>ROUND(((I84)*($B84+$C84+$D84+$E84))/(Universe!$C$6),2)</f>
        <v>0</v>
      </c>
      <c r="R84" s="188" t="e">
        <f>ROUND(((J84)*($B84+$C84+$D84+$E84))/(Universe!$C$2),2)</f>
        <v>#DIV/0!</v>
      </c>
      <c r="S84" s="235">
        <v>2</v>
      </c>
      <c r="U84" s="408">
        <f t="shared" si="40"/>
        <v>0</v>
      </c>
      <c r="V84" s="408">
        <f t="shared" si="41"/>
        <v>0</v>
      </c>
      <c r="W84" s="408">
        <f t="shared" si="42"/>
        <v>0</v>
      </c>
      <c r="X84" s="408" t="e">
        <f t="shared" si="43"/>
        <v>#DIV/0!</v>
      </c>
      <c r="AD84" s="162">
        <v>0</v>
      </c>
    </row>
    <row r="85" spans="1:30" x14ac:dyDescent="0.2">
      <c r="A85" s="275" t="s">
        <v>374</v>
      </c>
      <c r="B85" s="92">
        <v>0</v>
      </c>
      <c r="C85" s="92">
        <v>1</v>
      </c>
      <c r="D85" s="92">
        <v>4</v>
      </c>
      <c r="E85" s="92">
        <v>1</v>
      </c>
      <c r="F85" s="32">
        <f>ROUND(Costs!$B$3*B85+Costs!$B$4*C85+Costs!$B$5*D85+Costs!$B$6*E85,2)</f>
        <v>431.56</v>
      </c>
      <c r="G85" s="32" t="str">
        <f>Costs!$B$62</f>
        <v xml:space="preserve"> </v>
      </c>
      <c r="H85" s="32">
        <f>Costs!$B$16</f>
        <v>0</v>
      </c>
      <c r="I85" s="95" t="s">
        <v>677</v>
      </c>
      <c r="J85" s="96">
        <f>ROUND((($J$83*0.9)/3),0)</f>
        <v>0</v>
      </c>
      <c r="K85" s="94">
        <f t="shared" si="34"/>
        <v>0</v>
      </c>
      <c r="L85" s="93">
        <f t="shared" si="35"/>
        <v>0</v>
      </c>
      <c r="M85" s="233" t="e">
        <f t="shared" si="36"/>
        <v>#DIV/0!</v>
      </c>
      <c r="N85" s="130">
        <f t="shared" si="37"/>
        <v>0</v>
      </c>
      <c r="O85" s="130">
        <f t="shared" si="38"/>
        <v>0</v>
      </c>
      <c r="P85" s="130">
        <f t="shared" si="39"/>
        <v>0</v>
      </c>
      <c r="Q85" s="188">
        <f>ROUND(((I85)*($B85+$C85+$D85+$E85))/(Universe!$C$6),2)</f>
        <v>0</v>
      </c>
      <c r="R85" s="188" t="e">
        <f>ROUND(((J85)*($B85+$C85+$D85+$E85))/(Universe!$C$2),2)</f>
        <v>#DIV/0!</v>
      </c>
      <c r="S85" s="235">
        <v>1</v>
      </c>
      <c r="U85" s="408">
        <f t="shared" si="40"/>
        <v>0</v>
      </c>
      <c r="V85" s="408">
        <f t="shared" si="41"/>
        <v>0</v>
      </c>
      <c r="W85" s="408" t="e">
        <f t="shared" si="42"/>
        <v>#DIV/0!</v>
      </c>
      <c r="X85" s="408">
        <f t="shared" si="43"/>
        <v>0</v>
      </c>
      <c r="AA85" s="557" t="str">
        <f>I85</f>
        <v>N/A</v>
      </c>
      <c r="AB85" s="557">
        <f>J85</f>
        <v>0</v>
      </c>
      <c r="AD85" s="162">
        <v>0</v>
      </c>
    </row>
    <row r="86" spans="1:30" x14ac:dyDescent="0.2">
      <c r="A86" s="275" t="s">
        <v>551</v>
      </c>
      <c r="B86" s="92">
        <v>0</v>
      </c>
      <c r="C86" s="92">
        <v>0</v>
      </c>
      <c r="D86" s="92">
        <f>0.25*350</f>
        <v>87.5</v>
      </c>
      <c r="E86" s="92">
        <v>0</v>
      </c>
      <c r="F86" s="32">
        <f>ROUND(Costs!$B$3*B86+Costs!$B$4*C86+Costs!$B$5*D86+Costs!$B$6*E86,2)</f>
        <v>6353.38</v>
      </c>
      <c r="G86" s="32" t="str">
        <f>Costs!$B$62</f>
        <v xml:space="preserve"> </v>
      </c>
      <c r="H86" s="93">
        <f>Costs!B34</f>
        <v>32300</v>
      </c>
      <c r="I86" s="95" t="s">
        <v>677</v>
      </c>
      <c r="J86" s="96">
        <f>ROUND((($J$83*0.9)/3),0)</f>
        <v>0</v>
      </c>
      <c r="K86" s="94">
        <f t="shared" si="34"/>
        <v>0</v>
      </c>
      <c r="L86" s="93">
        <f t="shared" si="35"/>
        <v>0</v>
      </c>
      <c r="M86" s="233" t="e">
        <f t="shared" si="36"/>
        <v>#DIV/0!</v>
      </c>
      <c r="N86" s="130">
        <f t="shared" si="37"/>
        <v>0</v>
      </c>
      <c r="O86" s="130">
        <f t="shared" si="38"/>
        <v>0</v>
      </c>
      <c r="P86" s="130">
        <f t="shared" si="39"/>
        <v>0</v>
      </c>
      <c r="Q86" s="188">
        <f>ROUND(((I86)*($B86+$C86+$D86+$E86))/(Universe!$C$6),2)</f>
        <v>0</v>
      </c>
      <c r="R86" s="188" t="e">
        <f>ROUND(((J86)*($B86+$C86+$D86+$E86))/(Universe!$C$2),2)</f>
        <v>#DIV/0!</v>
      </c>
      <c r="S86" s="235">
        <v>1</v>
      </c>
      <c r="U86" s="408">
        <f t="shared" si="40"/>
        <v>0</v>
      </c>
      <c r="V86" s="408">
        <f t="shared" si="41"/>
        <v>0</v>
      </c>
      <c r="W86" s="408" t="e">
        <f t="shared" si="42"/>
        <v>#DIV/0!</v>
      </c>
      <c r="X86" s="408">
        <f t="shared" si="43"/>
        <v>0</v>
      </c>
      <c r="AD86" s="162">
        <v>0</v>
      </c>
    </row>
    <row r="87" spans="1:30" ht="30.6" x14ac:dyDescent="0.2">
      <c r="A87" s="275" t="s">
        <v>552</v>
      </c>
      <c r="B87" s="92">
        <v>0</v>
      </c>
      <c r="C87" s="92">
        <v>1</v>
      </c>
      <c r="D87" s="92">
        <v>40</v>
      </c>
      <c r="E87" s="92">
        <v>5</v>
      </c>
      <c r="F87" s="32">
        <f>ROUND(Costs!$B$3*B87+Costs!$B$4*C87+Costs!$B$5*D87+Costs!$B$6*E87,2)</f>
        <v>3220.2</v>
      </c>
      <c r="G87" s="32" t="str">
        <f>Costs!$B$62</f>
        <v xml:space="preserve"> </v>
      </c>
      <c r="H87" s="32">
        <f>Costs!$B$19</f>
        <v>4.4000000000000004</v>
      </c>
      <c r="I87" s="95" t="s">
        <v>677</v>
      </c>
      <c r="J87" s="100">
        <f>ROUND(((J83-(J84*3))/3),1)</f>
        <v>0</v>
      </c>
      <c r="K87" s="94">
        <f t="shared" si="34"/>
        <v>0</v>
      </c>
      <c r="L87" s="93">
        <f t="shared" si="35"/>
        <v>0</v>
      </c>
      <c r="M87" s="233" t="e">
        <f t="shared" si="36"/>
        <v>#DIV/0!</v>
      </c>
      <c r="N87" s="130">
        <f t="shared" si="37"/>
        <v>0</v>
      </c>
      <c r="O87" s="130">
        <f t="shared" si="38"/>
        <v>0</v>
      </c>
      <c r="P87" s="130">
        <f t="shared" si="39"/>
        <v>0</v>
      </c>
      <c r="Q87" s="188">
        <f>ROUND(((I87)*($B87+$C87+$D87+$E87))/(Universe!$C$6),2)</f>
        <v>0</v>
      </c>
      <c r="R87" s="188" t="e">
        <f>ROUND(((J87)*($B87+$C87+$D87+$E87))/(Universe!$C$2),2)</f>
        <v>#DIV/0!</v>
      </c>
      <c r="S87" s="235">
        <v>1</v>
      </c>
      <c r="U87" s="408">
        <f t="shared" si="40"/>
        <v>0</v>
      </c>
      <c r="V87" s="408">
        <f t="shared" si="41"/>
        <v>0</v>
      </c>
      <c r="W87" s="408" t="e">
        <f t="shared" si="42"/>
        <v>#DIV/0!</v>
      </c>
      <c r="X87" s="408">
        <f t="shared" si="43"/>
        <v>0</v>
      </c>
      <c r="AA87" s="557" t="str">
        <f t="shared" ref="AA87:AB90" si="44">I87</f>
        <v>N/A</v>
      </c>
      <c r="AB87" s="557">
        <f t="shared" si="44"/>
        <v>0</v>
      </c>
      <c r="AD87" s="162">
        <v>0</v>
      </c>
    </row>
    <row r="88" spans="1:30" ht="20.399999999999999" x14ac:dyDescent="0.2">
      <c r="A88" s="275" t="s">
        <v>224</v>
      </c>
      <c r="B88" s="92">
        <v>0</v>
      </c>
      <c r="C88" s="92">
        <v>4</v>
      </c>
      <c r="D88" s="92">
        <v>67.5</v>
      </c>
      <c r="E88" s="92">
        <v>4</v>
      </c>
      <c r="F88" s="32">
        <f>ROUND(Costs!$B$3*B88+Costs!$B$4*C88+Costs!$B$5*D88+Costs!$B$6*E88,2)</f>
        <v>5465.66</v>
      </c>
      <c r="G88" s="32" t="str">
        <f>Costs!$B$62</f>
        <v xml:space="preserve"> </v>
      </c>
      <c r="H88" s="93">
        <f>Costs!B35</f>
        <v>28000</v>
      </c>
      <c r="I88" s="95" t="s">
        <v>677</v>
      </c>
      <c r="J88" s="96">
        <f>ROUND((($J$83*0.9)/3),0)</f>
        <v>0</v>
      </c>
      <c r="K88" s="94">
        <f t="shared" si="34"/>
        <v>0</v>
      </c>
      <c r="L88" s="93">
        <f t="shared" si="35"/>
        <v>0</v>
      </c>
      <c r="M88" s="233" t="e">
        <f t="shared" si="36"/>
        <v>#DIV/0!</v>
      </c>
      <c r="N88" s="130">
        <f t="shared" si="37"/>
        <v>0</v>
      </c>
      <c r="O88" s="130">
        <f t="shared" si="38"/>
        <v>0</v>
      </c>
      <c r="P88" s="130">
        <f t="shared" si="39"/>
        <v>0</v>
      </c>
      <c r="Q88" s="188">
        <f>ROUND(((I88)*($B88+$C88+$D88+$E88))/(Universe!$C$6),2)</f>
        <v>0</v>
      </c>
      <c r="R88" s="188" t="e">
        <f>ROUND(((J88)*($B88+$C88+$D88+$E88))/(Universe!$C$2),2)</f>
        <v>#DIV/0!</v>
      </c>
      <c r="S88" s="235">
        <v>1</v>
      </c>
      <c r="U88" s="408">
        <f t="shared" si="40"/>
        <v>0</v>
      </c>
      <c r="V88" s="408">
        <f t="shared" si="41"/>
        <v>0</v>
      </c>
      <c r="W88" s="408" t="e">
        <f t="shared" si="42"/>
        <v>#DIV/0!</v>
      </c>
      <c r="X88" s="408">
        <f t="shared" si="43"/>
        <v>0</v>
      </c>
      <c r="AA88" s="557" t="str">
        <f t="shared" si="44"/>
        <v>N/A</v>
      </c>
      <c r="AB88" s="557">
        <f t="shared" si="44"/>
        <v>0</v>
      </c>
      <c r="AD88" s="162">
        <v>0</v>
      </c>
    </row>
    <row r="89" spans="1:30" ht="30.6" x14ac:dyDescent="0.2">
      <c r="A89" s="275" t="s">
        <v>225</v>
      </c>
      <c r="B89" s="92">
        <v>0</v>
      </c>
      <c r="C89" s="92">
        <v>0.5</v>
      </c>
      <c r="D89" s="92">
        <v>2</v>
      </c>
      <c r="E89" s="92">
        <v>0.5</v>
      </c>
      <c r="F89" s="32">
        <f>ROUND(Costs!$B$3*B89+Costs!$B$4*C89+Costs!$B$5*D89+Costs!$B$6*E89,2)</f>
        <v>215.78</v>
      </c>
      <c r="G89" s="32" t="str">
        <f>Costs!$B$62</f>
        <v xml:space="preserve"> </v>
      </c>
      <c r="H89" s="32">
        <f>Costs!$B$19</f>
        <v>4.4000000000000004</v>
      </c>
      <c r="I89" s="95" t="s">
        <v>677</v>
      </c>
      <c r="J89" s="96">
        <f>(Universe!$C$28)</f>
        <v>0</v>
      </c>
      <c r="K89" s="94">
        <f t="shared" si="34"/>
        <v>0</v>
      </c>
      <c r="L89" s="93">
        <f t="shared" si="35"/>
        <v>0</v>
      </c>
      <c r="M89" s="233" t="e">
        <f t="shared" si="36"/>
        <v>#DIV/0!</v>
      </c>
      <c r="N89" s="130">
        <f t="shared" si="37"/>
        <v>0</v>
      </c>
      <c r="O89" s="130">
        <f t="shared" si="38"/>
        <v>0</v>
      </c>
      <c r="P89" s="130">
        <f t="shared" si="39"/>
        <v>0</v>
      </c>
      <c r="Q89" s="188">
        <f>ROUND(((I89)*($B89+$C89+$D89+$E89))/(Universe!$C$6),2)</f>
        <v>0</v>
      </c>
      <c r="R89" s="188" t="e">
        <f>ROUND(((J89)*($B89+$C89+$D89+$E89))/(Universe!$C$2),2)</f>
        <v>#DIV/0!</v>
      </c>
      <c r="S89" s="235">
        <v>1</v>
      </c>
      <c r="U89" s="408">
        <f t="shared" si="40"/>
        <v>0</v>
      </c>
      <c r="V89" s="408">
        <f t="shared" si="41"/>
        <v>0</v>
      </c>
      <c r="W89" s="408" t="e">
        <f t="shared" si="42"/>
        <v>#DIV/0!</v>
      </c>
      <c r="X89" s="408">
        <f t="shared" si="43"/>
        <v>0</v>
      </c>
      <c r="AA89" s="557" t="str">
        <f t="shared" si="44"/>
        <v>N/A</v>
      </c>
      <c r="AB89" s="557">
        <f t="shared" si="44"/>
        <v>0</v>
      </c>
      <c r="AD89" s="162">
        <v>0</v>
      </c>
    </row>
    <row r="90" spans="1:30" ht="30.6" x14ac:dyDescent="0.2">
      <c r="A90" s="275" t="s">
        <v>226</v>
      </c>
      <c r="B90" s="92">
        <v>0</v>
      </c>
      <c r="C90" s="92">
        <v>0.5</v>
      </c>
      <c r="D90" s="92">
        <v>1</v>
      </c>
      <c r="E90" s="92">
        <v>0.5</v>
      </c>
      <c r="F90" s="32">
        <f>ROUND(Costs!$B$3*B90+Costs!$B$4*C90+Costs!$B$5*D90+Costs!$B$6*E90,2)</f>
        <v>143.16999999999999</v>
      </c>
      <c r="G90" s="32" t="str">
        <f>Costs!$B$62</f>
        <v xml:space="preserve"> </v>
      </c>
      <c r="H90" s="32">
        <f>Costs!$B$19</f>
        <v>4.4000000000000004</v>
      </c>
      <c r="I90" s="95" t="s">
        <v>677</v>
      </c>
      <c r="J90" s="96">
        <f>(Universe!$C$28)</f>
        <v>0</v>
      </c>
      <c r="K90" s="94">
        <f t="shared" si="34"/>
        <v>0</v>
      </c>
      <c r="L90" s="93">
        <f t="shared" si="35"/>
        <v>0</v>
      </c>
      <c r="M90" s="233" t="e">
        <f t="shared" si="36"/>
        <v>#DIV/0!</v>
      </c>
      <c r="N90" s="130">
        <f t="shared" si="37"/>
        <v>0</v>
      </c>
      <c r="O90" s="130">
        <f t="shared" si="38"/>
        <v>0</v>
      </c>
      <c r="P90" s="130">
        <f t="shared" si="39"/>
        <v>0</v>
      </c>
      <c r="Q90" s="188">
        <f>ROUND(((I90)*($B90+$C90+$D90+$E90))/(Universe!$C$6),2)</f>
        <v>0</v>
      </c>
      <c r="R90" s="188" t="e">
        <f>ROUND(((J90)*($B90+$C90+$D90+$E90))/(Universe!$C$2),2)</f>
        <v>#DIV/0!</v>
      </c>
      <c r="S90" s="235">
        <v>1</v>
      </c>
      <c r="U90" s="408">
        <f t="shared" si="40"/>
        <v>0</v>
      </c>
      <c r="V90" s="408">
        <f t="shared" si="41"/>
        <v>0</v>
      </c>
      <c r="W90" s="408" t="e">
        <f t="shared" si="42"/>
        <v>#DIV/0!</v>
      </c>
      <c r="X90" s="408">
        <f t="shared" si="43"/>
        <v>0</v>
      </c>
      <c r="AA90" s="557" t="str">
        <f t="shared" si="44"/>
        <v>N/A</v>
      </c>
      <c r="AB90" s="557">
        <f t="shared" si="44"/>
        <v>0</v>
      </c>
      <c r="AD90" s="162">
        <v>0</v>
      </c>
    </row>
    <row r="91" spans="1:30" ht="20.399999999999999" x14ac:dyDescent="0.2">
      <c r="A91" s="275" t="s">
        <v>227</v>
      </c>
      <c r="B91" s="92">
        <v>0</v>
      </c>
      <c r="C91" s="92">
        <v>3</v>
      </c>
      <c r="D91" s="92">
        <v>25</v>
      </c>
      <c r="E91" s="92">
        <v>2</v>
      </c>
      <c r="F91" s="32">
        <f>ROUND(Costs!$B$3*B91+Costs!$B$4*C91+Costs!$B$5*D91+Costs!$B$6*E91,2)</f>
        <v>2194.94</v>
      </c>
      <c r="G91" s="32" t="str">
        <f>Costs!$B$62</f>
        <v xml:space="preserve"> </v>
      </c>
      <c r="H91" s="32">
        <f>Costs!$B$19</f>
        <v>4.4000000000000004</v>
      </c>
      <c r="I91" s="95" t="s">
        <v>677</v>
      </c>
      <c r="J91" s="96">
        <f>(Universe!$C$28)</f>
        <v>0</v>
      </c>
      <c r="K91" s="94">
        <f t="shared" si="34"/>
        <v>0</v>
      </c>
      <c r="L91" s="93">
        <f t="shared" si="35"/>
        <v>0</v>
      </c>
      <c r="M91" s="233" t="e">
        <f t="shared" si="36"/>
        <v>#DIV/0!</v>
      </c>
      <c r="N91" s="130">
        <f t="shared" si="37"/>
        <v>0</v>
      </c>
      <c r="O91" s="130">
        <f t="shared" si="38"/>
        <v>0</v>
      </c>
      <c r="P91" s="130">
        <f t="shared" si="39"/>
        <v>0</v>
      </c>
      <c r="Q91" s="188">
        <f>ROUND(((I91)*($B91+$C91+$D91+$E91))/(Universe!$C$6),2)</f>
        <v>0</v>
      </c>
      <c r="R91" s="188" t="e">
        <f>ROUND(((J91)*($B91+$C91+$D91+$E91))/(Universe!$C$2),2)</f>
        <v>#DIV/0!</v>
      </c>
      <c r="S91" s="235">
        <v>1</v>
      </c>
      <c r="U91" s="408">
        <f t="shared" si="40"/>
        <v>0</v>
      </c>
      <c r="V91" s="408">
        <f t="shared" si="41"/>
        <v>0</v>
      </c>
      <c r="W91" s="408" t="e">
        <f t="shared" si="42"/>
        <v>#DIV/0!</v>
      </c>
      <c r="X91" s="408">
        <f t="shared" si="43"/>
        <v>0</v>
      </c>
      <c r="AD91" s="162">
        <v>0</v>
      </c>
    </row>
    <row r="92" spans="1:30" ht="30.6" x14ac:dyDescent="0.2">
      <c r="A92" s="275" t="s">
        <v>228</v>
      </c>
      <c r="B92" s="92">
        <v>0</v>
      </c>
      <c r="C92" s="92">
        <v>1</v>
      </c>
      <c r="D92" s="92">
        <v>4</v>
      </c>
      <c r="E92" s="92">
        <v>1</v>
      </c>
      <c r="F92" s="32">
        <f>ROUND(Costs!$B$3*B92+Costs!$B$4*C92+Costs!$B$5*D92+Costs!$B$6*E92,2)</f>
        <v>431.56</v>
      </c>
      <c r="G92" s="32" t="str">
        <f>Costs!$B$62</f>
        <v xml:space="preserve"> </v>
      </c>
      <c r="H92" s="32">
        <f>Costs!$B$19</f>
        <v>4.4000000000000004</v>
      </c>
      <c r="I92" s="95" t="s">
        <v>677</v>
      </c>
      <c r="J92" s="96">
        <f>(Universe!$C$28)</f>
        <v>0</v>
      </c>
      <c r="K92" s="94">
        <f t="shared" si="34"/>
        <v>0</v>
      </c>
      <c r="L92" s="93">
        <f t="shared" si="35"/>
        <v>0</v>
      </c>
      <c r="M92" s="233" t="e">
        <f t="shared" si="36"/>
        <v>#DIV/0!</v>
      </c>
      <c r="N92" s="130">
        <f t="shared" si="37"/>
        <v>0</v>
      </c>
      <c r="O92" s="130">
        <f t="shared" si="38"/>
        <v>0</v>
      </c>
      <c r="P92" s="130">
        <f t="shared" si="39"/>
        <v>0</v>
      </c>
      <c r="Q92" s="188">
        <f>ROUND(((I92)*($B92+$C92+$D92+$E92))/(Universe!$C$6),2)</f>
        <v>0</v>
      </c>
      <c r="R92" s="188" t="e">
        <f>ROUND(((J92)*($B92+$C92+$D92+$E92))/(Universe!$C$2),2)</f>
        <v>#DIV/0!</v>
      </c>
      <c r="S92" s="235">
        <v>1</v>
      </c>
      <c r="U92" s="408">
        <f t="shared" si="40"/>
        <v>0</v>
      </c>
      <c r="V92" s="408">
        <f t="shared" si="41"/>
        <v>0</v>
      </c>
      <c r="W92" s="408" t="e">
        <f t="shared" si="42"/>
        <v>#DIV/0!</v>
      </c>
      <c r="X92" s="408">
        <f t="shared" si="43"/>
        <v>0</v>
      </c>
      <c r="AA92" s="557" t="str">
        <f>I92</f>
        <v>N/A</v>
      </c>
      <c r="AB92" s="557">
        <f>J92</f>
        <v>0</v>
      </c>
    </row>
    <row r="93" spans="1:30" x14ac:dyDescent="0.2">
      <c r="A93" s="275" t="s">
        <v>375</v>
      </c>
      <c r="B93" s="92">
        <v>0</v>
      </c>
      <c r="C93" s="92">
        <v>0</v>
      </c>
      <c r="D93" s="92">
        <v>67.5</v>
      </c>
      <c r="E93" s="92">
        <v>0</v>
      </c>
      <c r="F93" s="32">
        <f>ROUND(Costs!$B$3*B93+Costs!$B$4*C93+Costs!$B$5*D93+Costs!$B$6*E93,2)</f>
        <v>4901.18</v>
      </c>
      <c r="G93" s="32" t="str">
        <f>Costs!$B$62</f>
        <v xml:space="preserve"> </v>
      </c>
      <c r="H93" s="93">
        <f>Costs!B36</f>
        <v>25000</v>
      </c>
      <c r="I93" s="95" t="s">
        <v>677</v>
      </c>
      <c r="J93" s="96">
        <f>(Universe!$C$28)</f>
        <v>0</v>
      </c>
      <c r="K93" s="94">
        <f t="shared" si="34"/>
        <v>0</v>
      </c>
      <c r="L93" s="93">
        <f t="shared" si="35"/>
        <v>0</v>
      </c>
      <c r="M93" s="233" t="e">
        <f t="shared" si="36"/>
        <v>#DIV/0!</v>
      </c>
      <c r="N93" s="130">
        <f t="shared" si="37"/>
        <v>0</v>
      </c>
      <c r="O93" s="130">
        <f t="shared" si="38"/>
        <v>0</v>
      </c>
      <c r="P93" s="130">
        <f t="shared" si="39"/>
        <v>0</v>
      </c>
      <c r="Q93" s="188">
        <f>ROUND(((I93)*($B93+$C93+$D93+$E93))/(Universe!$C$6),2)</f>
        <v>0</v>
      </c>
      <c r="R93" s="188" t="e">
        <f>ROUND(((J93)*($B93+$C93+$D93+$E93))/(Universe!$C$2),2)</f>
        <v>#DIV/0!</v>
      </c>
      <c r="S93" s="235">
        <v>1</v>
      </c>
      <c r="U93" s="408">
        <f t="shared" si="40"/>
        <v>0</v>
      </c>
      <c r="V93" s="408">
        <f t="shared" si="41"/>
        <v>0</v>
      </c>
      <c r="W93" s="408" t="e">
        <f t="shared" si="42"/>
        <v>#DIV/0!</v>
      </c>
      <c r="X93" s="408">
        <f t="shared" si="43"/>
        <v>0</v>
      </c>
      <c r="AD93" s="162">
        <v>1650.72</v>
      </c>
    </row>
    <row r="94" spans="1:30" ht="20.399999999999999" x14ac:dyDescent="0.2">
      <c r="A94" s="275" t="s">
        <v>232</v>
      </c>
      <c r="B94" s="92">
        <v>0</v>
      </c>
      <c r="C94" s="92">
        <f>7*0.25</f>
        <v>1.75</v>
      </c>
      <c r="D94" s="92">
        <f>0.25*120</f>
        <v>30</v>
      </c>
      <c r="E94" s="92">
        <f>7*0.25</f>
        <v>1.75</v>
      </c>
      <c r="F94" s="32">
        <f>ROUND(Costs!$B$3*B94+Costs!$B$4*C94+Costs!$B$5*D94+Costs!$B$6*E94,2)</f>
        <v>2425.2600000000002</v>
      </c>
      <c r="G94" s="32" t="str">
        <f>Costs!$B$62</f>
        <v xml:space="preserve"> </v>
      </c>
      <c r="H94" s="93">
        <f>Costs!B37</f>
        <v>12400</v>
      </c>
      <c r="I94" s="95" t="s">
        <v>677</v>
      </c>
      <c r="J94" s="96">
        <f>(Universe!$C$28)</f>
        <v>0</v>
      </c>
      <c r="K94" s="94">
        <f t="shared" si="34"/>
        <v>0</v>
      </c>
      <c r="L94" s="93">
        <f t="shared" si="35"/>
        <v>0</v>
      </c>
      <c r="M94" s="233" t="e">
        <f t="shared" si="36"/>
        <v>#DIV/0!</v>
      </c>
      <c r="N94" s="130">
        <f t="shared" si="37"/>
        <v>0</v>
      </c>
      <c r="O94" s="130">
        <f t="shared" si="38"/>
        <v>0</v>
      </c>
      <c r="P94" s="130">
        <f t="shared" si="39"/>
        <v>0</v>
      </c>
      <c r="Q94" s="188">
        <f>ROUND(((I94)*($B94+$C94+$D94+$E94))/(Universe!$C$6),2)</f>
        <v>0</v>
      </c>
      <c r="R94" s="188" t="e">
        <f>ROUND(((J94)*($B94+$C94+$D94+$E94))/(Universe!$C$2),2)</f>
        <v>#DIV/0!</v>
      </c>
      <c r="S94" s="235">
        <v>1</v>
      </c>
      <c r="U94" s="408">
        <f t="shared" si="40"/>
        <v>0</v>
      </c>
      <c r="V94" s="408">
        <f t="shared" si="41"/>
        <v>0</v>
      </c>
      <c r="W94" s="408" t="e">
        <f t="shared" si="42"/>
        <v>#DIV/0!</v>
      </c>
      <c r="X94" s="408">
        <f t="shared" si="43"/>
        <v>0</v>
      </c>
      <c r="AA94" s="557" t="str">
        <f>I94</f>
        <v>N/A</v>
      </c>
      <c r="AB94" s="557">
        <f>J94</f>
        <v>0</v>
      </c>
      <c r="AD94" s="162">
        <v>161652.79999999999</v>
      </c>
    </row>
    <row r="95" spans="1:30" x14ac:dyDescent="0.2">
      <c r="A95" s="255" t="s">
        <v>260</v>
      </c>
      <c r="B95" s="256"/>
      <c r="C95" s="256"/>
      <c r="D95" s="256"/>
      <c r="E95" s="256"/>
      <c r="F95" s="257"/>
      <c r="G95" s="257"/>
      <c r="H95" s="257"/>
      <c r="I95" s="261"/>
      <c r="J95" s="261"/>
      <c r="K95" s="259"/>
      <c r="L95" s="262"/>
      <c r="M95" s="233"/>
      <c r="N95" s="130"/>
      <c r="O95" s="130"/>
      <c r="P95" s="130"/>
      <c r="Q95" s="240"/>
      <c r="R95" s="240"/>
    </row>
    <row r="96" spans="1:30" x14ac:dyDescent="0.2">
      <c r="A96" s="275" t="s">
        <v>610</v>
      </c>
      <c r="B96" s="92">
        <v>0</v>
      </c>
      <c r="C96" s="92">
        <v>0.5</v>
      </c>
      <c r="D96" s="92">
        <v>1</v>
      </c>
      <c r="E96" s="92">
        <v>0</v>
      </c>
      <c r="F96" s="32">
        <f>ROUND(Costs!$B$3*B96+Costs!$B$4*C96+Costs!$B$5*D96+Costs!$B$6*E96,2)</f>
        <v>121.34</v>
      </c>
      <c r="G96" s="32" t="str">
        <f>Costs!$B$62</f>
        <v xml:space="preserve"> </v>
      </c>
      <c r="H96" s="32">
        <f>Costs!$B$16</f>
        <v>0</v>
      </c>
      <c r="I96" s="95" t="s">
        <v>677</v>
      </c>
      <c r="J96" s="96">
        <f>ROUND(Universe!$C$2/3-'EX 2'!J94,0)</f>
        <v>0</v>
      </c>
      <c r="K96" s="94">
        <f>ROUND((I96+J96)*(B96+C96+D96+E96),2)</f>
        <v>0</v>
      </c>
      <c r="L96" s="93">
        <f>(I96+J96)*SUM(F96:H96)</f>
        <v>0</v>
      </c>
      <c r="M96" s="233" t="e">
        <f>L96/(I96+J96)</f>
        <v>#DIV/0!</v>
      </c>
      <c r="N96" s="130">
        <f>F96*(I96+J96)</f>
        <v>0</v>
      </c>
      <c r="O96" s="130">
        <f>G96*(I96+J96)</f>
        <v>0</v>
      </c>
      <c r="P96" s="130">
        <f>H96*(I96+J96)</f>
        <v>0</v>
      </c>
      <c r="Q96" s="188">
        <f>ROUND(((I96)*($B96+$C96+$D96+$E96))/(Universe!$C$6),2)</f>
        <v>0</v>
      </c>
      <c r="R96" s="188" t="e">
        <f>ROUND(((J96)*($B96+$C96+$D96+$E96))/(Universe!$C$2),2)</f>
        <v>#DIV/0!</v>
      </c>
      <c r="S96" s="235">
        <v>2</v>
      </c>
      <c r="U96" s="408">
        <f>IF(S96=1,Q96,0)</f>
        <v>0</v>
      </c>
      <c r="V96" s="408">
        <f>IF(S96=2,Q96,0)</f>
        <v>0</v>
      </c>
      <c r="W96" s="408">
        <f>IF(S96=1,R96,0)</f>
        <v>0</v>
      </c>
      <c r="X96" s="408" t="e">
        <f>IF(S96=2,R96,0)</f>
        <v>#DIV/0!</v>
      </c>
      <c r="AD96" s="162">
        <v>1116.72</v>
      </c>
    </row>
    <row r="97" spans="1:35" ht="20.399999999999999" x14ac:dyDescent="0.2">
      <c r="A97" s="275" t="s">
        <v>233</v>
      </c>
      <c r="B97" s="92">
        <v>0</v>
      </c>
      <c r="C97" s="92">
        <f>(0.2*10)*0.25</f>
        <v>0.5</v>
      </c>
      <c r="D97" s="92">
        <f>96*0.25</f>
        <v>24</v>
      </c>
      <c r="E97" s="92">
        <f>(0.2*10)*0.25</f>
        <v>0.5</v>
      </c>
      <c r="F97" s="32">
        <f>ROUND(Costs!$B$3*B97+Costs!$B$4*C97+Costs!$B$5*D97+Costs!$B$6*E97,2)</f>
        <v>1813.2</v>
      </c>
      <c r="G97" s="32" t="str">
        <f>Costs!$B$62</f>
        <v xml:space="preserve"> </v>
      </c>
      <c r="H97" s="93">
        <f>Costs!B38</f>
        <v>9200</v>
      </c>
      <c r="I97" s="95" t="s">
        <v>677</v>
      </c>
      <c r="J97" s="96">
        <f>ROUND(Universe!$C$2/3-'EX 2'!J94,0)</f>
        <v>0</v>
      </c>
      <c r="K97" s="94">
        <f>ROUND((I97+J97)*(B97+C97+D97+E97),2)</f>
        <v>0</v>
      </c>
      <c r="L97" s="93">
        <f>(I97+J97)*SUM(F97:H97)</f>
        <v>0</v>
      </c>
      <c r="M97" s="233" t="e">
        <f>L97/(I97+J97)</f>
        <v>#DIV/0!</v>
      </c>
      <c r="N97" s="130">
        <f>F97*(I97+J97)</f>
        <v>0</v>
      </c>
      <c r="O97" s="130">
        <f>G97*(I97+J97)</f>
        <v>0</v>
      </c>
      <c r="P97" s="130">
        <f>H97*(I97+J97)</f>
        <v>0</v>
      </c>
      <c r="Q97" s="188">
        <f>ROUND(((I97)*($B97+$C97+$D97+$E97))/(Universe!$C$6),2)</f>
        <v>0</v>
      </c>
      <c r="R97" s="188" t="e">
        <f>ROUND(((J97)*($B97+$C97+$D97+$E97))/(Universe!$C$2),2)</f>
        <v>#DIV/0!</v>
      </c>
      <c r="S97" s="235">
        <v>1</v>
      </c>
      <c r="U97" s="408">
        <f>IF(S97=1,Q97,0)</f>
        <v>0</v>
      </c>
      <c r="V97" s="408">
        <f>IF(S97=2,Q97,0)</f>
        <v>0</v>
      </c>
      <c r="W97" s="408" t="e">
        <f>IF(S97=1,R97,0)</f>
        <v>#DIV/0!</v>
      </c>
      <c r="X97" s="408">
        <f>IF(S97=2,R97,0)</f>
        <v>0</v>
      </c>
      <c r="AA97" s="557" t="str">
        <f>I97</f>
        <v>N/A</v>
      </c>
      <c r="AB97" s="557">
        <f>J97</f>
        <v>0</v>
      </c>
      <c r="AD97" s="162">
        <v>35266.92</v>
      </c>
    </row>
    <row r="98" spans="1:35" x14ac:dyDescent="0.2">
      <c r="A98" s="255" t="s">
        <v>261</v>
      </c>
      <c r="B98" s="263"/>
      <c r="C98" s="263"/>
      <c r="D98" s="263"/>
      <c r="E98" s="263"/>
      <c r="F98" s="264"/>
      <c r="G98" s="264"/>
      <c r="H98" s="264"/>
      <c r="I98" s="261"/>
      <c r="J98" s="261"/>
      <c r="K98" s="265"/>
      <c r="L98" s="260"/>
      <c r="M98" s="234"/>
      <c r="Q98" s="240"/>
      <c r="R98" s="240"/>
    </row>
    <row r="99" spans="1:35" x14ac:dyDescent="0.2">
      <c r="A99" s="275" t="s">
        <v>610</v>
      </c>
      <c r="B99" s="92">
        <v>0</v>
      </c>
      <c r="C99" s="92">
        <v>0.1</v>
      </c>
      <c r="D99" s="92">
        <v>0.25</v>
      </c>
      <c r="E99" s="92">
        <v>0</v>
      </c>
      <c r="F99" s="32">
        <f>ROUND(Costs!$B$3*B99+Costs!$B$4*C99+Costs!$B$5*D99+Costs!$B$6*E99,2)</f>
        <v>27.9</v>
      </c>
      <c r="G99" s="32" t="str">
        <f>Costs!$B$62</f>
        <v xml:space="preserve"> </v>
      </c>
      <c r="H99" s="32">
        <f>Costs!$B$16</f>
        <v>0</v>
      </c>
      <c r="I99" s="95" t="s">
        <v>677</v>
      </c>
      <c r="J99" s="96" t="b">
        <f>Universe!$C$2&gt;85</f>
        <v>0</v>
      </c>
      <c r="K99" s="94">
        <f>ROUND((I99+J99)*(B99+C99+D99+E99),2)</f>
        <v>0</v>
      </c>
      <c r="L99" s="93">
        <f>(I99+J99)*SUM(F99:H99)</f>
        <v>0</v>
      </c>
      <c r="M99" s="233" t="e">
        <f>L99/(I99+J99)</f>
        <v>#DIV/0!</v>
      </c>
      <c r="N99" s="130">
        <f>F99*(I99+J99)</f>
        <v>0</v>
      </c>
      <c r="O99" s="130">
        <f>G99*(I99+J99)</f>
        <v>0</v>
      </c>
      <c r="P99" s="130">
        <f>H99*(I99+J99)</f>
        <v>0</v>
      </c>
      <c r="Q99" s="188">
        <f>ROUND(((I99)*($B99+$C99+$D99+$E99))/(Universe!$C$6),2)</f>
        <v>0</v>
      </c>
      <c r="R99" s="188" t="e">
        <f>ROUND(((J99)*($B99+$C99+$D99+$E99))/(Universe!$C$2),2)</f>
        <v>#DIV/0!</v>
      </c>
      <c r="S99" s="235">
        <v>2</v>
      </c>
      <c r="U99" s="408">
        <f>IF(S99=1,Q99,0)</f>
        <v>0</v>
      </c>
      <c r="V99" s="408">
        <f>IF(S99=2,Q99,0)</f>
        <v>0</v>
      </c>
      <c r="W99" s="408">
        <f>IF(S99=1,R99,0)</f>
        <v>0</v>
      </c>
      <c r="X99" s="408" t="e">
        <f>IF(S99=2,R99,0)</f>
        <v>#DIV/0!</v>
      </c>
      <c r="AD99" s="162">
        <v>118.8</v>
      </c>
    </row>
    <row r="100" spans="1:35" ht="20.399999999999999" x14ac:dyDescent="0.2">
      <c r="A100" s="275" t="s">
        <v>553</v>
      </c>
      <c r="B100" s="92">
        <v>0</v>
      </c>
      <c r="C100" s="92">
        <v>0</v>
      </c>
      <c r="D100" s="92">
        <v>1</v>
      </c>
      <c r="E100" s="92">
        <v>0</v>
      </c>
      <c r="F100" s="32">
        <f>ROUND(Costs!$B$3*B100+Costs!$B$4*C100+Costs!$B$5*D100+Costs!$B$6*E100,2)</f>
        <v>72.61</v>
      </c>
      <c r="G100" s="32" t="str">
        <f>Costs!$B$62</f>
        <v xml:space="preserve"> </v>
      </c>
      <c r="H100" s="32">
        <f>Costs!$B$16</f>
        <v>0</v>
      </c>
      <c r="I100" s="95" t="s">
        <v>677</v>
      </c>
      <c r="J100" s="96">
        <f>(J99*12)</f>
        <v>0</v>
      </c>
      <c r="K100" s="94">
        <f>ROUND((I100+J100)*(B100+C100+D100+E100),2)</f>
        <v>0</v>
      </c>
      <c r="L100" s="93">
        <f>(I100+J100)*SUM(F100:H100)</f>
        <v>0</v>
      </c>
      <c r="M100" s="233" t="e">
        <f>L100/(I100+J100)</f>
        <v>#DIV/0!</v>
      </c>
      <c r="N100" s="130">
        <f>F100*(I100+J100)</f>
        <v>0</v>
      </c>
      <c r="O100" s="130">
        <f>G100*(I100+J100)</f>
        <v>0</v>
      </c>
      <c r="P100" s="130">
        <f>H100*(I100+J100)</f>
        <v>0</v>
      </c>
      <c r="Q100" s="188">
        <f>ROUND(((I100)*($B100+$C100+$D100+$E100))/(Universe!$C$6),2)</f>
        <v>0</v>
      </c>
      <c r="R100" s="188" t="e">
        <f>ROUND(((J100)*($B100+$C100+$D100+$E100))/(Universe!$C$2),2)</f>
        <v>#DIV/0!</v>
      </c>
      <c r="S100" s="235">
        <v>2</v>
      </c>
      <c r="U100" s="408">
        <f>IF(S100=1,Q100,0)</f>
        <v>0</v>
      </c>
      <c r="V100" s="408">
        <f>IF(S100=2,Q100,0)</f>
        <v>0</v>
      </c>
      <c r="W100" s="408">
        <f>IF(S100=1,R100,0)</f>
        <v>0</v>
      </c>
      <c r="X100" s="408" t="e">
        <f>IF(S100=2,R100,0)</f>
        <v>#DIV/0!</v>
      </c>
      <c r="AD100" s="162">
        <v>1453.85</v>
      </c>
    </row>
    <row r="101" spans="1:35" x14ac:dyDescent="0.2">
      <c r="A101" s="255" t="s">
        <v>262</v>
      </c>
      <c r="B101" s="256"/>
      <c r="C101" s="256"/>
      <c r="D101" s="256"/>
      <c r="E101" s="256"/>
      <c r="F101" s="257"/>
      <c r="G101" s="257"/>
      <c r="H101" s="257"/>
      <c r="I101" s="261"/>
      <c r="J101" s="261"/>
      <c r="K101" s="259"/>
      <c r="L101" s="262"/>
      <c r="M101" s="233"/>
      <c r="N101" s="130"/>
      <c r="O101" s="130"/>
      <c r="P101" s="130"/>
      <c r="Q101" s="240"/>
      <c r="R101" s="240"/>
      <c r="AD101" s="162">
        <v>82.1</v>
      </c>
    </row>
    <row r="102" spans="1:35" x14ac:dyDescent="0.2">
      <c r="A102" s="275" t="s">
        <v>610</v>
      </c>
      <c r="B102" s="92">
        <v>0</v>
      </c>
      <c r="C102" s="92">
        <v>0.1</v>
      </c>
      <c r="D102" s="92">
        <v>0.25</v>
      </c>
      <c r="E102" s="92">
        <v>0</v>
      </c>
      <c r="F102" s="32">
        <f>ROUND(Costs!$B$3*B102+Costs!$B$4*C102+Costs!$B$5*D102+Costs!$B$6*E102,2)</f>
        <v>27.9</v>
      </c>
      <c r="G102" s="32" t="str">
        <f>Costs!$B$62</f>
        <v xml:space="preserve"> </v>
      </c>
      <c r="H102" s="32">
        <f>Costs!$B$16</f>
        <v>0</v>
      </c>
      <c r="I102" s="95" t="s">
        <v>677</v>
      </c>
      <c r="J102" s="96">
        <f>ROUND(Universe!$C$2*0.1,0)</f>
        <v>0</v>
      </c>
      <c r="K102" s="94">
        <f>ROUND((I102+J102)*(B102+C102+D102+E102),2)</f>
        <v>0</v>
      </c>
      <c r="L102" s="93">
        <f>(I102+J102)*SUM(F102:H102)</f>
        <v>0</v>
      </c>
      <c r="M102" s="233" t="e">
        <f>L102/(I102+J102)</f>
        <v>#DIV/0!</v>
      </c>
      <c r="N102" s="130">
        <f>F102*(I102+J102)</f>
        <v>0</v>
      </c>
      <c r="O102" s="130">
        <f>G102*(I102+J102)</f>
        <v>0</v>
      </c>
      <c r="P102" s="130">
        <f>H102*(I102+J102)</f>
        <v>0</v>
      </c>
      <c r="Q102" s="188">
        <f>ROUND(((I102)*($B102+$C102+$D102+$E102))/(Universe!$C$6),2)</f>
        <v>0</v>
      </c>
      <c r="R102" s="188" t="e">
        <f>ROUND(((J102)*($B102+$C102+$D102+$E102))/(Universe!$C$2),2)</f>
        <v>#DIV/0!</v>
      </c>
      <c r="S102" s="235">
        <v>2</v>
      </c>
      <c r="U102" s="408">
        <f>IF(S102=1,Q102,0)</f>
        <v>0</v>
      </c>
      <c r="V102" s="408">
        <f>IF(S102=2,Q102,0)</f>
        <v>0</v>
      </c>
      <c r="W102" s="408">
        <f>IF(S102=1,R102,0)</f>
        <v>0</v>
      </c>
      <c r="X102" s="408" t="e">
        <f>IF(S102=2,R102,0)</f>
        <v>#DIV/0!</v>
      </c>
    </row>
    <row r="103" spans="1:35" ht="40.799999999999997" x14ac:dyDescent="0.2">
      <c r="A103" s="386" t="s">
        <v>339</v>
      </c>
      <c r="B103" s="228">
        <v>0</v>
      </c>
      <c r="C103" s="228">
        <v>0.5</v>
      </c>
      <c r="D103" s="228">
        <v>4</v>
      </c>
      <c r="E103" s="228">
        <v>0</v>
      </c>
      <c r="F103" s="377">
        <f>ROUND(Costs!$B$3*B103+Costs!$B$4*C103+Costs!$B$5*D103+Costs!$B$6*E103,2)</f>
        <v>339.17</v>
      </c>
      <c r="G103" s="377" t="str">
        <f>Costs!$B$62</f>
        <v xml:space="preserve"> </v>
      </c>
      <c r="H103" s="377">
        <f>Costs!$B$16</f>
        <v>0</v>
      </c>
      <c r="I103" s="511" t="s">
        <v>677</v>
      </c>
      <c r="J103" s="512">
        <f>ROUND(Universe!$C$2*0.1,0)</f>
        <v>0</v>
      </c>
      <c r="K103" s="513">
        <f>ROUND((I103+J103)*(B103+C103+D103+E103),2)</f>
        <v>0</v>
      </c>
      <c r="L103" s="123">
        <f>(I103+J103)*SUM(F103:H103)</f>
        <v>0</v>
      </c>
      <c r="M103" s="233"/>
      <c r="N103" s="130">
        <f>F103*(I103+J103)</f>
        <v>0</v>
      </c>
      <c r="O103" s="130">
        <f>G103*(I103+J103)</f>
        <v>0</v>
      </c>
      <c r="P103" s="130">
        <f>H103*(I103+J103)</f>
        <v>0</v>
      </c>
      <c r="Q103" s="188">
        <f>ROUND(((I103)*($B103+$C103+$D103+$E103))/(Universe!$C$6),2)</f>
        <v>0</v>
      </c>
      <c r="R103" s="188" t="e">
        <f>ROUND(((J103)*($B103+$C103+$D103+$E103))/(Universe!$C$2),2)</f>
        <v>#DIV/0!</v>
      </c>
      <c r="S103" s="235"/>
      <c r="U103" s="408">
        <f>IF(S103=1,Q103,0)</f>
        <v>0</v>
      </c>
      <c r="V103" s="408">
        <f>IF(S103=2,Q103,0)</f>
        <v>0</v>
      </c>
      <c r="W103" s="408">
        <f>IF(S103=1,R103,0)</f>
        <v>0</v>
      </c>
      <c r="X103" s="408">
        <f>IF(S103=2,R103,0)</f>
        <v>0</v>
      </c>
      <c r="AD103" s="162">
        <v>1116.72</v>
      </c>
    </row>
    <row r="104" spans="1:35" ht="30.6" x14ac:dyDescent="0.2">
      <c r="A104" s="386" t="s">
        <v>237</v>
      </c>
      <c r="B104" s="228">
        <v>0</v>
      </c>
      <c r="C104" s="228">
        <v>0</v>
      </c>
      <c r="D104" s="228">
        <v>0</v>
      </c>
      <c r="E104" s="228">
        <v>0.5</v>
      </c>
      <c r="F104" s="377">
        <f>ROUND(Costs!$B$3*B104+Costs!$B$4*C104+Costs!$B$5*D104+Costs!$B$6*E104,2)</f>
        <v>21.84</v>
      </c>
      <c r="G104" s="377" t="str">
        <f>Costs!$B$62</f>
        <v xml:space="preserve"> </v>
      </c>
      <c r="H104" s="377">
        <f>Costs!$B$17</f>
        <v>1.5</v>
      </c>
      <c r="I104" s="511" t="s">
        <v>677</v>
      </c>
      <c r="J104" s="512">
        <f>ROUND(Universe!$C$2*0.1,0)</f>
        <v>0</v>
      </c>
      <c r="K104" s="513">
        <f>ROUND((I104+J104)*(B104+C104+D104+E104),2)</f>
        <v>0</v>
      </c>
      <c r="L104" s="123">
        <f>(I104+J104)*SUM(F104:H104)</f>
        <v>0</v>
      </c>
      <c r="M104" s="233" t="e">
        <f>L104/(I104+J104)</f>
        <v>#DIV/0!</v>
      </c>
      <c r="N104" s="130">
        <f>F104*(I104+J104)</f>
        <v>0</v>
      </c>
      <c r="O104" s="130">
        <f>G104*(I104+J104)</f>
        <v>0</v>
      </c>
      <c r="P104" s="130">
        <f>H104*(I104+J104)</f>
        <v>0</v>
      </c>
      <c r="Q104" s="188">
        <f>ROUND(((I104)*($B104+$C104+$D104+$E104))/(Universe!$C$6),2)</f>
        <v>0</v>
      </c>
      <c r="R104" s="188" t="e">
        <f>ROUND(((J104)*($B104+$C104+$D104+$E104))/(Universe!$C$2),2)</f>
        <v>#DIV/0!</v>
      </c>
      <c r="S104" s="235">
        <v>1</v>
      </c>
      <c r="U104" s="408">
        <f>IF(S104=1,Q104,0)</f>
        <v>0</v>
      </c>
      <c r="V104" s="408">
        <f>IF(S104=2,Q104,0)</f>
        <v>0</v>
      </c>
      <c r="W104" s="408" t="e">
        <f>IF(S104=1,R104,0)</f>
        <v>#DIV/0!</v>
      </c>
      <c r="X104" s="408">
        <f>IF(S104=2,R104,0)</f>
        <v>0</v>
      </c>
      <c r="AD104" s="162">
        <v>1061548.58</v>
      </c>
    </row>
    <row r="105" spans="1:35" x14ac:dyDescent="0.2">
      <c r="A105" s="255" t="s">
        <v>263</v>
      </c>
      <c r="B105" s="256"/>
      <c r="C105" s="256"/>
      <c r="D105" s="256"/>
      <c r="E105" s="256"/>
      <c r="F105" s="257"/>
      <c r="G105" s="257"/>
      <c r="H105" s="257"/>
      <c r="I105" s="261"/>
      <c r="J105" s="261"/>
      <c r="K105" s="259"/>
      <c r="L105" s="262"/>
      <c r="M105" s="233"/>
      <c r="N105" s="130"/>
      <c r="O105" s="130"/>
      <c r="P105" s="130"/>
      <c r="Q105" s="240"/>
      <c r="R105" s="240"/>
      <c r="AD105" s="162">
        <v>625.29999999999995</v>
      </c>
    </row>
    <row r="106" spans="1:35" x14ac:dyDescent="0.2">
      <c r="A106" s="275" t="s">
        <v>610</v>
      </c>
      <c r="B106" s="92">
        <v>0</v>
      </c>
      <c r="C106" s="92">
        <v>0.1</v>
      </c>
      <c r="D106" s="92">
        <v>0.25</v>
      </c>
      <c r="E106" s="92">
        <v>0</v>
      </c>
      <c r="F106" s="32">
        <f>ROUND(Costs!$B$3*B106+Costs!$B$4*C106+Costs!$B$5*D106+Costs!$B$6*E106,2)</f>
        <v>27.9</v>
      </c>
      <c r="G106" s="32" t="str">
        <f>Costs!$B$62</f>
        <v xml:space="preserve"> </v>
      </c>
      <c r="H106" s="32">
        <f>Costs!$B$16</f>
        <v>0</v>
      </c>
      <c r="I106" s="95" t="s">
        <v>677</v>
      </c>
      <c r="J106" s="96" t="b">
        <f>Universe!$C$2&gt;85</f>
        <v>0</v>
      </c>
      <c r="K106" s="94">
        <f t="shared" ref="K106:K126" si="45">ROUND((I106+J106)*(B106+C106+D106+E106),2)</f>
        <v>0</v>
      </c>
      <c r="L106" s="93">
        <f t="shared" ref="L106:L126" si="46">(I106+J106)*SUM(F106:H106)</f>
        <v>0</v>
      </c>
      <c r="M106" s="233" t="e">
        <f t="shared" ref="M106:M126" si="47">L106/(I106+J106)</f>
        <v>#DIV/0!</v>
      </c>
      <c r="N106" s="130">
        <f t="shared" ref="N106:N126" si="48">F106*(I106+J106)</f>
        <v>0</v>
      </c>
      <c r="O106" s="130">
        <f t="shared" ref="O106:O126" si="49">G106*(I106+J106)</f>
        <v>0</v>
      </c>
      <c r="P106" s="130">
        <f t="shared" ref="P106:P126" si="50">H106*(I106+J106)</f>
        <v>0</v>
      </c>
      <c r="Q106" s="188">
        <f>ROUND(((I106)*($B106+$C106+$D106+$E106))/(Universe!$C$6),2)</f>
        <v>0</v>
      </c>
      <c r="R106" s="188" t="e">
        <f>ROUND(((J106)*($B106+$C106+$D106+$E106))/(Universe!$C$2),2)</f>
        <v>#DIV/0!</v>
      </c>
      <c r="S106" s="235">
        <v>2</v>
      </c>
      <c r="U106" s="408">
        <f t="shared" ref="U106:U126" si="51">IF(S106=1,Q106,0)</f>
        <v>0</v>
      </c>
      <c r="V106" s="408">
        <f t="shared" ref="V106:V126" si="52">IF(S106=2,Q106,0)</f>
        <v>0</v>
      </c>
      <c r="W106" s="408">
        <f t="shared" ref="W106:W126" si="53">IF(S106=1,R106,0)</f>
        <v>0</v>
      </c>
      <c r="X106" s="408" t="e">
        <f t="shared" ref="X106:X126" si="54">IF(S106=2,R106,0)</f>
        <v>#DIV/0!</v>
      </c>
      <c r="AD106" s="162">
        <v>734.61</v>
      </c>
    </row>
    <row r="107" spans="1:35" s="160" customFormat="1" ht="40.799999999999997" x14ac:dyDescent="0.2">
      <c r="A107" s="146" t="s">
        <v>189</v>
      </c>
      <c r="B107" s="101">
        <v>0</v>
      </c>
      <c r="C107" s="101">
        <v>24</v>
      </c>
      <c r="D107" s="101">
        <v>330</v>
      </c>
      <c r="E107" s="101">
        <v>0</v>
      </c>
      <c r="F107" s="32">
        <f>ROUND(Costs!$B$3*B107+Costs!$B$4*C107+Costs!$B$5*D107+Costs!$B$6*E107,2)</f>
        <v>26300.1</v>
      </c>
      <c r="G107" s="32" t="str">
        <f>Costs!$B$62</f>
        <v xml:space="preserve"> </v>
      </c>
      <c r="H107" s="32">
        <f>Costs!$B$16</f>
        <v>0</v>
      </c>
      <c r="I107" s="88" t="s">
        <v>677</v>
      </c>
      <c r="J107" s="96">
        <f>Universe!$C$2*0.85</f>
        <v>0</v>
      </c>
      <c r="K107" s="94">
        <f t="shared" si="45"/>
        <v>0</v>
      </c>
      <c r="L107" s="93">
        <f t="shared" si="46"/>
        <v>0</v>
      </c>
      <c r="M107" s="233" t="e">
        <f t="shared" si="47"/>
        <v>#DIV/0!</v>
      </c>
      <c r="N107" s="130">
        <f t="shared" si="48"/>
        <v>0</v>
      </c>
      <c r="O107" s="130">
        <f t="shared" si="49"/>
        <v>0</v>
      </c>
      <c r="P107" s="130">
        <f t="shared" si="50"/>
        <v>0</v>
      </c>
      <c r="Q107" s="188">
        <f>ROUND(((I107)*($B107+$C107+$D107+$E107))/(Universe!$C$6),2)</f>
        <v>0</v>
      </c>
      <c r="R107" s="188" t="e">
        <f>ROUND(((J107)*($B107+$C107+$D107+$E107))/(Universe!$C$2),2)</f>
        <v>#DIV/0!</v>
      </c>
      <c r="S107" s="167">
        <v>1</v>
      </c>
      <c r="U107" s="408">
        <f t="shared" si="51"/>
        <v>0</v>
      </c>
      <c r="V107" s="408">
        <f t="shared" si="52"/>
        <v>0</v>
      </c>
      <c r="W107" s="408" t="e">
        <f t="shared" si="53"/>
        <v>#DIV/0!</v>
      </c>
      <c r="X107" s="408">
        <f t="shared" si="54"/>
        <v>0</v>
      </c>
      <c r="AA107" s="171"/>
      <c r="AB107" s="171"/>
      <c r="AD107" s="160">
        <v>734.61</v>
      </c>
    </row>
    <row r="108" spans="1:35" ht="20.399999999999999" x14ac:dyDescent="0.2">
      <c r="A108" s="275" t="s">
        <v>190</v>
      </c>
      <c r="B108" s="92">
        <v>0</v>
      </c>
      <c r="C108" s="92">
        <v>0</v>
      </c>
      <c r="D108" s="92">
        <v>2</v>
      </c>
      <c r="E108" s="92">
        <v>0</v>
      </c>
      <c r="F108" s="32">
        <f>ROUND(Costs!$B$3*B108+Costs!$B$4*C108+Costs!$B$5*D108+Costs!$B$6*E108,2)</f>
        <v>145.22</v>
      </c>
      <c r="G108" s="32" t="str">
        <f>Costs!$B$62</f>
        <v xml:space="preserve"> </v>
      </c>
      <c r="H108" s="32">
        <f>Costs!$B$16</f>
        <v>0</v>
      </c>
      <c r="I108" s="95" t="s">
        <v>677</v>
      </c>
      <c r="J108" s="96">
        <f>ROUND((J107*0.1),0)</f>
        <v>0</v>
      </c>
      <c r="K108" s="94">
        <f t="shared" si="45"/>
        <v>0</v>
      </c>
      <c r="L108" s="93">
        <f t="shared" si="46"/>
        <v>0</v>
      </c>
      <c r="M108" s="233" t="e">
        <f t="shared" si="47"/>
        <v>#DIV/0!</v>
      </c>
      <c r="N108" s="130">
        <f t="shared" si="48"/>
        <v>0</v>
      </c>
      <c r="O108" s="130">
        <f t="shared" si="49"/>
        <v>0</v>
      </c>
      <c r="P108" s="130">
        <f t="shared" si="50"/>
        <v>0</v>
      </c>
      <c r="Q108" s="188">
        <f>ROUND(((I108)*($B108+$C108+$D108+$E108))/(Universe!$C$6),2)</f>
        <v>0</v>
      </c>
      <c r="R108" s="188" t="e">
        <f>ROUND(((J108)*($B108+$C108+$D108+$E108))/(Universe!$C$2),2)</f>
        <v>#DIV/0!</v>
      </c>
      <c r="S108" s="235">
        <v>2</v>
      </c>
      <c r="U108" s="408">
        <f t="shared" si="51"/>
        <v>0</v>
      </c>
      <c r="V108" s="408">
        <f t="shared" si="52"/>
        <v>0</v>
      </c>
      <c r="W108" s="408">
        <f t="shared" si="53"/>
        <v>0</v>
      </c>
      <c r="X108" s="408" t="e">
        <f t="shared" si="54"/>
        <v>#DIV/0!</v>
      </c>
      <c r="AD108" s="162">
        <v>734.61</v>
      </c>
      <c r="AI108" s="162">
        <v>70.5</v>
      </c>
    </row>
    <row r="109" spans="1:35" ht="30.6" x14ac:dyDescent="0.2">
      <c r="A109" s="275" t="s">
        <v>191</v>
      </c>
      <c r="B109" s="92">
        <v>0</v>
      </c>
      <c r="C109" s="92">
        <v>0</v>
      </c>
      <c r="D109" s="92">
        <v>0.25</v>
      </c>
      <c r="E109" s="92">
        <v>0</v>
      </c>
      <c r="F109" s="32">
        <f>ROUND(Costs!$B$3*B109+Costs!$B$4*C109+Costs!$B$5*D109+Costs!$B$6*E109,2)</f>
        <v>18.149999999999999</v>
      </c>
      <c r="G109" s="32" t="str">
        <f>Costs!$B$62</f>
        <v xml:space="preserve"> </v>
      </c>
      <c r="H109" s="32">
        <f>Costs!$B$16</f>
        <v>0</v>
      </c>
      <c r="I109" s="95" t="s">
        <v>677</v>
      </c>
      <c r="J109" s="96">
        <f>Universe!$C$2*0.85</f>
        <v>0</v>
      </c>
      <c r="K109" s="94">
        <f t="shared" si="45"/>
        <v>0</v>
      </c>
      <c r="L109" s="93">
        <f t="shared" si="46"/>
        <v>0</v>
      </c>
      <c r="M109" s="233" t="e">
        <f t="shared" si="47"/>
        <v>#DIV/0!</v>
      </c>
      <c r="N109" s="130">
        <f t="shared" si="48"/>
        <v>0</v>
      </c>
      <c r="O109" s="130">
        <f t="shared" si="49"/>
        <v>0</v>
      </c>
      <c r="P109" s="130">
        <f t="shared" si="50"/>
        <v>0</v>
      </c>
      <c r="Q109" s="188">
        <f>ROUND(((I109)*($B109+$C109+$D109+$E109))/(Universe!$C$6),2)</f>
        <v>0</v>
      </c>
      <c r="R109" s="188" t="e">
        <f>ROUND(((J109)*($B109+$C109+$D109+$E109))/(Universe!$C$2),2)</f>
        <v>#DIV/0!</v>
      </c>
      <c r="S109" s="235">
        <v>2</v>
      </c>
      <c r="U109" s="408">
        <f t="shared" si="51"/>
        <v>0</v>
      </c>
      <c r="V109" s="408">
        <f t="shared" si="52"/>
        <v>0</v>
      </c>
      <c r="W109" s="408">
        <f t="shared" si="53"/>
        <v>0</v>
      </c>
      <c r="X109" s="408" t="e">
        <f t="shared" si="54"/>
        <v>#DIV/0!</v>
      </c>
      <c r="AD109" s="162">
        <v>16990.97</v>
      </c>
      <c r="AI109" s="162">
        <v>168</v>
      </c>
    </row>
    <row r="110" spans="1:35" ht="30.6" x14ac:dyDescent="0.2">
      <c r="A110" s="275" t="s">
        <v>192</v>
      </c>
      <c r="B110" s="92">
        <v>0</v>
      </c>
      <c r="C110" s="92">
        <v>0</v>
      </c>
      <c r="D110" s="92">
        <v>0.25</v>
      </c>
      <c r="E110" s="92">
        <v>0</v>
      </c>
      <c r="F110" s="32">
        <f>ROUND(Costs!$B$3*B110+Costs!$B$4*C110+Costs!$B$5*D110+Costs!$B$6*E110,2)</f>
        <v>18.149999999999999</v>
      </c>
      <c r="G110" s="32" t="str">
        <f>Costs!$B$62</f>
        <v xml:space="preserve"> </v>
      </c>
      <c r="H110" s="32">
        <f>Costs!$B$16</f>
        <v>0</v>
      </c>
      <c r="I110" s="95" t="s">
        <v>677</v>
      </c>
      <c r="J110" s="96">
        <f>Universe!$C$2*0.85</f>
        <v>0</v>
      </c>
      <c r="K110" s="94">
        <f t="shared" si="45"/>
        <v>0</v>
      </c>
      <c r="L110" s="93">
        <f t="shared" si="46"/>
        <v>0</v>
      </c>
      <c r="M110" s="233" t="e">
        <f t="shared" si="47"/>
        <v>#DIV/0!</v>
      </c>
      <c r="N110" s="130">
        <f t="shared" si="48"/>
        <v>0</v>
      </c>
      <c r="O110" s="130">
        <f t="shared" si="49"/>
        <v>0</v>
      </c>
      <c r="P110" s="130">
        <f t="shared" si="50"/>
        <v>0</v>
      </c>
      <c r="Q110" s="188">
        <f>ROUND(((I110)*($B110+$C110+$D110+$E110))/(Universe!$C$6),2)</f>
        <v>0</v>
      </c>
      <c r="R110" s="188" t="e">
        <f>ROUND(((J110)*($B110+$C110+$D110+$E110))/(Universe!$C$2),2)</f>
        <v>#DIV/0!</v>
      </c>
      <c r="S110" s="235">
        <v>2</v>
      </c>
      <c r="U110" s="408">
        <f t="shared" si="51"/>
        <v>0</v>
      </c>
      <c r="V110" s="408">
        <f t="shared" si="52"/>
        <v>0</v>
      </c>
      <c r="W110" s="408">
        <f t="shared" si="53"/>
        <v>0</v>
      </c>
      <c r="X110" s="408" t="e">
        <f t="shared" si="54"/>
        <v>#DIV/0!</v>
      </c>
      <c r="AD110" s="162">
        <v>17151.71</v>
      </c>
      <c r="AI110" s="162">
        <v>0</v>
      </c>
    </row>
    <row r="111" spans="1:35" ht="20.399999999999999" x14ac:dyDescent="0.2">
      <c r="A111" s="275" t="s">
        <v>24</v>
      </c>
      <c r="B111" s="92">
        <v>0</v>
      </c>
      <c r="C111" s="92">
        <v>0</v>
      </c>
      <c r="D111" s="92">
        <v>0.25</v>
      </c>
      <c r="E111" s="92">
        <v>0</v>
      </c>
      <c r="F111" s="32">
        <f>ROUND(Costs!$B$3*B111+Costs!$B$4*C111+Costs!$B$5*D111+Costs!$B$6*E111,2)</f>
        <v>18.149999999999999</v>
      </c>
      <c r="G111" s="32" t="str">
        <f>Costs!$B$62</f>
        <v xml:space="preserve"> </v>
      </c>
      <c r="H111" s="32">
        <f>Costs!$B$16</f>
        <v>0</v>
      </c>
      <c r="I111" s="95" t="s">
        <v>677</v>
      </c>
      <c r="J111" s="96">
        <f>Universe!$C$2*0.85</f>
        <v>0</v>
      </c>
      <c r="K111" s="94">
        <f t="shared" si="45"/>
        <v>0</v>
      </c>
      <c r="L111" s="93">
        <f t="shared" si="46"/>
        <v>0</v>
      </c>
      <c r="M111" s="233" t="e">
        <f t="shared" si="47"/>
        <v>#DIV/0!</v>
      </c>
      <c r="N111" s="130">
        <f t="shared" si="48"/>
        <v>0</v>
      </c>
      <c r="O111" s="130">
        <f t="shared" si="49"/>
        <v>0</v>
      </c>
      <c r="P111" s="130">
        <f t="shared" si="50"/>
        <v>0</v>
      </c>
      <c r="Q111" s="188">
        <f>ROUND(((I111)*($B111+$C111+$D111+$E111))/(Universe!$C$6),2)</f>
        <v>0</v>
      </c>
      <c r="R111" s="188" t="e">
        <f>ROUND(((J111)*($B111+$C111+$D111+$E111))/(Universe!$C$2),2)</f>
        <v>#DIV/0!</v>
      </c>
      <c r="S111" s="235">
        <v>2</v>
      </c>
      <c r="U111" s="408">
        <f t="shared" si="51"/>
        <v>0</v>
      </c>
      <c r="V111" s="408">
        <f t="shared" si="52"/>
        <v>0</v>
      </c>
      <c r="W111" s="408">
        <f t="shared" si="53"/>
        <v>0</v>
      </c>
      <c r="X111" s="408" t="e">
        <f t="shared" si="54"/>
        <v>#DIV/0!</v>
      </c>
      <c r="AD111" s="162">
        <v>17151.71</v>
      </c>
      <c r="AI111" s="162">
        <v>70</v>
      </c>
    </row>
    <row r="112" spans="1:35" ht="30.6" x14ac:dyDescent="0.2">
      <c r="A112" s="275" t="s">
        <v>194</v>
      </c>
      <c r="B112" s="92">
        <v>0</v>
      </c>
      <c r="C112" s="92">
        <v>1</v>
      </c>
      <c r="D112" s="92">
        <v>4</v>
      </c>
      <c r="E112" s="92">
        <v>1</v>
      </c>
      <c r="F112" s="32">
        <f>ROUND(Costs!$B$3*B112+Costs!$B$4*C112+Costs!$B$5*D112+Costs!$B$6*E112,2)</f>
        <v>431.56</v>
      </c>
      <c r="G112" s="32" t="str">
        <f>Costs!$B$62</f>
        <v xml:space="preserve"> </v>
      </c>
      <c r="H112" s="32">
        <f>Costs!$B$16</f>
        <v>0</v>
      </c>
      <c r="I112" s="95" t="s">
        <v>677</v>
      </c>
      <c r="J112" s="96">
        <f>Universe!$C$2*0.85</f>
        <v>0</v>
      </c>
      <c r="K112" s="94">
        <f t="shared" si="45"/>
        <v>0</v>
      </c>
      <c r="L112" s="93">
        <f t="shared" si="46"/>
        <v>0</v>
      </c>
      <c r="M112" s="233" t="e">
        <f t="shared" si="47"/>
        <v>#DIV/0!</v>
      </c>
      <c r="N112" s="130">
        <f t="shared" si="48"/>
        <v>0</v>
      </c>
      <c r="O112" s="130">
        <f t="shared" si="49"/>
        <v>0</v>
      </c>
      <c r="P112" s="130">
        <f t="shared" si="50"/>
        <v>0</v>
      </c>
      <c r="Q112" s="188">
        <f>ROUND(((I112)*($B112+$C112+$D112+$E112))/(Universe!$C$6),2)</f>
        <v>0</v>
      </c>
      <c r="R112" s="188" t="e">
        <f>ROUND(((J112)*($B112+$C112+$D112+$E112))/(Universe!$C$2),2)</f>
        <v>#DIV/0!</v>
      </c>
      <c r="S112" s="235">
        <v>1</v>
      </c>
      <c r="U112" s="408">
        <f t="shared" si="51"/>
        <v>0</v>
      </c>
      <c r="V112" s="408">
        <f t="shared" si="52"/>
        <v>0</v>
      </c>
      <c r="W112" s="408" t="e">
        <f t="shared" si="53"/>
        <v>#DIV/0!</v>
      </c>
      <c r="X112" s="408">
        <f t="shared" si="54"/>
        <v>0</v>
      </c>
      <c r="AD112" s="162">
        <v>1230.1199999999999</v>
      </c>
      <c r="AI112" s="162">
        <v>399.5</v>
      </c>
    </row>
    <row r="113" spans="1:35" ht="20.399999999999999" x14ac:dyDescent="0.2">
      <c r="A113" s="275" t="s">
        <v>195</v>
      </c>
      <c r="B113" s="92">
        <v>0</v>
      </c>
      <c r="C113" s="92">
        <v>1</v>
      </c>
      <c r="D113" s="92">
        <v>4</v>
      </c>
      <c r="E113" s="92">
        <v>1</v>
      </c>
      <c r="F113" s="32">
        <f>ROUND(Costs!$B$3*B113+Costs!$B$4*C113+Costs!$B$5*D113+Costs!$B$6*E113,2)</f>
        <v>431.56</v>
      </c>
      <c r="G113" s="32" t="str">
        <f>Costs!$B$62</f>
        <v xml:space="preserve"> </v>
      </c>
      <c r="H113" s="32">
        <f>Costs!$B$19</f>
        <v>4.4000000000000004</v>
      </c>
      <c r="I113" s="95" t="s">
        <v>677</v>
      </c>
      <c r="J113" s="96">
        <f>Universe!$C$2*0.85</f>
        <v>0</v>
      </c>
      <c r="K113" s="94">
        <f t="shared" si="45"/>
        <v>0</v>
      </c>
      <c r="L113" s="93">
        <f t="shared" si="46"/>
        <v>0</v>
      </c>
      <c r="M113" s="233" t="e">
        <f t="shared" si="47"/>
        <v>#DIV/0!</v>
      </c>
      <c r="N113" s="130">
        <f t="shared" si="48"/>
        <v>0</v>
      </c>
      <c r="O113" s="130">
        <f t="shared" si="49"/>
        <v>0</v>
      </c>
      <c r="P113" s="130">
        <f t="shared" si="50"/>
        <v>0</v>
      </c>
      <c r="Q113" s="188">
        <f>ROUND(((I113)*($B113+$C113+$D113+$E113))/(Universe!$C$6),2)</f>
        <v>0</v>
      </c>
      <c r="R113" s="188" t="e">
        <f>ROUND(((J113)*($B113+$C113+$D113+$E113))/(Universe!$C$2),2)</f>
        <v>#DIV/0!</v>
      </c>
      <c r="S113" s="235">
        <v>1</v>
      </c>
      <c r="U113" s="408">
        <f t="shared" si="51"/>
        <v>0</v>
      </c>
      <c r="V113" s="408">
        <f t="shared" si="52"/>
        <v>0</v>
      </c>
      <c r="W113" s="408" t="e">
        <f t="shared" si="53"/>
        <v>#DIV/0!</v>
      </c>
      <c r="X113" s="408">
        <f t="shared" si="54"/>
        <v>0</v>
      </c>
      <c r="AD113" s="162">
        <v>0</v>
      </c>
      <c r="AI113" s="162">
        <v>2115</v>
      </c>
    </row>
    <row r="114" spans="1:35" ht="30.6" x14ac:dyDescent="0.2">
      <c r="A114" s="275" t="s">
        <v>196</v>
      </c>
      <c r="B114" s="92">
        <v>0</v>
      </c>
      <c r="C114" s="92">
        <v>1</v>
      </c>
      <c r="D114" s="92">
        <v>4</v>
      </c>
      <c r="E114" s="92">
        <v>1</v>
      </c>
      <c r="F114" s="32">
        <f>ROUND(Costs!$B$3*B114+Costs!$B$4*C114+Costs!$B$5*D114+Costs!$B$6*E114,2)</f>
        <v>431.56</v>
      </c>
      <c r="G114" s="32" t="str">
        <f>Costs!$B$62</f>
        <v xml:space="preserve"> </v>
      </c>
      <c r="H114" s="32">
        <f>Costs!$B$19</f>
        <v>4.4000000000000004</v>
      </c>
      <c r="I114" s="95" t="s">
        <v>677</v>
      </c>
      <c r="J114" s="96">
        <f>Universe!$C$2*0.85</f>
        <v>0</v>
      </c>
      <c r="K114" s="94">
        <f t="shared" si="45"/>
        <v>0</v>
      </c>
      <c r="L114" s="93">
        <f t="shared" si="46"/>
        <v>0</v>
      </c>
      <c r="M114" s="233" t="e">
        <f t="shared" si="47"/>
        <v>#DIV/0!</v>
      </c>
      <c r="N114" s="130">
        <f t="shared" si="48"/>
        <v>0</v>
      </c>
      <c r="O114" s="130">
        <f t="shared" si="49"/>
        <v>0</v>
      </c>
      <c r="P114" s="130">
        <f t="shared" si="50"/>
        <v>0</v>
      </c>
      <c r="Q114" s="188">
        <f>ROUND(((I114)*($B114+$C114+$D114+$E114))/(Universe!$C$6),2)</f>
        <v>0</v>
      </c>
      <c r="R114" s="188" t="e">
        <f>ROUND(((J114)*($B114+$C114+$D114+$E114))/(Universe!$C$2),2)</f>
        <v>#DIV/0!</v>
      </c>
      <c r="S114" s="235">
        <v>1</v>
      </c>
      <c r="U114" s="408">
        <f t="shared" si="51"/>
        <v>0</v>
      </c>
      <c r="V114" s="408">
        <f t="shared" si="52"/>
        <v>0</v>
      </c>
      <c r="W114" s="408" t="e">
        <f t="shared" si="53"/>
        <v>#DIV/0!</v>
      </c>
      <c r="X114" s="408">
        <f t="shared" si="54"/>
        <v>0</v>
      </c>
      <c r="AD114" s="162">
        <v>1230.1199999999999</v>
      </c>
      <c r="AI114" s="162">
        <v>399.5</v>
      </c>
    </row>
    <row r="115" spans="1:35" ht="20.399999999999999" x14ac:dyDescent="0.2">
      <c r="A115" s="275" t="s">
        <v>197</v>
      </c>
      <c r="B115" s="92">
        <v>0</v>
      </c>
      <c r="C115" s="92">
        <v>1</v>
      </c>
      <c r="D115" s="92">
        <v>8</v>
      </c>
      <c r="E115" s="92">
        <v>1</v>
      </c>
      <c r="F115" s="32">
        <f>ROUND(Costs!$B$3*B115+Costs!$B$4*C115+Costs!$B$5*D115+Costs!$B$6*E115,2)</f>
        <v>722</v>
      </c>
      <c r="G115" s="32" t="str">
        <f>Costs!$B$62</f>
        <v xml:space="preserve"> </v>
      </c>
      <c r="H115" s="32">
        <f>Costs!$B$19</f>
        <v>4.4000000000000004</v>
      </c>
      <c r="I115" s="95" t="s">
        <v>677</v>
      </c>
      <c r="J115" s="96">
        <f>ROUND(Universe!$C$2*0.05,0)</f>
        <v>0</v>
      </c>
      <c r="K115" s="94">
        <f t="shared" si="45"/>
        <v>0</v>
      </c>
      <c r="L115" s="93">
        <f t="shared" si="46"/>
        <v>0</v>
      </c>
      <c r="M115" s="233" t="e">
        <f t="shared" si="47"/>
        <v>#DIV/0!</v>
      </c>
      <c r="N115" s="130">
        <f t="shared" si="48"/>
        <v>0</v>
      </c>
      <c r="O115" s="130">
        <f t="shared" si="49"/>
        <v>0</v>
      </c>
      <c r="P115" s="130">
        <f t="shared" si="50"/>
        <v>0</v>
      </c>
      <c r="Q115" s="188">
        <f>ROUND(((I115)*($B115+$C115+$D115+$E115))/(Universe!$C$6),2)</f>
        <v>0</v>
      </c>
      <c r="R115" s="188" t="e">
        <f>ROUND(((J115)*($B115+$C115+$D115+$E115))/(Universe!$C$2),2)</f>
        <v>#DIV/0!</v>
      </c>
      <c r="S115" s="235">
        <v>1</v>
      </c>
      <c r="U115" s="408">
        <f t="shared" si="51"/>
        <v>0</v>
      </c>
      <c r="V115" s="408">
        <f t="shared" si="52"/>
        <v>0</v>
      </c>
      <c r="W115" s="408" t="e">
        <f t="shared" si="53"/>
        <v>#DIV/0!</v>
      </c>
      <c r="X115" s="408">
        <f t="shared" si="54"/>
        <v>0</v>
      </c>
      <c r="AA115" s="557" t="str">
        <f>I115</f>
        <v>N/A</v>
      </c>
      <c r="AB115" s="557">
        <f>J115</f>
        <v>0</v>
      </c>
      <c r="AD115" s="162">
        <v>109327.64</v>
      </c>
      <c r="AI115" s="162">
        <v>20</v>
      </c>
    </row>
    <row r="116" spans="1:35" ht="30.6" x14ac:dyDescent="0.2">
      <c r="A116" s="275" t="s">
        <v>198</v>
      </c>
      <c r="B116" s="92">
        <v>0</v>
      </c>
      <c r="C116" s="92">
        <v>1</v>
      </c>
      <c r="D116" s="92">
        <v>8</v>
      </c>
      <c r="E116" s="92">
        <v>1</v>
      </c>
      <c r="F116" s="32">
        <f>ROUND(Costs!$B$3*B116+Costs!$B$4*C116+Costs!$B$5*D116+Costs!$B$6*E116,2)</f>
        <v>722</v>
      </c>
      <c r="G116" s="32" t="str">
        <f>Costs!$B$62</f>
        <v xml:space="preserve"> </v>
      </c>
      <c r="H116" s="32">
        <f>Costs!$B$16</f>
        <v>0</v>
      </c>
      <c r="I116" s="95" t="s">
        <v>677</v>
      </c>
      <c r="J116" s="96">
        <f>Universe!$C$32</f>
        <v>0</v>
      </c>
      <c r="K116" s="94">
        <f t="shared" si="45"/>
        <v>0</v>
      </c>
      <c r="L116" s="93">
        <f t="shared" si="46"/>
        <v>0</v>
      </c>
      <c r="M116" s="233" t="e">
        <f t="shared" si="47"/>
        <v>#DIV/0!</v>
      </c>
      <c r="N116" s="130">
        <f t="shared" si="48"/>
        <v>0</v>
      </c>
      <c r="O116" s="130">
        <f t="shared" si="49"/>
        <v>0</v>
      </c>
      <c r="P116" s="130">
        <f t="shared" si="50"/>
        <v>0</v>
      </c>
      <c r="Q116" s="188">
        <f>ROUND(((I116)*($B116+$C116+$D116+$E116))/(Universe!$C$6),2)</f>
        <v>0</v>
      </c>
      <c r="R116" s="188" t="e">
        <f>ROUND(((J116)*($B116+$C116+$D116+$E116))/(Universe!$C$2),2)</f>
        <v>#DIV/0!</v>
      </c>
      <c r="S116" s="235">
        <v>2</v>
      </c>
      <c r="U116" s="408">
        <f t="shared" si="51"/>
        <v>0</v>
      </c>
      <c r="V116" s="408">
        <f t="shared" si="52"/>
        <v>0</v>
      </c>
      <c r="W116" s="408">
        <f t="shared" si="53"/>
        <v>0</v>
      </c>
      <c r="X116" s="408" t="e">
        <f t="shared" si="54"/>
        <v>#DIV/0!</v>
      </c>
      <c r="AD116" s="162">
        <v>54664.29</v>
      </c>
      <c r="AI116" s="162">
        <v>0</v>
      </c>
    </row>
    <row r="117" spans="1:35" ht="30.6" x14ac:dyDescent="0.2">
      <c r="A117" s="275" t="s">
        <v>25</v>
      </c>
      <c r="B117" s="92">
        <v>0</v>
      </c>
      <c r="C117" s="92">
        <v>1</v>
      </c>
      <c r="D117" s="92">
        <v>8</v>
      </c>
      <c r="E117" s="92">
        <v>1</v>
      </c>
      <c r="F117" s="32">
        <f>ROUND(Costs!$B$3*B117+Costs!$B$4*C117+Costs!$B$5*D117+Costs!$B$6*E117,2)</f>
        <v>722</v>
      </c>
      <c r="G117" s="32" t="str">
        <f>Costs!$B$62</f>
        <v xml:space="preserve"> </v>
      </c>
      <c r="H117" s="32">
        <f>Costs!$B$19</f>
        <v>4.4000000000000004</v>
      </c>
      <c r="I117" s="95" t="s">
        <v>677</v>
      </c>
      <c r="J117" s="96">
        <f>ROUND(Universe!$C$2*0.05,0)</f>
        <v>0</v>
      </c>
      <c r="K117" s="94">
        <f t="shared" si="45"/>
        <v>0</v>
      </c>
      <c r="L117" s="93">
        <f t="shared" si="46"/>
        <v>0</v>
      </c>
      <c r="M117" s="233" t="e">
        <f t="shared" si="47"/>
        <v>#DIV/0!</v>
      </c>
      <c r="N117" s="130">
        <f t="shared" si="48"/>
        <v>0</v>
      </c>
      <c r="O117" s="130">
        <f t="shared" si="49"/>
        <v>0</v>
      </c>
      <c r="P117" s="130">
        <f t="shared" si="50"/>
        <v>0</v>
      </c>
      <c r="Q117" s="188">
        <f>ROUND(((I117)*($B117+$C117+$D117+$E117))/(Universe!$C$6),2)</f>
        <v>0</v>
      </c>
      <c r="R117" s="188" t="e">
        <f>ROUND(((J117)*($B117+$C117+$D117+$E117))/(Universe!$C$2),2)</f>
        <v>#DIV/0!</v>
      </c>
      <c r="S117" s="235">
        <v>1</v>
      </c>
      <c r="U117" s="408">
        <f t="shared" si="51"/>
        <v>0</v>
      </c>
      <c r="V117" s="408">
        <f t="shared" si="52"/>
        <v>0</v>
      </c>
      <c r="W117" s="408" t="e">
        <f t="shared" si="53"/>
        <v>#DIV/0!</v>
      </c>
      <c r="X117" s="408">
        <f t="shared" si="54"/>
        <v>0</v>
      </c>
      <c r="AD117" s="162">
        <v>20631.599999999999</v>
      </c>
    </row>
    <row r="118" spans="1:35" ht="20.399999999999999" x14ac:dyDescent="0.2">
      <c r="A118" s="275" t="s">
        <v>199</v>
      </c>
      <c r="B118" s="92">
        <v>0</v>
      </c>
      <c r="C118" s="92">
        <v>1</v>
      </c>
      <c r="D118" s="92">
        <v>8</v>
      </c>
      <c r="E118" s="92">
        <v>0</v>
      </c>
      <c r="F118" s="32">
        <f>ROUND(Costs!$B$3*B118+Costs!$B$4*C118+Costs!$B$5*D118+Costs!$B$6*E118,2)</f>
        <v>678.33</v>
      </c>
      <c r="G118" s="32" t="str">
        <f>Costs!$B$62</f>
        <v xml:space="preserve"> </v>
      </c>
      <c r="H118" s="32">
        <f>Costs!$B$16</f>
        <v>0</v>
      </c>
      <c r="I118" s="95" t="s">
        <v>677</v>
      </c>
      <c r="J118" s="96">
        <f>Universe!$C$2*4*0.85</f>
        <v>0</v>
      </c>
      <c r="K118" s="94">
        <f t="shared" si="45"/>
        <v>0</v>
      </c>
      <c r="L118" s="93">
        <f t="shared" si="46"/>
        <v>0</v>
      </c>
      <c r="M118" s="233" t="e">
        <f t="shared" si="47"/>
        <v>#DIV/0!</v>
      </c>
      <c r="N118" s="130">
        <f t="shared" si="48"/>
        <v>0</v>
      </c>
      <c r="O118" s="130">
        <f t="shared" si="49"/>
        <v>0</v>
      </c>
      <c r="P118" s="130">
        <f t="shared" si="50"/>
        <v>0</v>
      </c>
      <c r="Q118" s="188">
        <f>ROUND(((I118)*($B118+$C118+$D118+$E118))/(Universe!$C$6),2)</f>
        <v>0</v>
      </c>
      <c r="R118" s="188" t="e">
        <f>ROUND(((J118)*($B118+$C118+$D118+$E118))/(Universe!$C$2),2)</f>
        <v>#DIV/0!</v>
      </c>
      <c r="S118" s="235">
        <v>2</v>
      </c>
      <c r="U118" s="408">
        <f t="shared" si="51"/>
        <v>0</v>
      </c>
      <c r="V118" s="408">
        <f t="shared" si="52"/>
        <v>0</v>
      </c>
      <c r="W118" s="408">
        <f t="shared" si="53"/>
        <v>0</v>
      </c>
      <c r="X118" s="408" t="e">
        <f t="shared" si="54"/>
        <v>#DIV/0!</v>
      </c>
      <c r="AD118" s="162">
        <v>41276.400000000001</v>
      </c>
      <c r="AI118" s="162">
        <v>0</v>
      </c>
    </row>
    <row r="119" spans="1:35" ht="20.399999999999999" x14ac:dyDescent="0.2">
      <c r="A119" s="275" t="s">
        <v>200</v>
      </c>
      <c r="B119" s="92">
        <v>0</v>
      </c>
      <c r="C119" s="92">
        <v>2</v>
      </c>
      <c r="D119" s="92">
        <v>16</v>
      </c>
      <c r="E119" s="92">
        <v>0</v>
      </c>
      <c r="F119" s="32">
        <f>ROUND(Costs!$B$3*B119+Costs!$B$4*C119+Costs!$B$5*D119+Costs!$B$6*E119,2)</f>
        <v>1356.66</v>
      </c>
      <c r="G119" s="32" t="str">
        <f>Costs!$B$62</f>
        <v xml:space="preserve"> </v>
      </c>
      <c r="H119" s="32">
        <f>Costs!$B$16</f>
        <v>0</v>
      </c>
      <c r="I119" s="95" t="s">
        <v>677</v>
      </c>
      <c r="J119" s="96">
        <f>Universe!$C$2*0.85</f>
        <v>0</v>
      </c>
      <c r="K119" s="94">
        <f t="shared" si="45"/>
        <v>0</v>
      </c>
      <c r="L119" s="93">
        <f t="shared" si="46"/>
        <v>0</v>
      </c>
      <c r="M119" s="233" t="e">
        <f t="shared" si="47"/>
        <v>#DIV/0!</v>
      </c>
      <c r="N119" s="130">
        <f t="shared" si="48"/>
        <v>0</v>
      </c>
      <c r="O119" s="130">
        <f t="shared" si="49"/>
        <v>0</v>
      </c>
      <c r="P119" s="130">
        <f t="shared" si="50"/>
        <v>0</v>
      </c>
      <c r="Q119" s="188">
        <f>ROUND(((I119)*($B119+$C119+$D119+$E119))/(Universe!$C$6),2)</f>
        <v>0</v>
      </c>
      <c r="R119" s="188" t="e">
        <f>ROUND(((J119)*($B119+$C119+$D119+$E119))/(Universe!$C$2),2)</f>
        <v>#DIV/0!</v>
      </c>
      <c r="S119" s="235">
        <v>2</v>
      </c>
      <c r="U119" s="408">
        <f t="shared" si="51"/>
        <v>0</v>
      </c>
      <c r="V119" s="408">
        <f t="shared" si="52"/>
        <v>0</v>
      </c>
      <c r="W119" s="408">
        <f t="shared" si="53"/>
        <v>0</v>
      </c>
      <c r="X119" s="408" t="e">
        <f t="shared" si="54"/>
        <v>#DIV/0!</v>
      </c>
      <c r="AD119" s="162">
        <v>43084.800000000003</v>
      </c>
      <c r="AI119" s="162">
        <v>0</v>
      </c>
    </row>
    <row r="120" spans="1:35" ht="20.399999999999999" x14ac:dyDescent="0.2">
      <c r="A120" s="275" t="s">
        <v>26</v>
      </c>
      <c r="B120" s="92">
        <v>0</v>
      </c>
      <c r="C120" s="92">
        <v>0</v>
      </c>
      <c r="D120" s="92">
        <v>0.25</v>
      </c>
      <c r="E120" s="92">
        <v>0</v>
      </c>
      <c r="F120" s="32">
        <f>ROUND(Costs!$B$3*B120+Costs!$B$4*C120+Costs!$B$5*D120+Costs!$B$6*E120,2)</f>
        <v>18.149999999999999</v>
      </c>
      <c r="G120" s="32" t="str">
        <f>Costs!$B$62</f>
        <v xml:space="preserve"> </v>
      </c>
      <c r="H120" s="32">
        <f>Costs!$B$16</f>
        <v>0</v>
      </c>
      <c r="I120" s="95" t="s">
        <v>677</v>
      </c>
      <c r="J120" s="96">
        <v>0</v>
      </c>
      <c r="K120" s="94">
        <f t="shared" si="45"/>
        <v>0</v>
      </c>
      <c r="L120" s="93">
        <f t="shared" si="46"/>
        <v>0</v>
      </c>
      <c r="M120" s="233" t="e">
        <f t="shared" si="47"/>
        <v>#DIV/0!</v>
      </c>
      <c r="N120" s="130">
        <f t="shared" si="48"/>
        <v>0</v>
      </c>
      <c r="O120" s="130">
        <f t="shared" si="49"/>
        <v>0</v>
      </c>
      <c r="P120" s="130">
        <f t="shared" si="50"/>
        <v>0</v>
      </c>
      <c r="Q120" s="188">
        <f>ROUND(((I120)*($B120+$C120+$D120+$E120))/(Universe!$C$6),2)</f>
        <v>0</v>
      </c>
      <c r="R120" s="188" t="e">
        <f>ROUND(((J120)*($B120+$C120+$D120+$E120))/(Universe!$C$2),2)</f>
        <v>#DIV/0!</v>
      </c>
      <c r="S120" s="235">
        <v>2</v>
      </c>
      <c r="U120" s="408">
        <f t="shared" si="51"/>
        <v>0</v>
      </c>
      <c r="V120" s="408">
        <f t="shared" si="52"/>
        <v>0</v>
      </c>
      <c r="W120" s="408">
        <f t="shared" si="53"/>
        <v>0</v>
      </c>
      <c r="X120" s="408" t="e">
        <f t="shared" si="54"/>
        <v>#DIV/0!</v>
      </c>
      <c r="AD120" s="162">
        <v>10230476.370000001</v>
      </c>
      <c r="AI120" s="162">
        <v>0</v>
      </c>
    </row>
    <row r="121" spans="1:35" ht="20.399999999999999" x14ac:dyDescent="0.2">
      <c r="A121" s="275" t="s">
        <v>27</v>
      </c>
      <c r="B121" s="92">
        <v>0</v>
      </c>
      <c r="C121" s="92">
        <v>0</v>
      </c>
      <c r="D121" s="92">
        <v>0.5</v>
      </c>
      <c r="E121" s="92">
        <v>0</v>
      </c>
      <c r="F121" s="32">
        <f>ROUND(Costs!$B$3*B121+Costs!$B$4*C121+Costs!$B$5*D121+Costs!$B$6*E121,2)</f>
        <v>36.31</v>
      </c>
      <c r="G121" s="32" t="str">
        <f>Costs!$B$62</f>
        <v xml:space="preserve"> </v>
      </c>
      <c r="H121" s="32">
        <f>Costs!$B$16</f>
        <v>0</v>
      </c>
      <c r="I121" s="95" t="s">
        <v>677</v>
      </c>
      <c r="J121" s="96">
        <v>0</v>
      </c>
      <c r="K121" s="94">
        <f t="shared" si="45"/>
        <v>0</v>
      </c>
      <c r="L121" s="93">
        <f t="shared" si="46"/>
        <v>0</v>
      </c>
      <c r="M121" s="233" t="e">
        <f t="shared" si="47"/>
        <v>#DIV/0!</v>
      </c>
      <c r="N121" s="130">
        <f t="shared" si="48"/>
        <v>0</v>
      </c>
      <c r="O121" s="130">
        <f t="shared" si="49"/>
        <v>0</v>
      </c>
      <c r="P121" s="130">
        <f t="shared" si="50"/>
        <v>0</v>
      </c>
      <c r="Q121" s="188">
        <f>ROUND(((I121)*($B121+$C121+$D121+$E121))/(Universe!$C$6),2)</f>
        <v>0</v>
      </c>
      <c r="R121" s="188" t="e">
        <f>ROUND(((J121)*($B121+$C121+$D121+$E121))/(Universe!$C$2),2)</f>
        <v>#DIV/0!</v>
      </c>
      <c r="S121" s="235">
        <v>2</v>
      </c>
      <c r="U121" s="408">
        <f t="shared" si="51"/>
        <v>0</v>
      </c>
      <c r="V121" s="408">
        <f t="shared" si="52"/>
        <v>0</v>
      </c>
      <c r="W121" s="408">
        <f t="shared" si="53"/>
        <v>0</v>
      </c>
      <c r="X121" s="408" t="e">
        <f t="shared" si="54"/>
        <v>#DIV/0!</v>
      </c>
      <c r="AD121" s="162">
        <v>204859.2</v>
      </c>
      <c r="AI121" s="162">
        <v>0</v>
      </c>
    </row>
    <row r="122" spans="1:35" ht="20.399999999999999" x14ac:dyDescent="0.2">
      <c r="A122" s="275" t="s">
        <v>203</v>
      </c>
      <c r="B122" s="92">
        <v>0</v>
      </c>
      <c r="C122" s="92">
        <v>0</v>
      </c>
      <c r="D122" s="92">
        <v>0.5</v>
      </c>
      <c r="E122" s="92">
        <v>0</v>
      </c>
      <c r="F122" s="32">
        <f>ROUND(Costs!$B$3*B122+Costs!$B$4*C122+Costs!$B$5*D122+Costs!$B$6*E122,2)</f>
        <v>36.31</v>
      </c>
      <c r="G122" s="32" t="str">
        <f>Costs!$B$62</f>
        <v xml:space="preserve"> </v>
      </c>
      <c r="H122" s="32">
        <f>Costs!$B$17</f>
        <v>1.5</v>
      </c>
      <c r="I122" s="95" t="s">
        <v>677</v>
      </c>
      <c r="J122" s="96">
        <v>0</v>
      </c>
      <c r="K122" s="94">
        <f t="shared" si="45"/>
        <v>0</v>
      </c>
      <c r="L122" s="93">
        <f t="shared" si="46"/>
        <v>0</v>
      </c>
      <c r="M122" s="233" t="e">
        <f t="shared" si="47"/>
        <v>#DIV/0!</v>
      </c>
      <c r="N122" s="130">
        <f t="shared" si="48"/>
        <v>0</v>
      </c>
      <c r="O122" s="130">
        <f t="shared" si="49"/>
        <v>0</v>
      </c>
      <c r="P122" s="130">
        <f t="shared" si="50"/>
        <v>0</v>
      </c>
      <c r="Q122" s="188">
        <f>ROUND(((I122)*($B122+$C122+$D122+$E122))/(Universe!$C$6),2)</f>
        <v>0</v>
      </c>
      <c r="R122" s="188" t="e">
        <f>ROUND(((J122)*($B122+$C122+$D122+$E122))/(Universe!$C$2),2)</f>
        <v>#DIV/0!</v>
      </c>
      <c r="S122" s="235">
        <v>2</v>
      </c>
      <c r="U122" s="408">
        <f t="shared" si="51"/>
        <v>0</v>
      </c>
      <c r="V122" s="408">
        <f t="shared" si="52"/>
        <v>0</v>
      </c>
      <c r="W122" s="408">
        <f t="shared" si="53"/>
        <v>0</v>
      </c>
      <c r="X122" s="408" t="e">
        <f t="shared" si="54"/>
        <v>#DIV/0!</v>
      </c>
      <c r="AD122" s="162">
        <v>903.8</v>
      </c>
      <c r="AI122" s="162">
        <v>0</v>
      </c>
    </row>
    <row r="123" spans="1:35" ht="61.2" x14ac:dyDescent="0.2">
      <c r="A123" s="275" t="s">
        <v>28</v>
      </c>
      <c r="B123" s="92">
        <v>0</v>
      </c>
      <c r="C123" s="92">
        <v>83</v>
      </c>
      <c r="D123" s="92">
        <f>4*Universe!C30</f>
        <v>0</v>
      </c>
      <c r="E123" s="92">
        <v>0</v>
      </c>
      <c r="F123" s="32">
        <f>ROUND(Costs!$B$3*B123+Costs!$B$4*C123+Costs!$B$5*D123+Costs!$B$6*E123,2)</f>
        <v>8088.35</v>
      </c>
      <c r="G123" s="93">
        <f>Costs!B63</f>
        <v>30769.23076923077</v>
      </c>
      <c r="H123" s="93">
        <f>Costs!B30</f>
        <v>37200</v>
      </c>
      <c r="I123" s="95" t="s">
        <v>677</v>
      </c>
      <c r="J123" s="96">
        <f>Universe!$C$2*0.85</f>
        <v>0</v>
      </c>
      <c r="K123" s="94">
        <f t="shared" si="45"/>
        <v>0</v>
      </c>
      <c r="L123" s="93">
        <f t="shared" si="46"/>
        <v>0</v>
      </c>
      <c r="M123" s="233" t="e">
        <f t="shared" si="47"/>
        <v>#DIV/0!</v>
      </c>
      <c r="N123" s="130">
        <f t="shared" si="48"/>
        <v>0</v>
      </c>
      <c r="O123" s="130">
        <f>G123*(I123+J123)</f>
        <v>0</v>
      </c>
      <c r="P123" s="130">
        <f t="shared" si="50"/>
        <v>0</v>
      </c>
      <c r="Q123" s="188">
        <f>ROUND(((I123)*($B123+$C123+$D123+$E123))/(Universe!$C$6),2)</f>
        <v>0</v>
      </c>
      <c r="R123" s="188" t="e">
        <f>ROUND(((J123)*($B123+$C123+$D123+$E123))/(Universe!$C$2),2)</f>
        <v>#DIV/0!</v>
      </c>
      <c r="S123" s="235">
        <v>2</v>
      </c>
      <c r="U123" s="408">
        <f t="shared" si="51"/>
        <v>0</v>
      </c>
      <c r="V123" s="408">
        <f t="shared" si="52"/>
        <v>0</v>
      </c>
      <c r="W123" s="408">
        <f t="shared" si="53"/>
        <v>0</v>
      </c>
      <c r="X123" s="408" t="e">
        <f t="shared" si="54"/>
        <v>#DIV/0!</v>
      </c>
      <c r="AD123" s="162">
        <v>937.8</v>
      </c>
      <c r="AI123" s="162">
        <v>0</v>
      </c>
    </row>
    <row r="124" spans="1:35" ht="20.399999999999999" x14ac:dyDescent="0.2">
      <c r="A124" s="275" t="s">
        <v>29</v>
      </c>
      <c r="B124" s="92">
        <v>0</v>
      </c>
      <c r="C124" s="92">
        <v>0</v>
      </c>
      <c r="D124" s="92">
        <v>1.5</v>
      </c>
      <c r="E124" s="92">
        <v>0</v>
      </c>
      <c r="F124" s="32">
        <f>ROUND(Costs!$B$3*B124+Costs!$B$4*C124+Costs!$B$5*D124+Costs!$B$6*E124,2)</f>
        <v>108.92</v>
      </c>
      <c r="G124" s="32" t="str">
        <f>Costs!$B$62</f>
        <v xml:space="preserve"> </v>
      </c>
      <c r="H124" s="32">
        <f>Costs!$B$16</f>
        <v>0</v>
      </c>
      <c r="I124" s="95" t="s">
        <v>677</v>
      </c>
      <c r="J124" s="96">
        <f>(Universe!$C$2-J125)*52</f>
        <v>0</v>
      </c>
      <c r="K124" s="94">
        <f t="shared" si="45"/>
        <v>0</v>
      </c>
      <c r="L124" s="93">
        <f t="shared" si="46"/>
        <v>0</v>
      </c>
      <c r="M124" s="233" t="e">
        <f t="shared" si="47"/>
        <v>#DIV/0!</v>
      </c>
      <c r="N124" s="130">
        <f t="shared" si="48"/>
        <v>0</v>
      </c>
      <c r="O124" s="130">
        <f t="shared" si="49"/>
        <v>0</v>
      </c>
      <c r="P124" s="130">
        <f t="shared" si="50"/>
        <v>0</v>
      </c>
      <c r="Q124" s="188">
        <f>ROUND(((I124)*($B124+$C124+$D124+$E124))/(Universe!$C$6),2)</f>
        <v>0</v>
      </c>
      <c r="R124" s="188" t="e">
        <f>ROUND(((J124)*($B124+$C124+$D124+$E124))/(Universe!$C$2),2)</f>
        <v>#DIV/0!</v>
      </c>
      <c r="S124" s="235">
        <v>2</v>
      </c>
      <c r="U124" s="408">
        <f t="shared" si="51"/>
        <v>0</v>
      </c>
      <c r="V124" s="408">
        <f t="shared" si="52"/>
        <v>0</v>
      </c>
      <c r="W124" s="408">
        <f t="shared" si="53"/>
        <v>0</v>
      </c>
      <c r="X124" s="408" t="e">
        <f t="shared" si="54"/>
        <v>#DIV/0!</v>
      </c>
      <c r="AI124" s="162">
        <v>0</v>
      </c>
    </row>
    <row r="125" spans="1:35" ht="30.6" x14ac:dyDescent="0.2">
      <c r="A125" s="275" t="s">
        <v>30</v>
      </c>
      <c r="B125" s="92">
        <v>0</v>
      </c>
      <c r="C125" s="92">
        <v>0.5</v>
      </c>
      <c r="D125" s="92">
        <v>2</v>
      </c>
      <c r="E125" s="92">
        <v>0.5</v>
      </c>
      <c r="F125" s="32">
        <f>ROUND(Costs!$B$3*B125+Costs!$B$4*C125+Costs!$B$5*D125+Costs!$B$6*E125,2)</f>
        <v>215.78</v>
      </c>
      <c r="G125" s="32" t="str">
        <f>Costs!$B$62</f>
        <v xml:space="preserve"> </v>
      </c>
      <c r="H125" s="32">
        <f>Costs!$B$16</f>
        <v>0</v>
      </c>
      <c r="I125" s="95" t="s">
        <v>677</v>
      </c>
      <c r="J125" s="96">
        <f>ROUND(Universe!$C$2*0.1,0)</f>
        <v>0</v>
      </c>
      <c r="K125" s="94">
        <f t="shared" si="45"/>
        <v>0</v>
      </c>
      <c r="L125" s="93">
        <f t="shared" si="46"/>
        <v>0</v>
      </c>
      <c r="M125" s="233" t="e">
        <f t="shared" si="47"/>
        <v>#DIV/0!</v>
      </c>
      <c r="N125" s="130">
        <f t="shared" si="48"/>
        <v>0</v>
      </c>
      <c r="O125" s="130">
        <f t="shared" si="49"/>
        <v>0</v>
      </c>
      <c r="P125" s="130">
        <f t="shared" si="50"/>
        <v>0</v>
      </c>
      <c r="Q125" s="188">
        <f>ROUND(((I125)*($B125+$C125+$D125+$E125))/(Universe!$C$6),2)</f>
        <v>0</v>
      </c>
      <c r="R125" s="188" t="e">
        <f>ROUND(((J125)*($B125+$C125+$D125+$E125))/(Universe!$C$2),2)</f>
        <v>#DIV/0!</v>
      </c>
      <c r="S125" s="235">
        <v>1</v>
      </c>
      <c r="U125" s="408">
        <f t="shared" si="51"/>
        <v>0</v>
      </c>
      <c r="V125" s="408">
        <f t="shared" si="52"/>
        <v>0</v>
      </c>
      <c r="W125" s="408" t="e">
        <f t="shared" si="53"/>
        <v>#DIV/0!</v>
      </c>
      <c r="X125" s="408">
        <f t="shared" si="54"/>
        <v>0</v>
      </c>
      <c r="AD125" s="162">
        <v>190131.45</v>
      </c>
      <c r="AI125" s="162">
        <v>0</v>
      </c>
    </row>
    <row r="126" spans="1:35" ht="30.6" x14ac:dyDescent="0.2">
      <c r="A126" s="275" t="s">
        <v>31</v>
      </c>
      <c r="B126" s="92">
        <v>0</v>
      </c>
      <c r="C126" s="92">
        <v>0</v>
      </c>
      <c r="D126" s="92">
        <v>0.25</v>
      </c>
      <c r="E126" s="92">
        <v>0</v>
      </c>
      <c r="F126" s="32">
        <f>ROUND(Costs!$B$3*B126+Costs!$B$4*C126+Costs!$B$5*D126+Costs!$B$6*E126,2)</f>
        <v>18.149999999999999</v>
      </c>
      <c r="G126" s="32" t="str">
        <f>Costs!$B$62</f>
        <v xml:space="preserve"> </v>
      </c>
      <c r="H126" s="32">
        <f>Costs!$B$16</f>
        <v>0</v>
      </c>
      <c r="I126" s="95" t="s">
        <v>677</v>
      </c>
      <c r="J126" s="96">
        <f>J125*12</f>
        <v>0</v>
      </c>
      <c r="K126" s="94">
        <f t="shared" si="45"/>
        <v>0</v>
      </c>
      <c r="L126" s="93">
        <f t="shared" si="46"/>
        <v>0</v>
      </c>
      <c r="M126" s="233" t="e">
        <f t="shared" si="47"/>
        <v>#DIV/0!</v>
      </c>
      <c r="N126" s="130">
        <f t="shared" si="48"/>
        <v>0</v>
      </c>
      <c r="O126" s="130">
        <f t="shared" si="49"/>
        <v>0</v>
      </c>
      <c r="P126" s="130">
        <f t="shared" si="50"/>
        <v>0</v>
      </c>
      <c r="Q126" s="188">
        <f>ROUND(((I126)*($B126+$C126+$D126+$E126))/(Universe!$C$6),2)</f>
        <v>0</v>
      </c>
      <c r="R126" s="188" t="e">
        <f>ROUND(((J126)*($B126+$C126+$D126+$E126))/(Universe!$C$2),2)</f>
        <v>#DIV/0!</v>
      </c>
      <c r="S126" s="235">
        <v>2</v>
      </c>
      <c r="U126" s="408">
        <f t="shared" si="51"/>
        <v>0</v>
      </c>
      <c r="V126" s="408">
        <f t="shared" si="52"/>
        <v>0</v>
      </c>
      <c r="W126" s="408">
        <f t="shared" si="53"/>
        <v>0</v>
      </c>
      <c r="X126" s="408" t="e">
        <f t="shared" si="54"/>
        <v>#DIV/0!</v>
      </c>
      <c r="AI126" s="162">
        <v>0</v>
      </c>
    </row>
    <row r="127" spans="1:35" x14ac:dyDescent="0.2">
      <c r="A127" s="255" t="s">
        <v>264</v>
      </c>
      <c r="B127" s="256"/>
      <c r="C127" s="256"/>
      <c r="D127" s="256"/>
      <c r="E127" s="256"/>
      <c r="F127" s="257"/>
      <c r="G127" s="257"/>
      <c r="H127" s="257"/>
      <c r="I127" s="261"/>
      <c r="J127" s="261"/>
      <c r="K127" s="259"/>
      <c r="L127" s="262"/>
      <c r="M127" s="233"/>
      <c r="N127" s="130"/>
      <c r="O127" s="130"/>
      <c r="P127" s="130"/>
      <c r="Q127" s="240"/>
      <c r="R127" s="240"/>
      <c r="AD127" s="162">
        <f>SUM(AD58:AD126)</f>
        <v>12427572.860000001</v>
      </c>
      <c r="AI127" s="162">
        <v>0</v>
      </c>
    </row>
    <row r="128" spans="1:35" ht="21" thickBot="1" x14ac:dyDescent="0.25">
      <c r="A128" s="281" t="s">
        <v>32</v>
      </c>
      <c r="B128" s="282">
        <v>0</v>
      </c>
      <c r="C128" s="282">
        <v>2</v>
      </c>
      <c r="D128" s="282">
        <v>12</v>
      </c>
      <c r="E128" s="282">
        <v>104</v>
      </c>
      <c r="F128" s="191">
        <f>ROUND(Costs!$B$3*B128+Costs!$B$4*C128+Costs!$B$5*D128+Costs!$B$6*E128,2)</f>
        <v>5607.9</v>
      </c>
      <c r="G128" s="191" t="str">
        <f>Costs!$B$62</f>
        <v xml:space="preserve"> </v>
      </c>
      <c r="H128" s="191">
        <f>Costs!$B$17</f>
        <v>1.5</v>
      </c>
      <c r="I128" s="283" t="s">
        <v>677</v>
      </c>
      <c r="J128" s="284">
        <f>Universe!$C$2*0.85</f>
        <v>0</v>
      </c>
      <c r="K128" s="285">
        <f>ROUND((I128+J128)*(B128+C128+D128+E128),2)</f>
        <v>0</v>
      </c>
      <c r="L128" s="286">
        <f>(I128+J128)*SUM(F128:H128)</f>
        <v>0</v>
      </c>
      <c r="M128" s="233" t="e">
        <f>L128/(I128+J128)</f>
        <v>#DIV/0!</v>
      </c>
      <c r="N128" s="130">
        <f>F128*(I128+J128)</f>
        <v>0</v>
      </c>
      <c r="O128" s="130">
        <f>G128*(I128+J128)</f>
        <v>0</v>
      </c>
      <c r="P128" s="130">
        <f>H128*(I128+J128)</f>
        <v>0</v>
      </c>
      <c r="Q128" s="188">
        <f>ROUND(((I128)*($B128+$C128+$D128+$E128))/(Universe!$C$6),2)</f>
        <v>0</v>
      </c>
      <c r="R128" s="188" t="e">
        <f>ROUND(((J128)*($B128+$C128+$D128+$E128))/(Universe!$C$2),2)</f>
        <v>#DIV/0!</v>
      </c>
      <c r="S128" s="235">
        <v>2</v>
      </c>
      <c r="U128" s="408">
        <f>IF(S128=1,Q128,0)</f>
        <v>0</v>
      </c>
      <c r="V128" s="408">
        <f>IF(S128=2,Q128,0)</f>
        <v>0</v>
      </c>
      <c r="W128" s="408">
        <f>IF(S128=1,R128,0)</f>
        <v>0</v>
      </c>
      <c r="X128" s="408" t="e">
        <f>IF(S128=2,R128,0)</f>
        <v>#DIV/0!</v>
      </c>
      <c r="AI128" s="162">
        <v>0</v>
      </c>
    </row>
    <row r="129" spans="1:35" ht="10.8" thickBot="1" x14ac:dyDescent="0.25">
      <c r="A129" s="293" t="s">
        <v>596</v>
      </c>
      <c r="B129" s="201" t="s">
        <v>597</v>
      </c>
      <c r="C129" s="201" t="s">
        <v>597</v>
      </c>
      <c r="D129" s="201" t="s">
        <v>597</v>
      </c>
      <c r="E129" s="201" t="s">
        <v>597</v>
      </c>
      <c r="F129" s="201" t="s">
        <v>597</v>
      </c>
      <c r="G129" s="201" t="s">
        <v>597</v>
      </c>
      <c r="H129" s="201" t="s">
        <v>597</v>
      </c>
      <c r="I129" s="202" t="s">
        <v>597</v>
      </c>
      <c r="J129" s="202" t="s">
        <v>597</v>
      </c>
      <c r="K129" s="229">
        <f>SUM(K61:K128)</f>
        <v>0</v>
      </c>
      <c r="L129" s="294">
        <f>SUM(L60:L128)</f>
        <v>0</v>
      </c>
      <c r="M129" s="236" t="s">
        <v>597</v>
      </c>
      <c r="N129" s="229">
        <f>SUM(N61:N128)</f>
        <v>0</v>
      </c>
      <c r="O129" s="229">
        <f>SUM(O61:O128)</f>
        <v>0</v>
      </c>
      <c r="P129" s="229">
        <f>SUM(P61:P128)</f>
        <v>0</v>
      </c>
      <c r="Q129" s="240"/>
      <c r="R129" s="240"/>
      <c r="U129" s="229">
        <f>SUM(U61:U128)</f>
        <v>0</v>
      </c>
      <c r="V129" s="229">
        <f>SUM(V61:V128)</f>
        <v>0</v>
      </c>
      <c r="W129" s="229" t="e">
        <f>SUM(W61:W128)</f>
        <v>#DIV/0!</v>
      </c>
      <c r="X129" s="229" t="e">
        <f>SUM(X61:X128)</f>
        <v>#DIV/0!</v>
      </c>
    </row>
    <row r="130" spans="1:35" x14ac:dyDescent="0.2">
      <c r="A130" s="297" t="s">
        <v>376</v>
      </c>
      <c r="B130" s="298"/>
      <c r="C130" s="298"/>
      <c r="D130" s="298"/>
      <c r="E130" s="298"/>
      <c r="F130" s="299"/>
      <c r="G130" s="299"/>
      <c r="H130" s="299"/>
      <c r="I130" s="300"/>
      <c r="J130" s="300"/>
      <c r="K130" s="301"/>
      <c r="L130" s="302"/>
      <c r="M130" s="233"/>
      <c r="N130" s="130"/>
      <c r="O130" s="130"/>
      <c r="P130" s="130"/>
      <c r="Q130" s="240"/>
      <c r="R130" s="240"/>
      <c r="AI130" s="162">
        <v>0</v>
      </c>
    </row>
    <row r="131" spans="1:35" x14ac:dyDescent="0.2">
      <c r="A131" s="275" t="s">
        <v>610</v>
      </c>
      <c r="B131" s="92">
        <v>0</v>
      </c>
      <c r="C131" s="92">
        <v>0.25</v>
      </c>
      <c r="D131" s="92">
        <v>0.5</v>
      </c>
      <c r="E131" s="92">
        <v>0</v>
      </c>
      <c r="F131" s="32">
        <f>ROUND(Costs!$B$3*B131+Costs!$B$4*C131+Costs!$B$5*D131+Costs!$B$6*E131,2)</f>
        <v>60.67</v>
      </c>
      <c r="G131" s="32" t="str">
        <f>Costs!$B$62</f>
        <v xml:space="preserve"> </v>
      </c>
      <c r="H131" s="32">
        <f>Costs!$B$16</f>
        <v>0</v>
      </c>
      <c r="I131" s="283" t="s">
        <v>677</v>
      </c>
      <c r="J131" s="96">
        <f>ROUND((0.25*Universe!C8)/3,0)</f>
        <v>0</v>
      </c>
      <c r="K131" s="94">
        <f>ROUND((I131+J131)*(B131+C131+D131+E131),2)</f>
        <v>0</v>
      </c>
      <c r="L131" s="93">
        <f>(I131+J131)*SUM(F131:H131)</f>
        <v>0</v>
      </c>
      <c r="M131" s="233" t="e">
        <f>L131/(I131+J131)</f>
        <v>#DIV/0!</v>
      </c>
      <c r="N131" s="130">
        <f>F131*(I131+J131)</f>
        <v>0</v>
      </c>
      <c r="O131" s="130">
        <f>G131*(I131+J131)</f>
        <v>0</v>
      </c>
      <c r="P131" s="130">
        <f>H131*(I131+J131)</f>
        <v>0</v>
      </c>
      <c r="Q131" s="188">
        <f>ROUND(((I131)*($B131+$C131+$D131+$E131))/(Universe!$C$6),2)</f>
        <v>0</v>
      </c>
      <c r="R131" s="188" t="e">
        <f>ROUND(((J131)*($B131+$C131+$D131+$E131))/(Universe!$C$2),2)</f>
        <v>#DIV/0!</v>
      </c>
      <c r="S131" s="235">
        <v>2</v>
      </c>
      <c r="U131" s="408">
        <f>IF(S131=1,Q131,0)</f>
        <v>0</v>
      </c>
      <c r="V131" s="408">
        <f>IF(S131=2,Q131,0)</f>
        <v>0</v>
      </c>
      <c r="W131" s="408">
        <f>IF(S131=1,R131,0)</f>
        <v>0</v>
      </c>
      <c r="X131" s="408" t="e">
        <f>IF(S131=2,R131,0)</f>
        <v>#DIV/0!</v>
      </c>
      <c r="AI131" s="162">
        <v>0</v>
      </c>
    </row>
    <row r="132" spans="1:35" ht="21" thickBot="1" x14ac:dyDescent="0.25">
      <c r="A132" s="281" t="s">
        <v>33</v>
      </c>
      <c r="B132" s="282">
        <v>0</v>
      </c>
      <c r="C132" s="282">
        <v>2</v>
      </c>
      <c r="D132" s="282">
        <v>20</v>
      </c>
      <c r="E132" s="282">
        <v>2</v>
      </c>
      <c r="F132" s="191">
        <f>ROUND(Costs!$B$3*B132+Costs!$B$4*C132+Costs!$B$5*D132+Costs!$B$6*E132,2)</f>
        <v>1734.44</v>
      </c>
      <c r="G132" s="191" t="str">
        <f>Costs!$B$62</f>
        <v xml:space="preserve"> </v>
      </c>
      <c r="H132" s="191">
        <f>Costs!$B$19</f>
        <v>4.4000000000000004</v>
      </c>
      <c r="I132" s="283" t="s">
        <v>677</v>
      </c>
      <c r="J132" s="284">
        <f>J131</f>
        <v>0</v>
      </c>
      <c r="K132" s="285">
        <f>ROUND((I132+J132)*(B132+C132+D132+E132),2)</f>
        <v>0</v>
      </c>
      <c r="L132" s="286">
        <f>(I132+J132)*SUM(F132:H132)</f>
        <v>0</v>
      </c>
      <c r="M132" s="233" t="e">
        <f>L132/(I132+J132)</f>
        <v>#DIV/0!</v>
      </c>
      <c r="N132" s="130">
        <f>F132*(I132+J132)</f>
        <v>0</v>
      </c>
      <c r="O132" s="130">
        <f>G132*(I132+J132)</f>
        <v>0</v>
      </c>
      <c r="P132" s="130">
        <f>H132*(I132+J132)</f>
        <v>0</v>
      </c>
      <c r="Q132" s="188">
        <f>ROUND(((I132)*($B132+$C132+$D132+$E132))/(Universe!$C$6),2)</f>
        <v>0</v>
      </c>
      <c r="R132" s="188">
        <f>ROUND(((J132)*($B132+$C132+$D132+$E132))/(Universe!$C$8),2)</f>
        <v>0</v>
      </c>
      <c r="S132" s="235">
        <v>1</v>
      </c>
      <c r="U132" s="408">
        <f>IF(S132=1,Q132,0)</f>
        <v>0</v>
      </c>
      <c r="V132" s="408">
        <f>IF(S132=2,Q132,0)</f>
        <v>0</v>
      </c>
      <c r="W132" s="408">
        <f>IF(S132=1,R132,0)</f>
        <v>0</v>
      </c>
      <c r="X132" s="408">
        <f>IF(S132=2,R132,0)</f>
        <v>0</v>
      </c>
      <c r="AA132" s="557" t="str">
        <f>I132</f>
        <v>N/A</v>
      </c>
      <c r="AB132" s="557">
        <f>J132</f>
        <v>0</v>
      </c>
      <c r="AI132" s="162">
        <v>0</v>
      </c>
    </row>
    <row r="133" spans="1:35" ht="10.8" thickBot="1" x14ac:dyDescent="0.25">
      <c r="A133" s="536" t="s">
        <v>596</v>
      </c>
      <c r="B133" s="219" t="s">
        <v>597</v>
      </c>
      <c r="C133" s="219" t="s">
        <v>597</v>
      </c>
      <c r="D133" s="219" t="s">
        <v>597</v>
      </c>
      <c r="E133" s="219" t="s">
        <v>597</v>
      </c>
      <c r="F133" s="219" t="s">
        <v>597</v>
      </c>
      <c r="G133" s="219" t="s">
        <v>597</v>
      </c>
      <c r="H133" s="219" t="s">
        <v>597</v>
      </c>
      <c r="I133" s="220" t="s">
        <v>597</v>
      </c>
      <c r="J133" s="220" t="s">
        <v>597</v>
      </c>
      <c r="K133" s="537">
        <f>SUM(K131:K132)</f>
        <v>0</v>
      </c>
      <c r="L133" s="538">
        <f>SUM(L131:L132)</f>
        <v>0</v>
      </c>
      <c r="M133" s="233" t="e">
        <f>ROUND(SUM(M131:M132),2)</f>
        <v>#DIV/0!</v>
      </c>
      <c r="N133" s="304">
        <f>SUM(N131:N132)</f>
        <v>0</v>
      </c>
      <c r="O133" s="304">
        <f>SUM(O131:O132)</f>
        <v>0</v>
      </c>
      <c r="P133" s="304">
        <f>SUM(P131:P132)</f>
        <v>0</v>
      </c>
      <c r="Q133" s="240"/>
      <c r="R133" s="240"/>
      <c r="U133" s="304">
        <f>SUM(U131:U132)</f>
        <v>0</v>
      </c>
      <c r="V133" s="304">
        <f>SUM(V131:V132)</f>
        <v>0</v>
      </c>
      <c r="W133" s="304">
        <f>SUM(W131:W132)</f>
        <v>0</v>
      </c>
      <c r="X133" s="304" t="e">
        <f>SUM(X131:X132)</f>
        <v>#DIV/0!</v>
      </c>
      <c r="AI133" s="162">
        <v>0</v>
      </c>
    </row>
    <row r="134" spans="1:35" x14ac:dyDescent="0.2">
      <c r="A134" s="266" t="s">
        <v>265</v>
      </c>
      <c r="B134" s="539"/>
      <c r="C134" s="539"/>
      <c r="D134" s="539"/>
      <c r="E134" s="539"/>
      <c r="F134" s="267"/>
      <c r="G134" s="267"/>
      <c r="H134" s="267"/>
      <c r="I134" s="540"/>
      <c r="J134" s="540"/>
      <c r="K134" s="541"/>
      <c r="L134" s="268"/>
      <c r="M134" s="233"/>
      <c r="N134" s="130"/>
      <c r="O134" s="130"/>
      <c r="P134" s="130"/>
      <c r="Q134" s="240"/>
      <c r="R134" s="240"/>
      <c r="AI134" s="162">
        <v>0</v>
      </c>
    </row>
    <row r="135" spans="1:35" x14ac:dyDescent="0.2">
      <c r="A135" s="275" t="s">
        <v>610</v>
      </c>
      <c r="B135" s="92">
        <v>0</v>
      </c>
      <c r="C135" s="92">
        <v>0.5</v>
      </c>
      <c r="D135" s="92">
        <v>1</v>
      </c>
      <c r="E135" s="92">
        <v>0</v>
      </c>
      <c r="F135" s="32">
        <f>ROUND(Costs!$B$3*B135+Costs!$B$4*C135+Costs!$B$5*D135+Costs!$B$6*E135,2)</f>
        <v>121.34</v>
      </c>
      <c r="G135" s="32" t="str">
        <f>Costs!$B$62</f>
        <v xml:space="preserve"> </v>
      </c>
      <c r="H135" s="32">
        <f>Costs!$B$16</f>
        <v>0</v>
      </c>
      <c r="I135" s="95" t="s">
        <v>677</v>
      </c>
      <c r="J135" s="96">
        <f>Universe!$C$32</f>
        <v>0</v>
      </c>
      <c r="K135" s="94">
        <f>ROUND((I135+J135)*(B135+C135+D135+E135),2)</f>
        <v>0</v>
      </c>
      <c r="L135" s="93">
        <f>(I135+J135)*SUM(F135:H135)</f>
        <v>0</v>
      </c>
      <c r="M135" s="233" t="e">
        <f>L135/(I135+J135)</f>
        <v>#DIV/0!</v>
      </c>
      <c r="N135" s="130">
        <f>F135*(I135+J135)</f>
        <v>0</v>
      </c>
      <c r="O135" s="130">
        <f>G135*(I135+J135)</f>
        <v>0</v>
      </c>
      <c r="P135" s="130">
        <f>H135*(I135+J135)</f>
        <v>0</v>
      </c>
      <c r="Q135" s="188">
        <f>ROUND(((I135)*($B135+$C135+$D135+$E135))/(Universe!$C$6),2)</f>
        <v>0</v>
      </c>
      <c r="R135" s="188" t="e">
        <f>ROUND(((J135)*($B135+$C135+$D135+$E135))/(Universe!$C$2),2)</f>
        <v>#DIV/0!</v>
      </c>
      <c r="S135" s="235">
        <v>2</v>
      </c>
      <c r="U135" s="408">
        <f>IF(S135=1,Q135,0)</f>
        <v>0</v>
      </c>
      <c r="V135" s="408">
        <f>IF(S135=2,Q135,0)</f>
        <v>0</v>
      </c>
      <c r="W135" s="408">
        <f>IF(S135=1,R135,0)</f>
        <v>0</v>
      </c>
      <c r="X135" s="408" t="e">
        <f>IF(S135=2,R135,0)</f>
        <v>#DIV/0!</v>
      </c>
      <c r="AI135" s="162">
        <v>0</v>
      </c>
    </row>
    <row r="136" spans="1:35" ht="31.2" thickBot="1" x14ac:dyDescent="0.25">
      <c r="A136" s="281" t="s">
        <v>554</v>
      </c>
      <c r="B136" s="282">
        <v>0</v>
      </c>
      <c r="C136" s="282">
        <v>2</v>
      </c>
      <c r="D136" s="282">
        <v>30</v>
      </c>
      <c r="E136" s="282">
        <v>2</v>
      </c>
      <c r="F136" s="191">
        <f>ROUND(Costs!$B$3*B136+Costs!$B$4*C136+Costs!$B$5*D136+Costs!$B$6*E136,2)</f>
        <v>2460.54</v>
      </c>
      <c r="G136" s="191" t="str">
        <f>Costs!$B$62</f>
        <v xml:space="preserve"> </v>
      </c>
      <c r="H136" s="191">
        <f>Costs!$B$19</f>
        <v>4.4000000000000004</v>
      </c>
      <c r="I136" s="283" t="s">
        <v>677</v>
      </c>
      <c r="J136" s="284">
        <f>Universe!$C$32</f>
        <v>0</v>
      </c>
      <c r="K136" s="285">
        <f>ROUND((I136+J136)*(B136+C136+D136+E136),2)</f>
        <v>0</v>
      </c>
      <c r="L136" s="286">
        <f>(I136+J136)*SUM(F136:H136)</f>
        <v>0</v>
      </c>
      <c r="M136" s="233" t="e">
        <f>L136/(I136+J136)</f>
        <v>#DIV/0!</v>
      </c>
      <c r="N136" s="130">
        <f>F136*(I136+J136)</f>
        <v>0</v>
      </c>
      <c r="O136" s="130">
        <f>G136*(I136+J136)</f>
        <v>0</v>
      </c>
      <c r="P136" s="130">
        <f>H136*(I136+J136)</f>
        <v>0</v>
      </c>
      <c r="Q136" s="188">
        <f>ROUND(((I136)*($B136+$C136+$D136+$E136))/(Universe!$C$6),2)</f>
        <v>0</v>
      </c>
      <c r="R136" s="188" t="e">
        <f>ROUND(((J136)*($B136+$C136+$D136+$E136))/(Universe!$C$2),2)</f>
        <v>#DIV/0!</v>
      </c>
      <c r="S136" s="235">
        <v>1</v>
      </c>
      <c r="U136" s="408">
        <f>IF(S136=1,Q136,0)</f>
        <v>0</v>
      </c>
      <c r="V136" s="408">
        <f>IF(S136=2,Q136,0)</f>
        <v>0</v>
      </c>
      <c r="W136" s="408" t="e">
        <f>IF(S136=1,R136,0)</f>
        <v>#DIV/0!</v>
      </c>
      <c r="X136" s="408">
        <f>IF(S136=2,R136,0)</f>
        <v>0</v>
      </c>
      <c r="AA136" s="557" t="str">
        <f>I136</f>
        <v>N/A</v>
      </c>
      <c r="AB136" s="557">
        <f>J136</f>
        <v>0</v>
      </c>
      <c r="AI136" s="162">
        <v>0</v>
      </c>
    </row>
    <row r="137" spans="1:35" ht="10.8" thickBot="1" x14ac:dyDescent="0.25">
      <c r="A137" s="293" t="s">
        <v>596</v>
      </c>
      <c r="B137" s="201" t="s">
        <v>597</v>
      </c>
      <c r="C137" s="201" t="s">
        <v>597</v>
      </c>
      <c r="D137" s="201" t="s">
        <v>597</v>
      </c>
      <c r="E137" s="201" t="s">
        <v>597</v>
      </c>
      <c r="F137" s="201" t="s">
        <v>597</v>
      </c>
      <c r="G137" s="201" t="s">
        <v>597</v>
      </c>
      <c r="H137" s="201" t="s">
        <v>597</v>
      </c>
      <c r="I137" s="202" t="s">
        <v>597</v>
      </c>
      <c r="J137" s="202" t="s">
        <v>597</v>
      </c>
      <c r="K137" s="303">
        <f>SUM(K135:K136)</f>
        <v>0</v>
      </c>
      <c r="L137" s="294">
        <f>SUM(L135:L136)</f>
        <v>0</v>
      </c>
      <c r="M137" s="233" t="e">
        <f>ROUND(SUM(M135:M136),2)</f>
        <v>#DIV/0!</v>
      </c>
      <c r="N137" s="303">
        <f>SUM(N135:N136)</f>
        <v>0</v>
      </c>
      <c r="O137" s="303">
        <f>SUM(O135:O136)</f>
        <v>0</v>
      </c>
      <c r="P137" s="303">
        <f>SUM(P135:P136)</f>
        <v>0</v>
      </c>
      <c r="Q137" s="240"/>
      <c r="R137" s="240"/>
      <c r="U137" s="303">
        <f>SUM(U135:U136)</f>
        <v>0</v>
      </c>
      <c r="V137" s="303">
        <f>SUM(V135:V136)</f>
        <v>0</v>
      </c>
      <c r="W137" s="303" t="e">
        <f>SUM(W135:W136)</f>
        <v>#DIV/0!</v>
      </c>
      <c r="X137" s="303" t="e">
        <f>SUM(X135:X136)</f>
        <v>#DIV/0!</v>
      </c>
      <c r="AI137" s="162">
        <v>0</v>
      </c>
    </row>
    <row r="138" spans="1:35" x14ac:dyDescent="0.2">
      <c r="A138" s="297" t="s">
        <v>266</v>
      </c>
      <c r="B138" s="298"/>
      <c r="C138" s="298"/>
      <c r="D138" s="298"/>
      <c r="E138" s="298"/>
      <c r="F138" s="299"/>
      <c r="G138" s="299"/>
      <c r="H138" s="299"/>
      <c r="I138" s="300"/>
      <c r="J138" s="300"/>
      <c r="K138" s="301"/>
      <c r="L138" s="302"/>
      <c r="M138" s="233"/>
      <c r="N138" s="130"/>
      <c r="O138" s="130"/>
      <c r="P138" s="130"/>
      <c r="Q138" s="240"/>
      <c r="R138" s="240"/>
      <c r="AI138" s="162">
        <v>0</v>
      </c>
    </row>
    <row r="139" spans="1:35" x14ac:dyDescent="0.2">
      <c r="A139" s="275" t="s">
        <v>610</v>
      </c>
      <c r="B139" s="92">
        <v>0</v>
      </c>
      <c r="C139" s="92">
        <v>0.5</v>
      </c>
      <c r="D139" s="92">
        <v>1</v>
      </c>
      <c r="E139" s="92">
        <v>0</v>
      </c>
      <c r="F139" s="32">
        <f>ROUND(Costs!$B$3*B139+Costs!$B$4*C139+Costs!$B$5*D139+Costs!$B$6*E139,2)</f>
        <v>121.34</v>
      </c>
      <c r="G139" s="32" t="str">
        <f>Costs!$B$62</f>
        <v xml:space="preserve"> </v>
      </c>
      <c r="H139" s="32">
        <f>Costs!$B$16</f>
        <v>0</v>
      </c>
      <c r="I139" s="96">
        <f>ROUND(((Universe!$C$6)*0.3)/3,0)</f>
        <v>4</v>
      </c>
      <c r="J139" s="96">
        <f>ROUND((Universe!$C$2*0.3)/3,0)</f>
        <v>0</v>
      </c>
      <c r="K139" s="94">
        <f t="shared" ref="K139:K145" si="55">ROUND((I139+J139)*(B139+C139+D139+E139),2)</f>
        <v>6</v>
      </c>
      <c r="L139" s="93">
        <f t="shared" ref="L139:L145" si="56">(I139+J139)*SUM(F139:H139)</f>
        <v>485.36</v>
      </c>
      <c r="M139" s="233">
        <f>ROUND((B139*Costs!$B$3)+(C139*Costs!$B$4)+(D139*Costs!$B$5)+(E139*Costs!$B$6)+(G139+H139),2)</f>
        <v>121.34</v>
      </c>
      <c r="N139" s="130">
        <f t="shared" ref="N139:N145" si="57">F139*(I139+J139)</f>
        <v>485.36</v>
      </c>
      <c r="O139" s="130">
        <f t="shared" ref="O139:O145" si="58">G139*(I139+J139)</f>
        <v>0</v>
      </c>
      <c r="P139" s="130">
        <f t="shared" ref="P139:P145" si="59">H139*(I139+J139)</f>
        <v>0</v>
      </c>
      <c r="Q139" s="188">
        <f>ROUND(((I139)*($B139+$C139+$D139+$E139))/(Universe!$C$6),2)</f>
        <v>0.17</v>
      </c>
      <c r="R139" s="188" t="e">
        <f>ROUND(((J139)*($B139+$C139+$D139+$E139))/(Universe!$C$2),2)</f>
        <v>#DIV/0!</v>
      </c>
      <c r="S139" s="235">
        <v>2</v>
      </c>
      <c r="U139" s="408">
        <f t="shared" ref="U139:U145" si="60">IF(S139=1,Q139,0)</f>
        <v>0</v>
      </c>
      <c r="V139" s="408">
        <f t="shared" ref="V139:V145" si="61">IF(S139=2,Q139,0)</f>
        <v>0.17</v>
      </c>
      <c r="W139" s="408">
        <f t="shared" ref="W139:W145" si="62">IF(S139=1,R139,0)</f>
        <v>0</v>
      </c>
      <c r="X139" s="408" t="e">
        <f t="shared" ref="X139:X145" si="63">IF(S139=2,R139,0)</f>
        <v>#DIV/0!</v>
      </c>
      <c r="AI139" s="162">
        <v>0</v>
      </c>
    </row>
    <row r="140" spans="1:35" ht="20.399999999999999" x14ac:dyDescent="0.2">
      <c r="A140" s="275" t="s">
        <v>34</v>
      </c>
      <c r="B140" s="92">
        <v>0</v>
      </c>
      <c r="C140" s="92">
        <v>2</v>
      </c>
      <c r="D140" s="92">
        <v>8</v>
      </c>
      <c r="E140" s="92">
        <v>1</v>
      </c>
      <c r="F140" s="32">
        <f>ROUND(Costs!$B$3*B140+Costs!$B$4*C140+Costs!$B$5*D140+Costs!$B$6*E140,2)</f>
        <v>819.45</v>
      </c>
      <c r="G140" s="32" t="str">
        <f>Costs!$B$62</f>
        <v xml:space="preserve"> </v>
      </c>
      <c r="H140" s="32">
        <f>Costs!$B$16</f>
        <v>0</v>
      </c>
      <c r="I140" s="95" t="s">
        <v>677</v>
      </c>
      <c r="J140" s="96">
        <f>ROUND((Universe!$C$2*0.3)/3,0)</f>
        <v>0</v>
      </c>
      <c r="K140" s="94">
        <f t="shared" si="55"/>
        <v>0</v>
      </c>
      <c r="L140" s="93">
        <f t="shared" si="56"/>
        <v>0</v>
      </c>
      <c r="M140" s="233">
        <f>ROUND((B140*Costs!$B$3)+(C140*Costs!$B$4)+(D140*Costs!$B$5)+(E140*Costs!$B$6)+(G140+H140),2)</f>
        <v>819.45</v>
      </c>
      <c r="N140" s="130">
        <f t="shared" si="57"/>
        <v>0</v>
      </c>
      <c r="O140" s="130">
        <f t="shared" si="58"/>
        <v>0</v>
      </c>
      <c r="P140" s="130">
        <f t="shared" si="59"/>
        <v>0</v>
      </c>
      <c r="Q140" s="188">
        <f>ROUND(((I140)*($B140+$C140+$D140+$E140))/(Universe!$C$6),2)</f>
        <v>0</v>
      </c>
      <c r="R140" s="188" t="e">
        <f>ROUND(((J140)*($B140+$C140+$D140+$E140))/(Universe!$C$2),2)</f>
        <v>#DIV/0!</v>
      </c>
      <c r="S140" s="235">
        <v>2</v>
      </c>
      <c r="U140" s="408">
        <f t="shared" si="60"/>
        <v>0</v>
      </c>
      <c r="V140" s="408">
        <f t="shared" si="61"/>
        <v>0</v>
      </c>
      <c r="W140" s="408">
        <f t="shared" si="62"/>
        <v>0</v>
      </c>
      <c r="X140" s="408" t="e">
        <f t="shared" si="63"/>
        <v>#DIV/0!</v>
      </c>
      <c r="AI140" s="162">
        <v>0</v>
      </c>
    </row>
    <row r="141" spans="1:35" ht="20.399999999999999" x14ac:dyDescent="0.2">
      <c r="A141" s="275" t="s">
        <v>35</v>
      </c>
      <c r="B141" s="92">
        <v>0</v>
      </c>
      <c r="C141" s="92">
        <v>0.25</v>
      </c>
      <c r="D141" s="92">
        <v>4</v>
      </c>
      <c r="E141" s="92">
        <v>0.25</v>
      </c>
      <c r="F141" s="32">
        <f>ROUND(Costs!$B$3*B141+Costs!$B$4*C141+Costs!$B$5*D141+Costs!$B$6*E141,2)</f>
        <v>325.72000000000003</v>
      </c>
      <c r="G141" s="32" t="str">
        <f>Costs!$B$62</f>
        <v xml:space="preserve"> </v>
      </c>
      <c r="H141" s="32">
        <f>Costs!$B$19</f>
        <v>4.4000000000000004</v>
      </c>
      <c r="I141" s="95" t="s">
        <v>677</v>
      </c>
      <c r="J141" s="96">
        <f>ROUND((Universe!$C$2*0.3)/3,0)</f>
        <v>0</v>
      </c>
      <c r="K141" s="94">
        <f t="shared" si="55"/>
        <v>0</v>
      </c>
      <c r="L141" s="93">
        <f t="shared" si="56"/>
        <v>0</v>
      </c>
      <c r="M141" s="233">
        <f>ROUND((B141*Costs!$B$3)+(C141*Costs!$B$4)+(D141*Costs!$B$5)+(E141*Costs!$B$6)+(G141+H141),2)</f>
        <v>330.12</v>
      </c>
      <c r="N141" s="130">
        <f t="shared" si="57"/>
        <v>0</v>
      </c>
      <c r="O141" s="130">
        <f t="shared" si="58"/>
        <v>0</v>
      </c>
      <c r="P141" s="130">
        <f t="shared" si="59"/>
        <v>0</v>
      </c>
      <c r="Q141" s="188">
        <f>ROUND(((I141)*($B141+$C141+$D141+$E141))/(Universe!$C$6),2)</f>
        <v>0</v>
      </c>
      <c r="R141" s="188" t="e">
        <f>ROUND(((J141)*($B141+$C141+$D141+$E141))/(Universe!$C$2),2)</f>
        <v>#DIV/0!</v>
      </c>
      <c r="S141" s="235">
        <v>2</v>
      </c>
      <c r="U141" s="408">
        <f t="shared" si="60"/>
        <v>0</v>
      </c>
      <c r="V141" s="408">
        <f t="shared" si="61"/>
        <v>0</v>
      </c>
      <c r="W141" s="408">
        <f t="shared" si="62"/>
        <v>0</v>
      </c>
      <c r="X141" s="408" t="e">
        <f t="shared" si="63"/>
        <v>#DIV/0!</v>
      </c>
      <c r="AI141" s="162">
        <v>0</v>
      </c>
    </row>
    <row r="142" spans="1:35" ht="20.399999999999999" x14ac:dyDescent="0.2">
      <c r="A142" s="275" t="s">
        <v>36</v>
      </c>
      <c r="B142" s="92">
        <v>0</v>
      </c>
      <c r="C142" s="92">
        <v>2</v>
      </c>
      <c r="D142" s="92">
        <v>8</v>
      </c>
      <c r="E142" s="92">
        <v>1</v>
      </c>
      <c r="F142" s="32">
        <f>ROUND(Costs!$B$3*B142+Costs!$B$4*C142+Costs!$B$5*D142+Costs!$B$6*E142,2)</f>
        <v>819.45</v>
      </c>
      <c r="G142" s="32" t="str">
        <f>Costs!$B$62</f>
        <v xml:space="preserve"> </v>
      </c>
      <c r="H142" s="32">
        <f>Costs!$B$16</f>
        <v>0</v>
      </c>
      <c r="I142" s="95" t="s">
        <v>677</v>
      </c>
      <c r="J142" s="96">
        <f>ROUND((Universe!$C$2*0.3)*0.2/3,0)</f>
        <v>0</v>
      </c>
      <c r="K142" s="94">
        <f t="shared" si="55"/>
        <v>0</v>
      </c>
      <c r="L142" s="93">
        <f t="shared" si="56"/>
        <v>0</v>
      </c>
      <c r="M142" s="233">
        <f>ROUND((B142*Costs!$B$3)+(C142*Costs!$B$4)+(D142*Costs!$B$5)+(E142*Costs!$B$6)+(G142+H142),2)</f>
        <v>819.45</v>
      </c>
      <c r="N142" s="130">
        <f t="shared" si="57"/>
        <v>0</v>
      </c>
      <c r="O142" s="130">
        <f t="shared" si="58"/>
        <v>0</v>
      </c>
      <c r="P142" s="130">
        <f t="shared" si="59"/>
        <v>0</v>
      </c>
      <c r="Q142" s="188">
        <f>ROUND(((I142)*($B142+$C142+$D142+$E142))/(Universe!$C$6),2)</f>
        <v>0</v>
      </c>
      <c r="R142" s="188" t="e">
        <f>ROUND(((J142)*($B142+$C142+$D142+$E142))/(Universe!$C$2),2)</f>
        <v>#DIV/0!</v>
      </c>
      <c r="S142" s="235">
        <v>2</v>
      </c>
      <c r="U142" s="408">
        <f t="shared" si="60"/>
        <v>0</v>
      </c>
      <c r="V142" s="408">
        <f t="shared" si="61"/>
        <v>0</v>
      </c>
      <c r="W142" s="408">
        <f t="shared" si="62"/>
        <v>0</v>
      </c>
      <c r="X142" s="408" t="e">
        <f t="shared" si="63"/>
        <v>#DIV/0!</v>
      </c>
    </row>
    <row r="143" spans="1:35" ht="20.399999999999999" x14ac:dyDescent="0.2">
      <c r="A143" s="275" t="s">
        <v>37</v>
      </c>
      <c r="B143" s="92">
        <v>0</v>
      </c>
      <c r="C143" s="92">
        <v>0</v>
      </c>
      <c r="D143" s="92">
        <v>8</v>
      </c>
      <c r="E143" s="92">
        <v>0.25</v>
      </c>
      <c r="F143" s="32">
        <f>ROUND(Costs!$B$3*B143+Costs!$B$4*C143+Costs!$B$5*D143+Costs!$B$6*E143,2)</f>
        <v>591.79999999999995</v>
      </c>
      <c r="G143" s="32" t="str">
        <f>Costs!$B$62</f>
        <v xml:space="preserve"> </v>
      </c>
      <c r="H143" s="32">
        <f>Costs!$B$19</f>
        <v>4.4000000000000004</v>
      </c>
      <c r="I143" s="95" t="s">
        <v>677</v>
      </c>
      <c r="J143" s="96">
        <f>ROUND((Universe!$C$2*0.3)*0.2/3,0)</f>
        <v>0</v>
      </c>
      <c r="K143" s="94">
        <f t="shared" si="55"/>
        <v>0</v>
      </c>
      <c r="L143" s="93">
        <f t="shared" si="56"/>
        <v>0</v>
      </c>
      <c r="M143" s="233">
        <f>ROUND((B143*Costs!$B$3)+(C143*Costs!$B$4)+(D143*Costs!$B$5)+(E143*Costs!$B$6)+(G143+H143),2)</f>
        <v>596.20000000000005</v>
      </c>
      <c r="N143" s="130">
        <f t="shared" si="57"/>
        <v>0</v>
      </c>
      <c r="O143" s="130">
        <f t="shared" si="58"/>
        <v>0</v>
      </c>
      <c r="P143" s="130">
        <f t="shared" si="59"/>
        <v>0</v>
      </c>
      <c r="Q143" s="188">
        <f>ROUND(((I143)*($B143+$C143+$D143+$E143))/(Universe!$C$6),2)</f>
        <v>0</v>
      </c>
      <c r="R143" s="188" t="e">
        <f>ROUND(((J143)*($B143+$C143+$D143+$E143))/(Universe!$C$2),2)</f>
        <v>#DIV/0!</v>
      </c>
      <c r="S143" s="235">
        <v>2</v>
      </c>
      <c r="U143" s="408">
        <f t="shared" si="60"/>
        <v>0</v>
      </c>
      <c r="V143" s="408">
        <f t="shared" si="61"/>
        <v>0</v>
      </c>
      <c r="W143" s="408">
        <f t="shared" si="62"/>
        <v>0</v>
      </c>
      <c r="X143" s="408" t="e">
        <f t="shared" si="63"/>
        <v>#DIV/0!</v>
      </c>
      <c r="AI143" s="162">
        <v>24</v>
      </c>
    </row>
    <row r="144" spans="1:35" ht="20.399999999999999" x14ac:dyDescent="0.2">
      <c r="A144" s="275" t="s">
        <v>39</v>
      </c>
      <c r="B144" s="92">
        <v>0</v>
      </c>
      <c r="C144" s="92">
        <v>0</v>
      </c>
      <c r="D144" s="92">
        <v>495</v>
      </c>
      <c r="E144" s="92">
        <v>0</v>
      </c>
      <c r="F144" s="32">
        <f>ROUND(Costs!$B$3*B144+Costs!$B$4*C144+Costs!$B$5*D144+Costs!$B$6*E144,2)</f>
        <v>35941.949999999997</v>
      </c>
      <c r="G144" s="32" t="str">
        <f>Costs!$B$62</f>
        <v xml:space="preserve"> </v>
      </c>
      <c r="H144" s="32">
        <f>Costs!$B$16</f>
        <v>0</v>
      </c>
      <c r="I144" s="96">
        <f>ROUND(((Universe!$C$6)*0.1),0)</f>
        <v>4</v>
      </c>
      <c r="J144" s="96">
        <f>ROUND(Universe!$C$2*0.1,0)</f>
        <v>0</v>
      </c>
      <c r="K144" s="94">
        <f t="shared" si="55"/>
        <v>1980</v>
      </c>
      <c r="L144" s="93">
        <f t="shared" si="56"/>
        <v>143767.79999999999</v>
      </c>
      <c r="M144" s="233">
        <f>ROUND((B144*Costs!$B$3)+(C144*Costs!$B$4)+(D144*Costs!$B$5)+(E144*Costs!$B$6)+(G144+H144),2)</f>
        <v>35941.949999999997</v>
      </c>
      <c r="N144" s="130">
        <f t="shared" si="57"/>
        <v>143767.79999999999</v>
      </c>
      <c r="O144" s="130">
        <f t="shared" si="58"/>
        <v>0</v>
      </c>
      <c r="P144" s="130">
        <f t="shared" si="59"/>
        <v>0</v>
      </c>
      <c r="Q144" s="188">
        <f>ROUND(((I144)*($B144+$C144+$D144+$E144))/(Universe!$C$6),2)</f>
        <v>55</v>
      </c>
      <c r="R144" s="188" t="e">
        <f>ROUND(((J144)*($B144+$C144+$D144+$E144))/(Universe!$C$2),2)</f>
        <v>#DIV/0!</v>
      </c>
      <c r="S144" s="235">
        <v>2</v>
      </c>
      <c r="U144" s="408">
        <f t="shared" si="60"/>
        <v>0</v>
      </c>
      <c r="V144" s="408">
        <f t="shared" si="61"/>
        <v>55</v>
      </c>
      <c r="W144" s="408">
        <f t="shared" si="62"/>
        <v>0</v>
      </c>
      <c r="X144" s="408" t="e">
        <f t="shared" si="63"/>
        <v>#DIV/0!</v>
      </c>
      <c r="AI144" s="162">
        <v>400</v>
      </c>
    </row>
    <row r="145" spans="1:35" ht="21" thickBot="1" x14ac:dyDescent="0.25">
      <c r="A145" s="281" t="s">
        <v>377</v>
      </c>
      <c r="B145" s="282">
        <v>0</v>
      </c>
      <c r="C145" s="282">
        <v>0</v>
      </c>
      <c r="D145" s="282">
        <v>165</v>
      </c>
      <c r="E145" s="282">
        <v>165</v>
      </c>
      <c r="F145" s="191">
        <f>ROUND(Costs!$B$3*B145+Costs!$B$4*C145+Costs!$B$5*D145+Costs!$B$6*E145,2)</f>
        <v>19186.2</v>
      </c>
      <c r="G145" s="191" t="str">
        <f>Costs!$B$62</f>
        <v xml:space="preserve"> </v>
      </c>
      <c r="H145" s="191">
        <f>Costs!$B$17</f>
        <v>1.5</v>
      </c>
      <c r="I145" s="284">
        <f>ROUND(((Universe!$C$6)*0.1),0)</f>
        <v>4</v>
      </c>
      <c r="J145" s="284">
        <f>ROUND(Universe!$C$2*0.1,0)</f>
        <v>0</v>
      </c>
      <c r="K145" s="285">
        <f t="shared" si="55"/>
        <v>1320</v>
      </c>
      <c r="L145" s="286">
        <f t="shared" si="56"/>
        <v>76750.8</v>
      </c>
      <c r="M145" s="233">
        <f>ROUND((B145*Costs!$B$3)+(C145*Costs!$B$4)+(D145*Costs!$B$5)+(E145*Costs!$B$6)+(G145+H145),2)</f>
        <v>19187.7</v>
      </c>
      <c r="N145" s="130">
        <f t="shared" si="57"/>
        <v>76744.800000000003</v>
      </c>
      <c r="O145" s="130">
        <f t="shared" si="58"/>
        <v>0</v>
      </c>
      <c r="P145" s="130">
        <f t="shared" si="59"/>
        <v>6</v>
      </c>
      <c r="Q145" s="188">
        <f>ROUND(((I145)*($B145+$C145+$D145+$E145))/(Universe!$C$6),2)</f>
        <v>36.67</v>
      </c>
      <c r="R145" s="188" t="e">
        <f>ROUND(((J145)*($B145+$C145+$D145+$E145))/(Universe!$C$2),2)</f>
        <v>#DIV/0!</v>
      </c>
      <c r="S145" s="235">
        <v>2</v>
      </c>
      <c r="U145" s="408">
        <f t="shared" si="60"/>
        <v>0</v>
      </c>
      <c r="V145" s="408">
        <f t="shared" si="61"/>
        <v>36.67</v>
      </c>
      <c r="W145" s="408">
        <f t="shared" si="62"/>
        <v>0</v>
      </c>
      <c r="X145" s="408" t="e">
        <f t="shared" si="63"/>
        <v>#DIV/0!</v>
      </c>
    </row>
    <row r="146" spans="1:35" ht="10.8" thickBot="1" x14ac:dyDescent="0.25">
      <c r="A146" s="293" t="s">
        <v>596</v>
      </c>
      <c r="B146" s="201" t="s">
        <v>597</v>
      </c>
      <c r="C146" s="201" t="s">
        <v>597</v>
      </c>
      <c r="D146" s="201" t="s">
        <v>597</v>
      </c>
      <c r="E146" s="201" t="s">
        <v>597</v>
      </c>
      <c r="F146" s="201" t="s">
        <v>597</v>
      </c>
      <c r="G146" s="201" t="s">
        <v>597</v>
      </c>
      <c r="H146" s="201" t="s">
        <v>597</v>
      </c>
      <c r="I146" s="202" t="s">
        <v>597</v>
      </c>
      <c r="J146" s="202" t="s">
        <v>597</v>
      </c>
      <c r="K146" s="304">
        <f>SUM(K139:K145)</f>
        <v>3306</v>
      </c>
      <c r="L146" s="294">
        <f>SUM(L139:L145)</f>
        <v>221003.95999999996</v>
      </c>
      <c r="M146" s="233">
        <f>ROUND(SUM(M139:M145),2)</f>
        <v>57816.21</v>
      </c>
      <c r="N146" s="304">
        <f>SUM(N139:N145)</f>
        <v>220997.95999999996</v>
      </c>
      <c r="O146" s="304">
        <f>SUM(O139:O145)</f>
        <v>0</v>
      </c>
      <c r="P146" s="304">
        <f>SUM(P139:P145)</f>
        <v>6</v>
      </c>
      <c r="Q146" s="240"/>
      <c r="R146" s="240"/>
      <c r="U146" s="304">
        <f>SUM(U139:U145)</f>
        <v>0</v>
      </c>
      <c r="V146" s="304">
        <f>SUM(V139:V145)</f>
        <v>91.84</v>
      </c>
      <c r="W146" s="304">
        <f>SUM(W139:W145)</f>
        <v>0</v>
      </c>
      <c r="X146" s="304" t="e">
        <f>SUM(X139:X145)</f>
        <v>#DIV/0!</v>
      </c>
      <c r="AI146" s="162">
        <v>16.45</v>
      </c>
    </row>
    <row r="147" spans="1:35" x14ac:dyDescent="0.2">
      <c r="A147" s="297" t="s">
        <v>267</v>
      </c>
      <c r="B147" s="298"/>
      <c r="C147" s="298"/>
      <c r="D147" s="298"/>
      <c r="E147" s="298"/>
      <c r="F147" s="299"/>
      <c r="G147" s="299"/>
      <c r="H147" s="299"/>
      <c r="I147" s="300"/>
      <c r="J147" s="300"/>
      <c r="K147" s="301"/>
      <c r="L147" s="302"/>
      <c r="M147" s="233"/>
      <c r="N147" s="130"/>
      <c r="O147" s="130"/>
      <c r="P147" s="130"/>
      <c r="Q147" s="240"/>
      <c r="R147" s="240"/>
      <c r="AI147" s="162">
        <v>564</v>
      </c>
    </row>
    <row r="148" spans="1:35" x14ac:dyDescent="0.2">
      <c r="A148" s="275" t="s">
        <v>610</v>
      </c>
      <c r="B148" s="92">
        <v>0</v>
      </c>
      <c r="C148" s="92">
        <v>0.5</v>
      </c>
      <c r="D148" s="92">
        <v>1</v>
      </c>
      <c r="E148" s="92">
        <v>0</v>
      </c>
      <c r="F148" s="32">
        <f>ROUND(Costs!$B$3*B148+Costs!$B$4*C148+Costs!$B$5*D148+Costs!$B$6*E148,2)</f>
        <v>121.34</v>
      </c>
      <c r="G148" s="32" t="str">
        <f>Costs!$B$62</f>
        <v xml:space="preserve"> </v>
      </c>
      <c r="H148" s="32">
        <f>Costs!$B$16</f>
        <v>0</v>
      </c>
      <c r="I148" s="96">
        <f>Universe!C21+Universe!C23</f>
        <v>0</v>
      </c>
      <c r="J148" s="96">
        <f>ROUND(((Universe!$C$22+Universe!$C$24)),0)</f>
        <v>0</v>
      </c>
      <c r="K148" s="94">
        <f>ROUND((I148+J148)*(B148+C148+D148+E148),2)</f>
        <v>0</v>
      </c>
      <c r="L148" s="93">
        <f>(I148+J148)*SUM(F148:H148)</f>
        <v>0</v>
      </c>
      <c r="M148" s="233">
        <f>ROUND((B148*Costs!$B$3)+(C148*Costs!$B$4)+(D148*Costs!$B$5)+(E148*Costs!$B$6),2)</f>
        <v>121.34</v>
      </c>
      <c r="N148" s="130">
        <f>F148*(I148+J148)</f>
        <v>0</v>
      </c>
      <c r="O148" s="130">
        <f>G148*(I148+J148)</f>
        <v>0</v>
      </c>
      <c r="P148" s="130">
        <f>H148*(I148+J148)</f>
        <v>0</v>
      </c>
      <c r="Q148" s="188">
        <f>ROUND(((I148)*($B148+$C148+$D148+$E148))/(Universe!$C$6),2)</f>
        <v>0</v>
      </c>
      <c r="R148" s="188" t="e">
        <f>ROUND(((J148)*($B148+$C148+$D148+$E148))/(Universe!$C$2),2)</f>
        <v>#DIV/0!</v>
      </c>
      <c r="S148" s="235">
        <v>2</v>
      </c>
      <c r="U148" s="408">
        <f>IF(S148=1,Q148,0)</f>
        <v>0</v>
      </c>
      <c r="V148" s="408">
        <f>IF(S148=2,Q148,0)</f>
        <v>0</v>
      </c>
      <c r="W148" s="408">
        <f>IF(S148=1,R148,0)</f>
        <v>0</v>
      </c>
      <c r="X148" s="408" t="e">
        <f>IF(S148=2,R148,0)</f>
        <v>#DIV/0!</v>
      </c>
    </row>
    <row r="149" spans="1:35" x14ac:dyDescent="0.2">
      <c r="A149" s="266" t="s">
        <v>40</v>
      </c>
      <c r="B149" s="269"/>
      <c r="C149" s="269"/>
      <c r="D149" s="269"/>
      <c r="E149" s="269"/>
      <c r="F149" s="270"/>
      <c r="G149" s="270"/>
      <c r="H149" s="270"/>
      <c r="I149" s="271"/>
      <c r="J149" s="271"/>
      <c r="K149" s="272"/>
      <c r="L149" s="273"/>
      <c r="M149" s="234"/>
      <c r="AI149" s="162">
        <v>1.75</v>
      </c>
    </row>
    <row r="150" spans="1:35" x14ac:dyDescent="0.2">
      <c r="A150" s="275" t="s">
        <v>378</v>
      </c>
      <c r="B150" s="92">
        <v>0</v>
      </c>
      <c r="C150" s="92">
        <v>1</v>
      </c>
      <c r="D150" s="92">
        <v>12</v>
      </c>
      <c r="E150" s="92">
        <v>1</v>
      </c>
      <c r="F150" s="32">
        <f>ROUND(Costs!$B$3*B150+Costs!$B$4*C150+Costs!$B$5*D150+Costs!$B$6*E150,2)</f>
        <v>1012.44</v>
      </c>
      <c r="G150" s="32" t="str">
        <f>Costs!$B$62</f>
        <v xml:space="preserve"> </v>
      </c>
      <c r="H150" s="93">
        <f>Costs!B21</f>
        <v>1400</v>
      </c>
      <c r="I150" s="96">
        <f>Universe!C21*52</f>
        <v>0</v>
      </c>
      <c r="J150" s="96">
        <f>ROUND(((Universe!$C$22)*52),0)</f>
        <v>0</v>
      </c>
      <c r="K150" s="94">
        <f>ROUND((I150+J150)*(B150+C150+D150+E150),2)</f>
        <v>0</v>
      </c>
      <c r="L150" s="93">
        <f>(I150+J150)*SUM(F150:H150)</f>
        <v>0</v>
      </c>
      <c r="M150" s="233">
        <f>ROUND((B150*Costs!$B$3)+(C150*Costs!$B$4)+(D150*Costs!$B$5)+(E150*Costs!$B$6)+(G150+H150),2)</f>
        <v>2412.44</v>
      </c>
      <c r="N150" s="130">
        <f>F150*(I150+J150)</f>
        <v>0</v>
      </c>
      <c r="O150" s="130">
        <f>G150*(I150+J150)</f>
        <v>0</v>
      </c>
      <c r="P150" s="130">
        <f>H150*(I150+J150)</f>
        <v>0</v>
      </c>
      <c r="Q150" s="188">
        <f>ROUND(((I150)*($B150+$C150+$D150+$E150))/(Universe!$C$6),2)</f>
        <v>0</v>
      </c>
      <c r="R150" s="188" t="e">
        <f>ROUND(((J150)*($B150+$C150+$D150+$E150))/(Universe!$C$2),2)</f>
        <v>#DIV/0!</v>
      </c>
      <c r="S150" s="235">
        <v>1</v>
      </c>
      <c r="U150" s="408">
        <f>IF(S150=1,Q150,0)</f>
        <v>0</v>
      </c>
      <c r="V150" s="408">
        <f>IF(S150=2,Q150,0)</f>
        <v>0</v>
      </c>
      <c r="W150" s="408" t="e">
        <f>IF(S150=1,R150,0)</f>
        <v>#DIV/0!</v>
      </c>
      <c r="X150" s="408">
        <f>IF(S150=2,R150,0)</f>
        <v>0</v>
      </c>
      <c r="AI150" s="162">
        <v>22.5</v>
      </c>
    </row>
    <row r="151" spans="1:35" x14ac:dyDescent="0.2">
      <c r="A151" s="275" t="s">
        <v>379</v>
      </c>
      <c r="B151" s="92">
        <v>0</v>
      </c>
      <c r="C151" s="92">
        <v>1</v>
      </c>
      <c r="D151" s="92">
        <v>12</v>
      </c>
      <c r="E151" s="92">
        <v>1</v>
      </c>
      <c r="F151" s="32">
        <f>ROUND(Costs!$B$3*B151+Costs!$B$4*C151+Costs!$B$5*D151+Costs!$B$6*E151,2)</f>
        <v>1012.44</v>
      </c>
      <c r="G151" s="32" t="str">
        <f>Costs!$B$62</f>
        <v xml:space="preserve"> </v>
      </c>
      <c r="H151" s="93">
        <f>Costs!B21</f>
        <v>1400</v>
      </c>
      <c r="I151" s="96">
        <f>Universe!C23*12</f>
        <v>0</v>
      </c>
      <c r="J151" s="96">
        <f>ROUND(((Universe!$C$24)*12),0)</f>
        <v>0</v>
      </c>
      <c r="K151" s="94">
        <f>ROUND((I151+J151)*(B151+C151+D151+E151),2)</f>
        <v>0</v>
      </c>
      <c r="L151" s="93">
        <f>(I151+J151)*SUM(F151:H151)</f>
        <v>0</v>
      </c>
      <c r="M151" s="233">
        <f>ROUND((B151*Costs!$B$3)+(C151*Costs!$B$4)+(D151*Costs!$B$5)+(E151*Costs!$B$6)+(G151+H151),2)</f>
        <v>2412.44</v>
      </c>
      <c r="N151" s="130">
        <f>F151*(I151+J151)</f>
        <v>0</v>
      </c>
      <c r="O151" s="130">
        <f>G151*(I151+J151)</f>
        <v>0</v>
      </c>
      <c r="P151" s="130">
        <f>H151*(I151+J151)</f>
        <v>0</v>
      </c>
      <c r="Q151" s="188">
        <f>ROUND(((I151)*($B151+$C151+$D151+$E151))/(Universe!$C$6),2)</f>
        <v>0</v>
      </c>
      <c r="R151" s="188" t="e">
        <f>ROUND(((J151)*($B151+$C151+$D151+$E151))/(Universe!$C$2),2)</f>
        <v>#DIV/0!</v>
      </c>
      <c r="S151" s="235">
        <v>1</v>
      </c>
      <c r="U151" s="408">
        <f>IF(S151=1,Q151,0)</f>
        <v>0</v>
      </c>
      <c r="V151" s="408">
        <f>IF(S151=2,Q151,0)</f>
        <v>0</v>
      </c>
      <c r="W151" s="408" t="e">
        <f>IF(S151=1,R151,0)</f>
        <v>#DIV/0!</v>
      </c>
      <c r="X151" s="408">
        <f>IF(S151=2,R151,0)</f>
        <v>0</v>
      </c>
      <c r="AI151" s="162">
        <v>2.5</v>
      </c>
    </row>
    <row r="152" spans="1:35" s="160" customFormat="1" ht="30.6" x14ac:dyDescent="0.2">
      <c r="A152" s="374" t="s">
        <v>555</v>
      </c>
      <c r="B152" s="514">
        <v>0</v>
      </c>
      <c r="C152" s="515">
        <v>0</v>
      </c>
      <c r="D152" s="515">
        <v>0</v>
      </c>
      <c r="E152" s="515">
        <v>0</v>
      </c>
      <c r="F152" s="377">
        <f>ROUND(Costs!$B$3*B152+Costs!$B$4*C152+Costs!$B$5*D152+Costs!$B$6*E152,2)</f>
        <v>0</v>
      </c>
      <c r="G152" s="377" t="str">
        <f>Costs!$B$62</f>
        <v xml:space="preserve"> </v>
      </c>
      <c r="H152" s="516">
        <f>Costs!B28</f>
        <v>200</v>
      </c>
      <c r="I152" s="517">
        <v>364</v>
      </c>
      <c r="J152" s="517">
        <v>0</v>
      </c>
      <c r="K152" s="513">
        <f>ROUND((I152+J152)*(B152+C152+D152+E152),2)</f>
        <v>0</v>
      </c>
      <c r="L152" s="123">
        <f>(I152+J152)*SUM(F152:H152)</f>
        <v>72800</v>
      </c>
      <c r="M152" s="244"/>
      <c r="N152" s="130">
        <f>F152*(I152+J152)</f>
        <v>0</v>
      </c>
      <c r="O152" s="130">
        <f>G152*(I152+J152)</f>
        <v>0</v>
      </c>
      <c r="P152" s="130">
        <f>H152*(I152+J152)</f>
        <v>72800</v>
      </c>
      <c r="Q152" s="188">
        <f>ROUND(((I152)*($B152+$C152+$D152+$E152))/(Universe!$C$6),2)</f>
        <v>0</v>
      </c>
      <c r="R152" s="188" t="e">
        <f>ROUND(((J152)*($B152+$C152+$D152+$E152))/(Universe!$C$2),2)</f>
        <v>#DIV/0!</v>
      </c>
      <c r="U152" s="408">
        <f>IF(S152=1,Q152,0)</f>
        <v>0</v>
      </c>
      <c r="V152" s="408">
        <f>IF(S152=2,Q152,0)</f>
        <v>0</v>
      </c>
      <c r="W152" s="408">
        <f>IF(S152=1,R152,0)</f>
        <v>0</v>
      </c>
      <c r="X152" s="408">
        <f>IF(S152=2,R152,0)</f>
        <v>0</v>
      </c>
      <c r="AA152" s="171"/>
      <c r="AB152" s="171"/>
    </row>
    <row r="153" spans="1:35" ht="30.6" x14ac:dyDescent="0.2">
      <c r="A153" s="275" t="s">
        <v>41</v>
      </c>
      <c r="B153" s="92">
        <v>0</v>
      </c>
      <c r="C153" s="92">
        <v>1</v>
      </c>
      <c r="D153" s="92">
        <v>4</v>
      </c>
      <c r="E153" s="92">
        <v>1</v>
      </c>
      <c r="F153" s="32">
        <f>ROUND(Costs!$B$3*B153+Costs!$B$4*C153+Costs!$B$5*D153+Costs!$B$6*E153,2)</f>
        <v>431.56</v>
      </c>
      <c r="G153" s="32" t="str">
        <f>Costs!$B$62</f>
        <v xml:space="preserve"> </v>
      </c>
      <c r="H153" s="32">
        <f>Costs!$B$17</f>
        <v>1.5</v>
      </c>
      <c r="I153" s="95" t="s">
        <v>677</v>
      </c>
      <c r="J153" s="100">
        <f>ROUND((J148*0.1),0)</f>
        <v>0</v>
      </c>
      <c r="K153" s="94">
        <f>ROUND((I153+J153)*(B153+C153+D153+E153),2)</f>
        <v>0</v>
      </c>
      <c r="L153" s="93">
        <f>(I153+J153)*SUM(F153:H153)</f>
        <v>0</v>
      </c>
      <c r="M153" s="233">
        <f>ROUND((B153*Costs!$B$3)+(C153*Costs!$B$4)+(D153*Costs!$B$5)+(E153*Costs!$B$6)+(G153+H153),2)</f>
        <v>433.06</v>
      </c>
      <c r="N153" s="130">
        <f>F153*(I153+J153)</f>
        <v>0</v>
      </c>
      <c r="O153" s="130">
        <f>G153*(I153+J153)</f>
        <v>0</v>
      </c>
      <c r="P153" s="130">
        <f>H153*(I153+J153)</f>
        <v>0</v>
      </c>
      <c r="Q153" s="188">
        <f>ROUND(((I153)*($B153+$C153+$D153+$E153))/(Universe!$C$6),2)</f>
        <v>0</v>
      </c>
      <c r="R153" s="188" t="e">
        <f>ROUND(((J153)*($B153+$C153+$D153+$E153))/(Universe!$C$2),2)</f>
        <v>#DIV/0!</v>
      </c>
      <c r="S153" s="235">
        <v>1</v>
      </c>
      <c r="U153" s="408">
        <f>IF(S153=1,Q153,0)</f>
        <v>0</v>
      </c>
      <c r="V153" s="408">
        <f>IF(S153=2,Q153,0)</f>
        <v>0</v>
      </c>
      <c r="W153" s="408" t="e">
        <f>IF(S153=1,R153,0)</f>
        <v>#DIV/0!</v>
      </c>
      <c r="X153" s="408">
        <f>IF(S153=2,R153,0)</f>
        <v>0</v>
      </c>
      <c r="AI153" s="162">
        <v>16.45</v>
      </c>
    </row>
    <row r="154" spans="1:35" ht="30.6" x14ac:dyDescent="0.2">
      <c r="A154" s="275" t="s">
        <v>42</v>
      </c>
      <c r="B154" s="92">
        <v>0</v>
      </c>
      <c r="C154" s="92">
        <v>1</v>
      </c>
      <c r="D154" s="92">
        <v>4</v>
      </c>
      <c r="E154" s="92">
        <v>1</v>
      </c>
      <c r="F154" s="32">
        <f>ROUND(Costs!$B$3*B154+Costs!$B$4*C154+Costs!$B$5*D154+Costs!$B$6*E154,2)</f>
        <v>431.56</v>
      </c>
      <c r="G154" s="32" t="str">
        <f>Costs!$B$62</f>
        <v xml:space="preserve"> </v>
      </c>
      <c r="H154" s="32">
        <f>Costs!$B$19</f>
        <v>4.4000000000000004</v>
      </c>
      <c r="I154" s="95" t="s">
        <v>677</v>
      </c>
      <c r="J154" s="96">
        <f>ROUND((J148),0)</f>
        <v>0</v>
      </c>
      <c r="K154" s="94">
        <f>ROUND((I154+J154)*(B154+C154+D154+E154),2)</f>
        <v>0</v>
      </c>
      <c r="L154" s="93">
        <f>(I154+J154)*SUM(F154:H154)</f>
        <v>0</v>
      </c>
      <c r="M154" s="233">
        <f>ROUND((B154*Costs!$B$3)+(C154*Costs!$B$4)+(D154*Costs!$B$5)+(E154*Costs!$B$6)+(G154+H154),2)</f>
        <v>435.96</v>
      </c>
      <c r="N154" s="130">
        <f>F154*(I154+J154)</f>
        <v>0</v>
      </c>
      <c r="O154" s="130">
        <f>G154*(I154+J154)</f>
        <v>0</v>
      </c>
      <c r="P154" s="130">
        <f>H154*(I154+J154)</f>
        <v>0</v>
      </c>
      <c r="Q154" s="188">
        <f>ROUND(((I154)*($B154+$C154+$D154+$E154))/(Universe!$C$6),2)</f>
        <v>0</v>
      </c>
      <c r="R154" s="188" t="e">
        <f>ROUND(((J154)*($B154+$C154+$D154+$E154))/(Universe!$C$2),2)</f>
        <v>#DIV/0!</v>
      </c>
      <c r="S154" s="235">
        <v>1</v>
      </c>
      <c r="U154" s="408">
        <f>IF(S154=1,Q154,0)</f>
        <v>0</v>
      </c>
      <c r="V154" s="408">
        <f>IF(S154=2,Q154,0)</f>
        <v>0</v>
      </c>
      <c r="W154" s="408" t="e">
        <f>IF(S154=1,R154,0)</f>
        <v>#DIV/0!</v>
      </c>
      <c r="X154" s="408">
        <f>IF(S154=2,R154,0)</f>
        <v>0</v>
      </c>
      <c r="AA154" s="557" t="str">
        <f>I154</f>
        <v>N/A</v>
      </c>
      <c r="AB154" s="557">
        <f>J154</f>
        <v>0</v>
      </c>
      <c r="AI154" s="162">
        <v>16638</v>
      </c>
    </row>
    <row r="155" spans="1:35" x14ac:dyDescent="0.2">
      <c r="A155" s="266" t="s">
        <v>556</v>
      </c>
      <c r="B155" s="269"/>
      <c r="C155" s="269"/>
      <c r="D155" s="269"/>
      <c r="E155" s="269"/>
      <c r="F155" s="267"/>
      <c r="G155" s="267"/>
      <c r="H155" s="274"/>
      <c r="I155" s="271"/>
      <c r="J155" s="271"/>
      <c r="K155" s="272"/>
      <c r="L155" s="273"/>
      <c r="M155" s="234"/>
      <c r="AI155" s="162">
        <v>10</v>
      </c>
    </row>
    <row r="156" spans="1:35" x14ac:dyDescent="0.2">
      <c r="A156" s="275" t="s">
        <v>238</v>
      </c>
      <c r="B156" s="92">
        <v>0</v>
      </c>
      <c r="C156" s="92">
        <v>0</v>
      </c>
      <c r="D156" s="92">
        <v>0.1</v>
      </c>
      <c r="E156" s="92">
        <v>0.1</v>
      </c>
      <c r="F156" s="32">
        <f>ROUND(Costs!$B$3*B156+Costs!$B$4*C156+Costs!$B$5*D156+Costs!$B$6*E156,2)</f>
        <v>11.63</v>
      </c>
      <c r="G156" s="32" t="str">
        <f>Costs!$B$62</f>
        <v xml:space="preserve"> </v>
      </c>
      <c r="H156" s="32">
        <f>Costs!$B$17</f>
        <v>1.5</v>
      </c>
      <c r="I156" s="96">
        <f>(I150)</f>
        <v>0</v>
      </c>
      <c r="J156" s="96">
        <f>(J150)</f>
        <v>0</v>
      </c>
      <c r="K156" s="94">
        <f>ROUND((I156+J156)*(B156+C156+D156+E156),2)</f>
        <v>0</v>
      </c>
      <c r="L156" s="93">
        <f>(I156+J156)*SUM(F156:H156)</f>
        <v>0</v>
      </c>
      <c r="M156" s="233">
        <f>ROUND((B156*Costs!$B$3)+(C156*Costs!$B$4)+(D156*Costs!$B$5)+(E156*Costs!$B$6)+(G156+H156),2)</f>
        <v>13.13</v>
      </c>
      <c r="N156" s="130">
        <f>F156*(I156+J156)</f>
        <v>0</v>
      </c>
      <c r="O156" s="130">
        <f>G156*(I156+J156)</f>
        <v>0</v>
      </c>
      <c r="P156" s="130">
        <f>H156*(I156+J156)</f>
        <v>0</v>
      </c>
      <c r="Q156" s="188">
        <f>ROUND(((I156)*($B156+$C156+$D156+$E156))/(Universe!$C$6),2)</f>
        <v>0</v>
      </c>
      <c r="R156" s="188" t="e">
        <f>ROUND(((J156)*($B156+$C156+$D156+$E156))/(Universe!$C$2),2)</f>
        <v>#DIV/0!</v>
      </c>
      <c r="S156" s="235">
        <v>2</v>
      </c>
      <c r="U156" s="408">
        <f>IF(S156=1,Q156,0)</f>
        <v>0</v>
      </c>
      <c r="V156" s="408">
        <f>IF(S156=2,Q156,0)</f>
        <v>0</v>
      </c>
      <c r="W156" s="408">
        <f>IF(S156=1,R156,0)</f>
        <v>0</v>
      </c>
      <c r="X156" s="408" t="e">
        <f>IF(S156=2,R156,0)</f>
        <v>#DIV/0!</v>
      </c>
      <c r="AI156" s="162">
        <v>11.75</v>
      </c>
    </row>
    <row r="157" spans="1:35" ht="10.8" thickBot="1" x14ac:dyDescent="0.25">
      <c r="A157" s="281" t="s">
        <v>380</v>
      </c>
      <c r="B157" s="282">
        <v>0</v>
      </c>
      <c r="C157" s="282">
        <v>0</v>
      </c>
      <c r="D157" s="282">
        <v>0.1</v>
      </c>
      <c r="E157" s="282">
        <v>0.1</v>
      </c>
      <c r="F157" s="191">
        <f>ROUND(Costs!$B$3*B157+Costs!$B$4*C157+Costs!$B$5*D157+Costs!$B$6*E157,2)</f>
        <v>11.63</v>
      </c>
      <c r="G157" s="191" t="str">
        <f>Costs!$B$62</f>
        <v xml:space="preserve"> </v>
      </c>
      <c r="H157" s="191">
        <f>Costs!$B$17</f>
        <v>1.5</v>
      </c>
      <c r="I157" s="284">
        <f>(I151)</f>
        <v>0</v>
      </c>
      <c r="J157" s="284">
        <f>(J151)</f>
        <v>0</v>
      </c>
      <c r="K157" s="285">
        <f>ROUND((I157+J157)*(B157+C157+D157+E157),2)</f>
        <v>0</v>
      </c>
      <c r="L157" s="286">
        <f>(I157+J157)*SUM(F157:H157)</f>
        <v>0</v>
      </c>
      <c r="M157" s="233">
        <f>ROUND((B157*Costs!$B$3)+(C157*Costs!$B$4)+(D157*Costs!$B$5)+(E157*Costs!$B$6)+(G157+H157),2)</f>
        <v>13.13</v>
      </c>
      <c r="N157" s="130">
        <f>F157*(I157+J157)</f>
        <v>0</v>
      </c>
      <c r="O157" s="130">
        <f>G157*(I157+J157)</f>
        <v>0</v>
      </c>
      <c r="P157" s="130">
        <f>H157*(I157+J157)</f>
        <v>0</v>
      </c>
      <c r="Q157" s="188">
        <f>ROUND(((I157)*($B157+$C157+$D157+$E157))/(Universe!$C$6),2)</f>
        <v>0</v>
      </c>
      <c r="R157" s="188" t="e">
        <f>ROUND(((J157)*($B157+$C157+$D157+$E157))/(Universe!$C$2),2)</f>
        <v>#DIV/0!</v>
      </c>
      <c r="S157" s="235">
        <v>2</v>
      </c>
      <c r="U157" s="408">
        <f>IF(S157=1,Q157,0)</f>
        <v>0</v>
      </c>
      <c r="V157" s="408">
        <f>IF(S157=2,Q157,0)</f>
        <v>0</v>
      </c>
      <c r="W157" s="408">
        <f>IF(S157=1,R157,0)</f>
        <v>0</v>
      </c>
      <c r="X157" s="408" t="e">
        <f>IF(S157=2,R157,0)</f>
        <v>#DIV/0!</v>
      </c>
      <c r="AI157" s="162">
        <v>11.75</v>
      </c>
    </row>
    <row r="158" spans="1:35" ht="10.8" thickBot="1" x14ac:dyDescent="0.25">
      <c r="A158" s="305" t="s">
        <v>596</v>
      </c>
      <c r="B158" s="201" t="s">
        <v>597</v>
      </c>
      <c r="C158" s="201" t="s">
        <v>597</v>
      </c>
      <c r="D158" s="201" t="s">
        <v>597</v>
      </c>
      <c r="E158" s="201" t="s">
        <v>597</v>
      </c>
      <c r="F158" s="201" t="s">
        <v>597</v>
      </c>
      <c r="G158" s="201" t="s">
        <v>597</v>
      </c>
      <c r="H158" s="201" t="s">
        <v>597</v>
      </c>
      <c r="I158" s="202" t="s">
        <v>597</v>
      </c>
      <c r="J158" s="202" t="s">
        <v>597</v>
      </c>
      <c r="K158" s="304">
        <f>SUM(K148:K157)</f>
        <v>0</v>
      </c>
      <c r="L158" s="294">
        <f>SUM(L148:L157)</f>
        <v>72800</v>
      </c>
      <c r="M158" s="233">
        <f>ROUND(SUM(M148:M157),2)</f>
        <v>5841.5</v>
      </c>
      <c r="N158" s="304">
        <f>SUM(N148:N157)</f>
        <v>0</v>
      </c>
      <c r="O158" s="304">
        <f>SUM(O148:O157)</f>
        <v>0</v>
      </c>
      <c r="P158" s="304">
        <f>SUM(P148:P157)</f>
        <v>72800</v>
      </c>
      <c r="Q158" s="240"/>
      <c r="U158" s="304">
        <f>SUM(U148:U157)</f>
        <v>0</v>
      </c>
      <c r="V158" s="304">
        <f>SUM(V148:V157)</f>
        <v>0</v>
      </c>
      <c r="W158" s="304" t="e">
        <f>SUM(W148:W157)</f>
        <v>#DIV/0!</v>
      </c>
      <c r="X158" s="304" t="e">
        <f>SUM(X148:X157)</f>
        <v>#DIV/0!</v>
      </c>
      <c r="AI158" s="162">
        <v>11.75</v>
      </c>
    </row>
    <row r="159" spans="1:35" ht="10.8" thickBot="1" x14ac:dyDescent="0.25">
      <c r="A159" s="306" t="s">
        <v>567</v>
      </c>
      <c r="B159" s="201" t="s">
        <v>597</v>
      </c>
      <c r="C159" s="201" t="s">
        <v>597</v>
      </c>
      <c r="D159" s="201" t="s">
        <v>597</v>
      </c>
      <c r="E159" s="201" t="s">
        <v>597</v>
      </c>
      <c r="F159" s="201" t="s">
        <v>597</v>
      </c>
      <c r="G159" s="201" t="s">
        <v>597</v>
      </c>
      <c r="H159" s="201" t="s">
        <v>597</v>
      </c>
      <c r="I159" s="202" t="s">
        <v>597</v>
      </c>
      <c r="J159" s="202" t="s">
        <v>597</v>
      </c>
      <c r="K159" s="304">
        <f>K32+K58+K129+K133+K137+K146+K158</f>
        <v>26129.66</v>
      </c>
      <c r="L159" s="294">
        <f>L32+L58+L129+L133+L137+L146+L158</f>
        <v>4051064.8959999993</v>
      </c>
      <c r="M159" s="236" t="s">
        <v>597</v>
      </c>
      <c r="N159" s="304">
        <f>N32+N58+N129+N133+N137+N146+N158</f>
        <v>1838978.0160000001</v>
      </c>
      <c r="O159" s="304">
        <f>O32+O58+O129+O133+O137+O146+O158</f>
        <v>0</v>
      </c>
      <c r="P159" s="304">
        <f>P32+P58+P129+P133+P137+P146+P158</f>
        <v>2212086.88</v>
      </c>
      <c r="Q159" s="240"/>
      <c r="U159" s="304">
        <f>U32+U58+U129+U133+U137+U146+U158</f>
        <v>297.25000000000006</v>
      </c>
      <c r="V159" s="304">
        <f>V32+V58+V129+V133+V137+V146+V158</f>
        <v>438.31000000000006</v>
      </c>
      <c r="W159" s="304" t="e">
        <f>W32+W58+W129+W133+W137+W146+W158</f>
        <v>#DIV/0!</v>
      </c>
      <c r="X159" s="304" t="e">
        <f>X32+X58+X129+X133+X137+X146+X158</f>
        <v>#DIV/0!</v>
      </c>
      <c r="AI159" s="162">
        <v>282</v>
      </c>
    </row>
    <row r="160" spans="1:35" x14ac:dyDescent="0.2">
      <c r="B160" s="38"/>
      <c r="C160" s="38"/>
      <c r="D160" s="38"/>
      <c r="E160" s="38"/>
      <c r="F160" s="4"/>
      <c r="G160" s="4"/>
      <c r="H160" s="4"/>
      <c r="I160" s="7"/>
      <c r="J160" s="7"/>
      <c r="K160" s="41"/>
      <c r="L160" s="4"/>
      <c r="M160" s="130"/>
      <c r="N160" s="130"/>
      <c r="O160" s="130"/>
      <c r="P160" s="130"/>
      <c r="Q160" s="240"/>
      <c r="S160" s="235">
        <v>1</v>
      </c>
      <c r="AA160" s="557">
        <f>SUM(AA14:AA159)</f>
        <v>2</v>
      </c>
      <c r="AB160" s="557">
        <f>SUM(AB14:AB159)</f>
        <v>0</v>
      </c>
      <c r="AC160" s="162">
        <f>SUM(AA160:AB160)</f>
        <v>2</v>
      </c>
      <c r="AI160" s="162">
        <v>282</v>
      </c>
    </row>
    <row r="161" spans="2:35" x14ac:dyDescent="0.2">
      <c r="B161" s="38"/>
      <c r="C161" s="38"/>
      <c r="D161" s="38"/>
      <c r="E161" s="38"/>
      <c r="F161" s="4"/>
      <c r="G161" s="4"/>
      <c r="H161" s="4"/>
      <c r="I161" s="7"/>
      <c r="J161" s="7"/>
      <c r="K161" s="41"/>
      <c r="L161" s="4"/>
      <c r="M161" s="130"/>
      <c r="N161" s="130"/>
      <c r="O161" s="130"/>
      <c r="P161" s="130"/>
      <c r="Q161" s="240"/>
      <c r="S161" s="235">
        <v>2</v>
      </c>
      <c r="AI161" s="162">
        <v>282</v>
      </c>
    </row>
    <row r="162" spans="2:35" x14ac:dyDescent="0.2">
      <c r="B162" s="38"/>
      <c r="C162" s="38"/>
      <c r="D162" s="38"/>
      <c r="E162" s="38"/>
      <c r="F162" s="4"/>
      <c r="G162" s="4"/>
      <c r="H162" s="4"/>
      <c r="I162" s="7"/>
      <c r="J162" s="7"/>
      <c r="K162" s="41"/>
      <c r="L162" s="4"/>
      <c r="Q162" s="240"/>
      <c r="AI162" s="162">
        <v>20</v>
      </c>
    </row>
    <row r="163" spans="2:35" x14ac:dyDescent="0.2">
      <c r="B163" s="38"/>
      <c r="C163" s="38"/>
      <c r="D163" s="38"/>
      <c r="E163" s="38"/>
      <c r="F163" s="4"/>
      <c r="G163" s="4"/>
      <c r="H163" s="4"/>
      <c r="I163" s="7"/>
      <c r="J163" s="7"/>
      <c r="K163" s="41"/>
      <c r="L163" s="4"/>
      <c r="Q163" s="240"/>
      <c r="AI163" s="162">
        <v>0</v>
      </c>
    </row>
    <row r="164" spans="2:35" x14ac:dyDescent="0.2">
      <c r="B164" s="38"/>
      <c r="C164" s="38"/>
      <c r="D164" s="38"/>
      <c r="E164" s="38"/>
      <c r="F164" s="4"/>
      <c r="G164" s="4"/>
      <c r="H164" s="4"/>
      <c r="K164" s="41"/>
      <c r="Q164" s="240"/>
      <c r="AI164" s="162">
        <v>20</v>
      </c>
    </row>
    <row r="165" spans="2:35" x14ac:dyDescent="0.2">
      <c r="B165" s="38"/>
      <c r="Q165" s="240"/>
      <c r="AI165" s="162">
        <v>1692</v>
      </c>
    </row>
    <row r="166" spans="2:35" x14ac:dyDescent="0.2">
      <c r="B166" s="38"/>
      <c r="Q166" s="240"/>
      <c r="AI166" s="162">
        <v>846</v>
      </c>
    </row>
    <row r="167" spans="2:35" x14ac:dyDescent="0.2">
      <c r="AI167" s="162">
        <v>330</v>
      </c>
    </row>
    <row r="168" spans="2:35" x14ac:dyDescent="0.2">
      <c r="AI168" s="162">
        <v>660</v>
      </c>
    </row>
    <row r="169" spans="2:35" x14ac:dyDescent="0.2">
      <c r="AI169" s="162">
        <v>660</v>
      </c>
    </row>
    <row r="170" spans="2:35" x14ac:dyDescent="0.2">
      <c r="AI170" s="162">
        <v>65941</v>
      </c>
    </row>
    <row r="171" spans="2:35" x14ac:dyDescent="0.2">
      <c r="AI171" s="162">
        <v>3276</v>
      </c>
    </row>
    <row r="172" spans="2:35" x14ac:dyDescent="0.2">
      <c r="AI172" s="162">
        <v>15</v>
      </c>
    </row>
    <row r="173" spans="2:35" x14ac:dyDescent="0.2">
      <c r="Y173" s="239"/>
      <c r="AC173" s="239"/>
      <c r="AI173" s="162">
        <v>15</v>
      </c>
    </row>
    <row r="174" spans="2:35" x14ac:dyDescent="0.2">
      <c r="U174" s="239"/>
      <c r="Y174" s="239"/>
      <c r="AC174" s="239"/>
    </row>
    <row r="175" spans="2:35" x14ac:dyDescent="0.2">
      <c r="U175" s="239"/>
      <c r="Y175" s="239"/>
      <c r="AC175" s="239"/>
      <c r="AI175" s="162">
        <v>5546</v>
      </c>
    </row>
    <row r="176" spans="2:35" x14ac:dyDescent="0.2">
      <c r="U176" s="245"/>
      <c r="V176" s="245"/>
      <c r="W176" s="245"/>
      <c r="X176" s="245"/>
      <c r="Y176" s="245"/>
      <c r="Z176" s="245"/>
      <c r="AA176" s="246"/>
      <c r="AB176" s="246"/>
      <c r="AC176" s="245"/>
      <c r="AD176" s="245"/>
      <c r="AE176" s="245"/>
    </row>
    <row r="177" spans="21:35" x14ac:dyDescent="0.2">
      <c r="U177" s="245"/>
      <c r="V177" s="245"/>
      <c r="W177" s="245"/>
      <c r="X177" s="245"/>
      <c r="Y177" s="245"/>
      <c r="Z177" s="245"/>
      <c r="AA177" s="246"/>
      <c r="AB177" s="246"/>
      <c r="AC177" s="245"/>
      <c r="AD177" s="245"/>
      <c r="AE177" s="245"/>
    </row>
    <row r="178" spans="21:35" x14ac:dyDescent="0.2">
      <c r="U178" s="245"/>
      <c r="V178" s="245"/>
      <c r="W178" s="245"/>
      <c r="X178" s="245"/>
      <c r="Y178" s="245"/>
      <c r="Z178" s="245"/>
      <c r="AA178" s="246"/>
      <c r="AB178" s="246"/>
      <c r="AC178" s="245"/>
      <c r="AD178" s="245"/>
      <c r="AE178" s="245"/>
    </row>
    <row r="179" spans="21:35" x14ac:dyDescent="0.2">
      <c r="U179" s="245"/>
      <c r="V179" s="245"/>
      <c r="W179" s="245"/>
      <c r="X179" s="245"/>
      <c r="Y179" s="245"/>
      <c r="Z179" s="245"/>
      <c r="AA179" s="246"/>
      <c r="AB179" s="246"/>
      <c r="AC179" s="245"/>
      <c r="AD179" s="245"/>
      <c r="AE179" s="245"/>
      <c r="AI179" s="162">
        <f>SUM(AI108:AI178)</f>
        <v>100840.4</v>
      </c>
    </row>
    <row r="180" spans="21:35" x14ac:dyDescent="0.2">
      <c r="U180" s="246"/>
      <c r="V180" s="245"/>
      <c r="W180" s="245"/>
      <c r="X180" s="245"/>
      <c r="Y180" s="246"/>
      <c r="Z180" s="245"/>
      <c r="AA180" s="246"/>
      <c r="AB180" s="246"/>
      <c r="AC180" s="245"/>
      <c r="AD180" s="245"/>
      <c r="AE180" s="245"/>
    </row>
    <row r="181" spans="21:35" x14ac:dyDescent="0.2">
      <c r="U181" s="246"/>
      <c r="V181" s="245"/>
      <c r="W181" s="245"/>
      <c r="X181" s="245"/>
      <c r="Y181" s="246"/>
      <c r="Z181" s="245"/>
      <c r="AA181" s="246"/>
      <c r="AB181" s="246"/>
      <c r="AC181" s="245"/>
      <c r="AD181" s="245"/>
      <c r="AE181" s="245"/>
    </row>
    <row r="182" spans="21:35" x14ac:dyDescent="0.2">
      <c r="U182" s="246"/>
      <c r="V182" s="245"/>
      <c r="W182" s="245"/>
      <c r="X182" s="245"/>
      <c r="Y182" s="246"/>
      <c r="Z182" s="245"/>
      <c r="AA182" s="246"/>
      <c r="AB182" s="246"/>
      <c r="AC182" s="245"/>
      <c r="AD182" s="245"/>
      <c r="AE182" s="245"/>
    </row>
    <row r="183" spans="21:35" x14ac:dyDescent="0.2">
      <c r="U183" s="245"/>
      <c r="V183" s="245"/>
      <c r="W183" s="245"/>
      <c r="X183" s="245"/>
      <c r="Y183" s="245"/>
      <c r="Z183" s="245"/>
      <c r="AA183" s="246"/>
      <c r="AB183" s="246"/>
      <c r="AC183" s="245"/>
      <c r="AD183" s="245"/>
      <c r="AE183" s="245"/>
    </row>
    <row r="184" spans="21:35" x14ac:dyDescent="0.2">
      <c r="U184" s="245"/>
      <c r="V184" s="246"/>
      <c r="W184" s="245"/>
      <c r="X184" s="245"/>
      <c r="Y184" s="245"/>
      <c r="Z184" s="246"/>
      <c r="AA184" s="246"/>
      <c r="AB184" s="246"/>
      <c r="AC184" s="245"/>
      <c r="AD184" s="245"/>
      <c r="AE184" s="245"/>
    </row>
    <row r="185" spans="21:35" x14ac:dyDescent="0.2">
      <c r="U185" s="245"/>
      <c r="V185" s="246"/>
      <c r="W185" s="245"/>
      <c r="X185" s="246"/>
      <c r="Y185" s="245"/>
      <c r="Z185" s="246"/>
      <c r="AA185" s="246"/>
      <c r="AB185" s="246"/>
      <c r="AC185" s="245"/>
      <c r="AD185" s="245"/>
      <c r="AE185" s="245"/>
    </row>
    <row r="186" spans="21:35" x14ac:dyDescent="0.2">
      <c r="U186" s="245"/>
      <c r="V186" s="245"/>
      <c r="W186" s="245"/>
      <c r="X186" s="245"/>
      <c r="Y186" s="245"/>
      <c r="Z186" s="245"/>
      <c r="AA186" s="246"/>
      <c r="AB186" s="246"/>
      <c r="AC186" s="245"/>
      <c r="AD186" s="245"/>
      <c r="AE186" s="245"/>
    </row>
    <row r="187" spans="21:35" x14ac:dyDescent="0.2">
      <c r="U187" s="245"/>
      <c r="V187" s="245"/>
      <c r="W187" s="245"/>
      <c r="X187" s="245"/>
      <c r="Y187" s="245"/>
      <c r="Z187" s="245"/>
      <c r="AA187" s="246"/>
      <c r="AB187" s="246"/>
      <c r="AC187" s="245"/>
      <c r="AD187" s="245"/>
      <c r="AE187" s="245"/>
    </row>
    <row r="188" spans="21:35" x14ac:dyDescent="0.2">
      <c r="U188" s="245"/>
      <c r="V188" s="245"/>
      <c r="W188" s="245"/>
      <c r="X188" s="245"/>
      <c r="Y188" s="245"/>
      <c r="Z188" s="245"/>
      <c r="AA188" s="246"/>
      <c r="AB188" s="246"/>
      <c r="AC188" s="245"/>
      <c r="AD188" s="245"/>
      <c r="AE188" s="245"/>
    </row>
    <row r="189" spans="21:35" x14ac:dyDescent="0.2">
      <c r="U189" s="245"/>
      <c r="V189" s="245"/>
      <c r="W189" s="245"/>
      <c r="X189" s="245"/>
      <c r="Y189" s="245"/>
      <c r="Z189" s="245"/>
      <c r="AA189" s="246"/>
      <c r="AB189" s="246"/>
      <c r="AC189" s="245"/>
      <c r="AD189" s="245"/>
      <c r="AE189" s="245"/>
    </row>
    <row r="190" spans="21:35" x14ac:dyDescent="0.2">
      <c r="U190" s="240"/>
      <c r="V190" s="240"/>
      <c r="W190" s="243"/>
      <c r="X190" s="243"/>
      <c r="Y190" s="243"/>
      <c r="Z190" s="243"/>
      <c r="AA190" s="559"/>
      <c r="AB190" s="559"/>
      <c r="AC190" s="247"/>
      <c r="AD190" s="247"/>
    </row>
    <row r="191" spans="21:35" x14ac:dyDescent="0.2">
      <c r="U191" s="240"/>
      <c r="V191" s="240"/>
      <c r="W191" s="243"/>
      <c r="X191" s="243"/>
      <c r="Y191" s="243"/>
      <c r="Z191" s="243"/>
      <c r="AA191" s="559"/>
      <c r="AB191" s="559"/>
      <c r="AC191" s="247"/>
      <c r="AD191" s="247"/>
    </row>
    <row r="192" spans="21:35" x14ac:dyDescent="0.2">
      <c r="U192" s="240"/>
      <c r="V192" s="240"/>
    </row>
    <row r="193" spans="21:22" x14ac:dyDescent="0.2">
      <c r="U193" s="240"/>
      <c r="V193" s="240"/>
    </row>
    <row r="194" spans="21:22" x14ac:dyDescent="0.2">
      <c r="U194" s="240"/>
      <c r="V194" s="240"/>
    </row>
    <row r="195" spans="21:22" x14ac:dyDescent="0.2">
      <c r="U195" s="240"/>
      <c r="V195" s="240"/>
    </row>
    <row r="196" spans="21:22" x14ac:dyDescent="0.2">
      <c r="U196" s="240"/>
      <c r="V196" s="240"/>
    </row>
    <row r="197" spans="21:22" x14ac:dyDescent="0.2">
      <c r="U197" s="240"/>
      <c r="V197" s="240"/>
    </row>
  </sheetData>
  <phoneticPr fontId="8" type="noConversion"/>
  <printOptions horizontalCentered="1" gridLinesSet="0"/>
  <pageMargins left="0.1" right="0.1" top="0.5" bottom="0.5" header="0.5" footer="0.5"/>
  <pageSetup scale="67" orientation="landscape" r:id="rId1"/>
  <headerFooter alignWithMargins="0">
    <oddFooter>Page &amp;P of &amp;N</oddFooter>
  </headerFooter>
  <rowBreaks count="6" manualBreakCount="6">
    <brk id="38" max="11" man="1"/>
    <brk id="66" max="11" man="1"/>
    <brk id="102" max="11" man="1"/>
    <brk id="129" max="11" man="1"/>
    <brk id="225" max="65535" man="1"/>
    <brk id="335"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9CC4-B9D5-47D5-8FCE-50DD90DDD757}">
  <sheetPr syncVertical="1" syncRef="A106" transitionEvaluation="1" transitionEntry="1" codeName="Sheet8"/>
  <dimension ref="A1:AC367"/>
  <sheetViews>
    <sheetView showGridLines="0" zoomScaleNormal="100" workbookViewId="0">
      <pane ySplit="11" topLeftCell="A106" activePane="bottomLeft" state="frozen"/>
      <selection pane="bottomLeft" activeCell="AM112" sqref="AM112"/>
    </sheetView>
  </sheetViews>
  <sheetFormatPr defaultColWidth="9.7109375" defaultRowHeight="10.199999999999999" x14ac:dyDescent="0.2"/>
  <cols>
    <col min="1" max="1" width="48" customWidth="1"/>
    <col min="2" max="2" width="13.140625" customWidth="1"/>
    <col min="3" max="3" width="9.7109375" customWidth="1"/>
    <col min="4" max="4" width="9.28515625" customWidth="1"/>
    <col min="5" max="5" width="9.7109375" customWidth="1"/>
    <col min="6" max="6" width="12.7109375" customWidth="1"/>
    <col min="7" max="7" width="10.42578125" customWidth="1"/>
    <col min="8" max="8" width="13.28515625" style="29" customWidth="1"/>
    <col min="9" max="9" width="12.28515625" customWidth="1"/>
    <col min="10" max="10" width="10.85546875" style="45" customWidth="1"/>
    <col min="11" max="11" width="11.7109375" style="42" customWidth="1"/>
    <col min="12" max="12" width="16" customWidth="1"/>
    <col min="13" max="13" width="12.85546875" style="162" hidden="1" customWidth="1"/>
    <col min="14" max="14" width="16.85546875" style="162" hidden="1" customWidth="1"/>
    <col min="15" max="15" width="14.7109375" style="162" hidden="1" customWidth="1"/>
    <col min="16" max="17" width="15.85546875" style="162" hidden="1" customWidth="1"/>
    <col min="18" max="18" width="11.7109375" style="499" hidden="1" customWidth="1"/>
    <col min="19" max="19" width="13.7109375" style="499" hidden="1" customWidth="1"/>
    <col min="20" max="20" width="0" style="162" hidden="1" customWidth="1"/>
    <col min="21" max="21" width="13.7109375" style="162" hidden="1" customWidth="1"/>
    <col min="22" max="22" width="14.140625" style="162" hidden="1" customWidth="1"/>
    <col min="23" max="23" width="0" style="162" hidden="1" customWidth="1"/>
    <col min="24" max="24" width="9.7109375" style="162" hidden="1" customWidth="1"/>
    <col min="25" max="25" width="0" style="162" hidden="1" customWidth="1"/>
    <col min="26" max="26" width="10.42578125" style="162" hidden="1" customWidth="1"/>
    <col min="27" max="27" width="15" style="557" hidden="1" customWidth="1"/>
    <col min="28" max="28" width="9.7109375" style="557" hidden="1" customWidth="1"/>
    <col min="29" max="31" width="0" style="162" hidden="1" customWidth="1"/>
    <col min="32" max="16384" width="9.7109375" style="162"/>
  </cols>
  <sheetData>
    <row r="1" spans="1:28" x14ac:dyDescent="0.2">
      <c r="A1" s="24"/>
      <c r="B1" s="26"/>
      <c r="C1" s="24"/>
      <c r="D1" s="25"/>
      <c r="K1" s="41"/>
      <c r="N1" s="307"/>
      <c r="R1" s="498"/>
    </row>
    <row r="2" spans="1:28" ht="18" x14ac:dyDescent="0.35">
      <c r="A2" s="569" t="s">
        <v>698</v>
      </c>
      <c r="B2" s="6"/>
      <c r="K2" s="41"/>
      <c r="R2" s="498"/>
    </row>
    <row r="3" spans="1:28" ht="18" x14ac:dyDescent="0.35">
      <c r="A3" s="569" t="s">
        <v>382</v>
      </c>
      <c r="B3" s="6"/>
      <c r="K3" s="41"/>
      <c r="R3" s="498"/>
    </row>
    <row r="4" spans="1:28" ht="18" x14ac:dyDescent="0.35">
      <c r="A4" s="569" t="s">
        <v>383</v>
      </c>
      <c r="B4" s="6"/>
      <c r="K4" s="41"/>
      <c r="R4" s="498"/>
    </row>
    <row r="5" spans="1:28" ht="18" x14ac:dyDescent="0.35">
      <c r="A5" s="568" t="s">
        <v>601</v>
      </c>
      <c r="B5" s="6"/>
      <c r="K5" s="41"/>
      <c r="R5" s="498"/>
    </row>
    <row r="6" spans="1:28" x14ac:dyDescent="0.2">
      <c r="B6" s="6"/>
      <c r="K6" s="41"/>
      <c r="R6" s="498"/>
    </row>
    <row r="7" spans="1:28" x14ac:dyDescent="0.2">
      <c r="B7" s="14"/>
      <c r="C7" s="14"/>
      <c r="D7" s="14"/>
      <c r="E7" s="14"/>
      <c r="F7" s="27"/>
      <c r="G7" s="14"/>
      <c r="H7" s="34"/>
      <c r="I7" s="57" t="s">
        <v>602</v>
      </c>
      <c r="J7" s="58"/>
      <c r="K7" s="64"/>
      <c r="L7" s="34"/>
      <c r="M7" s="159"/>
      <c r="O7" s="237"/>
      <c r="R7" s="498"/>
    </row>
    <row r="8" spans="1:28" x14ac:dyDescent="0.2">
      <c r="B8" s="57" t="s">
        <v>576</v>
      </c>
      <c r="C8" s="58"/>
      <c r="D8" s="58"/>
      <c r="E8" s="58"/>
      <c r="F8" s="61"/>
      <c r="G8" s="58"/>
      <c r="H8" s="60"/>
      <c r="I8" s="57" t="s">
        <v>593</v>
      </c>
      <c r="J8" s="58"/>
      <c r="K8" s="66" t="s">
        <v>577</v>
      </c>
      <c r="L8" s="60"/>
      <c r="O8" s="238"/>
      <c r="R8" s="498"/>
    </row>
    <row r="9" spans="1:28" x14ac:dyDescent="0.2">
      <c r="B9" s="54"/>
      <c r="C9" s="51"/>
      <c r="D9" s="51"/>
      <c r="E9" s="51"/>
      <c r="F9" s="52"/>
      <c r="G9" s="51"/>
      <c r="H9" s="53"/>
      <c r="I9" s="55"/>
      <c r="J9" s="56"/>
      <c r="K9" s="67"/>
      <c r="L9" s="56"/>
      <c r="O9" s="237"/>
      <c r="P9" s="239"/>
      <c r="Q9" s="239"/>
      <c r="R9" s="498"/>
    </row>
    <row r="10" spans="1:28" x14ac:dyDescent="0.2">
      <c r="B10" s="19" t="s">
        <v>569</v>
      </c>
      <c r="C10" s="19" t="s">
        <v>570</v>
      </c>
      <c r="D10" s="19" t="s">
        <v>571</v>
      </c>
      <c r="E10" s="19" t="s">
        <v>572</v>
      </c>
      <c r="F10" s="28" t="s">
        <v>578</v>
      </c>
      <c r="G10" s="19" t="s">
        <v>579</v>
      </c>
      <c r="H10" s="34"/>
      <c r="I10" s="14"/>
      <c r="J10" s="14"/>
      <c r="K10" s="68" t="s">
        <v>580</v>
      </c>
      <c r="L10" s="35" t="s">
        <v>580</v>
      </c>
      <c r="M10" s="239" t="s">
        <v>603</v>
      </c>
      <c r="O10" s="239" t="s">
        <v>281</v>
      </c>
      <c r="P10" s="239" t="s">
        <v>282</v>
      </c>
      <c r="Q10" s="239" t="s">
        <v>580</v>
      </c>
      <c r="R10" s="498" t="s">
        <v>581</v>
      </c>
      <c r="S10" s="498" t="s">
        <v>581</v>
      </c>
      <c r="T10" s="239" t="s">
        <v>242</v>
      </c>
      <c r="U10" s="409" t="s">
        <v>517</v>
      </c>
      <c r="V10" s="409" t="s">
        <v>518</v>
      </c>
      <c r="W10" s="409" t="s">
        <v>517</v>
      </c>
      <c r="X10" s="409" t="s">
        <v>518</v>
      </c>
    </row>
    <row r="11" spans="1:28" x14ac:dyDescent="0.2">
      <c r="B11" s="10">
        <f>Costs!$B$3</f>
        <v>164.9</v>
      </c>
      <c r="C11" s="10">
        <f>Costs!$B$4</f>
        <v>97.45</v>
      </c>
      <c r="D11" s="10">
        <f>Costs!$B$5</f>
        <v>72.61</v>
      </c>
      <c r="E11" s="10">
        <f>Costs!$B$6</f>
        <v>43.67</v>
      </c>
      <c r="F11" s="28" t="s">
        <v>583</v>
      </c>
      <c r="G11" s="19" t="s">
        <v>584</v>
      </c>
      <c r="H11" s="35" t="s">
        <v>585</v>
      </c>
      <c r="I11" s="14"/>
      <c r="J11" s="19" t="s">
        <v>604</v>
      </c>
      <c r="K11" s="68" t="s">
        <v>582</v>
      </c>
      <c r="L11" s="35" t="s">
        <v>583</v>
      </c>
      <c r="M11" s="239" t="s">
        <v>605</v>
      </c>
      <c r="O11" s="239"/>
      <c r="P11" s="239"/>
      <c r="Q11" s="239" t="s">
        <v>586</v>
      </c>
      <c r="R11" s="498" t="s">
        <v>587</v>
      </c>
      <c r="S11" s="498" t="s">
        <v>587</v>
      </c>
      <c r="T11" s="239" t="s">
        <v>243</v>
      </c>
      <c r="U11" s="408"/>
      <c r="V11" s="408"/>
      <c r="W11" s="408"/>
      <c r="X11" s="408"/>
      <c r="AA11" s="557" t="s">
        <v>574</v>
      </c>
      <c r="AB11" s="557" t="s">
        <v>680</v>
      </c>
    </row>
    <row r="12" spans="1:28" ht="11.25" customHeight="1" x14ac:dyDescent="0.2">
      <c r="A12" s="3" t="s">
        <v>588</v>
      </c>
      <c r="B12" s="19" t="s">
        <v>590</v>
      </c>
      <c r="C12" s="19" t="s">
        <v>590</v>
      </c>
      <c r="D12" s="19" t="s">
        <v>590</v>
      </c>
      <c r="E12" s="19" t="s">
        <v>590</v>
      </c>
      <c r="F12" s="28" t="s">
        <v>607</v>
      </c>
      <c r="G12" s="19" t="s">
        <v>592</v>
      </c>
      <c r="H12" s="35" t="s">
        <v>592</v>
      </c>
      <c r="I12" s="19" t="s">
        <v>574</v>
      </c>
      <c r="J12" s="19" t="s">
        <v>606</v>
      </c>
      <c r="K12" s="68" t="s">
        <v>591</v>
      </c>
      <c r="L12" s="35" t="s">
        <v>591</v>
      </c>
      <c r="M12" s="239" t="s">
        <v>607</v>
      </c>
      <c r="N12" s="242" t="s">
        <v>589</v>
      </c>
      <c r="O12" s="239"/>
      <c r="P12" s="239"/>
      <c r="Q12" s="239" t="s">
        <v>592</v>
      </c>
      <c r="R12" s="498" t="s">
        <v>595</v>
      </c>
      <c r="S12" s="498" t="s">
        <v>595</v>
      </c>
      <c r="U12" s="408"/>
      <c r="V12" s="408"/>
      <c r="W12" s="408"/>
      <c r="X12" s="408"/>
    </row>
    <row r="13" spans="1:28" x14ac:dyDescent="0.2">
      <c r="A13" s="255" t="s">
        <v>384</v>
      </c>
      <c r="B13" s="310"/>
      <c r="C13" s="310"/>
      <c r="D13" s="310"/>
      <c r="E13" s="310"/>
      <c r="F13" s="310"/>
      <c r="G13" s="310"/>
      <c r="H13" s="311"/>
      <c r="I13" s="310"/>
      <c r="J13" s="312"/>
      <c r="K13" s="265"/>
      <c r="L13" s="313"/>
      <c r="M13" s="308"/>
      <c r="R13" s="500" t="s">
        <v>608</v>
      </c>
      <c r="S13" s="406" t="s">
        <v>609</v>
      </c>
      <c r="T13" s="242" t="s">
        <v>573</v>
      </c>
      <c r="U13" s="410" t="s">
        <v>608</v>
      </c>
      <c r="V13" s="410" t="s">
        <v>608</v>
      </c>
      <c r="W13" s="410" t="s">
        <v>609</v>
      </c>
      <c r="X13" s="410" t="s">
        <v>609</v>
      </c>
    </row>
    <row r="14" spans="1:28" ht="10.8" thickBot="1" x14ac:dyDescent="0.25">
      <c r="A14" s="319" t="s">
        <v>43</v>
      </c>
      <c r="B14" s="282">
        <v>100</v>
      </c>
      <c r="C14" s="282">
        <v>0</v>
      </c>
      <c r="D14" s="282">
        <v>0</v>
      </c>
      <c r="E14" s="282">
        <v>0</v>
      </c>
      <c r="F14" s="191">
        <f>ROUND(Costs!$B$3*B14+Costs!$B$4*C14+Costs!$B$5*D14+Costs!$B$6*E14,2)</f>
        <v>16490</v>
      </c>
      <c r="G14" s="191" t="str">
        <f>Costs!$B$62</f>
        <v xml:space="preserve"> </v>
      </c>
      <c r="H14" s="286">
        <f>Costs!$B$16</f>
        <v>0</v>
      </c>
      <c r="I14" s="320" t="s">
        <v>677</v>
      </c>
      <c r="J14" s="321">
        <v>0</v>
      </c>
      <c r="K14" s="285">
        <f>ROUND((I14+J14)*(B14+C14+D14+E14),2)</f>
        <v>0</v>
      </c>
      <c r="L14" s="286">
        <f>(I14+J14)*(F14+G14+H14)</f>
        <v>0</v>
      </c>
      <c r="M14" s="233">
        <f>(B14*Costs!$B$3)+(C14*Costs!$B$4)+(D14*Costs!$B$5)+(E14*Costs!$B$6)+(G14+H14)</f>
        <v>16490</v>
      </c>
      <c r="N14" s="235">
        <v>1</v>
      </c>
      <c r="O14" s="130">
        <f>F14*(I14+J14)</f>
        <v>0</v>
      </c>
      <c r="P14" s="130">
        <f>G14*(I14+J14)</f>
        <v>0</v>
      </c>
      <c r="Q14" s="130">
        <f>H14*(I14+J14)</f>
        <v>0</v>
      </c>
      <c r="R14" s="500" t="str">
        <f>I14</f>
        <v>N/A</v>
      </c>
      <c r="S14" s="500">
        <f>ROUND(((B14+C14+D14+E14)*J14)/Universe!$C$9,2)</f>
        <v>0</v>
      </c>
      <c r="T14" s="235">
        <v>1</v>
      </c>
      <c r="U14" s="162" t="str">
        <f>IF(T14=1,R14,0)</f>
        <v>N/A</v>
      </c>
      <c r="V14" s="162">
        <f>IF(T14=2,R14,0)</f>
        <v>0</v>
      </c>
      <c r="W14" s="162">
        <f>IF(T14=1,S14,0)</f>
        <v>0</v>
      </c>
      <c r="X14" s="162">
        <f>IF(T14=2,S14,0)</f>
        <v>0</v>
      </c>
    </row>
    <row r="15" spans="1:28" ht="10.8" thickBot="1" x14ac:dyDescent="0.25">
      <c r="A15" s="305" t="s">
        <v>596</v>
      </c>
      <c r="B15" s="324" t="s">
        <v>597</v>
      </c>
      <c r="C15" s="324" t="s">
        <v>597</v>
      </c>
      <c r="D15" s="324" t="s">
        <v>597</v>
      </c>
      <c r="E15" s="324" t="s">
        <v>597</v>
      </c>
      <c r="F15" s="324" t="s">
        <v>597</v>
      </c>
      <c r="G15" s="324" t="s">
        <v>597</v>
      </c>
      <c r="H15" s="324" t="s">
        <v>597</v>
      </c>
      <c r="I15" s="324" t="s">
        <v>597</v>
      </c>
      <c r="J15" s="324" t="s">
        <v>597</v>
      </c>
      <c r="K15" s="304">
        <f>K14</f>
        <v>0</v>
      </c>
      <c r="L15" s="294">
        <f>L14</f>
        <v>0</v>
      </c>
      <c r="M15" s="233">
        <f>SUM(M14)</f>
        <v>16490</v>
      </c>
      <c r="O15" s="304">
        <f>O14</f>
        <v>0</v>
      </c>
      <c r="P15" s="304">
        <f>P14</f>
        <v>0</v>
      </c>
      <c r="Q15" s="304">
        <f>Q14</f>
        <v>0</v>
      </c>
      <c r="U15" s="304" t="str">
        <f>U14</f>
        <v>N/A</v>
      </c>
      <c r="V15" s="304">
        <f>V14</f>
        <v>0</v>
      </c>
      <c r="W15" s="304">
        <f>W14</f>
        <v>0</v>
      </c>
      <c r="X15" s="304">
        <f>X14</f>
        <v>0</v>
      </c>
    </row>
    <row r="16" spans="1:28" x14ac:dyDescent="0.2">
      <c r="A16" s="276" t="s">
        <v>386</v>
      </c>
      <c r="B16" s="277"/>
      <c r="C16" s="277"/>
      <c r="D16" s="277"/>
      <c r="E16" s="277"/>
      <c r="F16" s="278"/>
      <c r="G16" s="278"/>
      <c r="H16" s="278"/>
      <c r="I16" s="322"/>
      <c r="J16" s="323"/>
      <c r="K16" s="279"/>
      <c r="L16" s="280"/>
      <c r="M16" s="233"/>
      <c r="O16" s="130"/>
      <c r="P16" s="130"/>
      <c r="Q16" s="130"/>
      <c r="R16" s="498"/>
    </row>
    <row r="17" spans="1:24" x14ac:dyDescent="0.2">
      <c r="A17" s="90" t="s">
        <v>610</v>
      </c>
      <c r="B17" s="92">
        <v>1</v>
      </c>
      <c r="C17" s="92">
        <v>1</v>
      </c>
      <c r="D17" s="92">
        <v>0.25</v>
      </c>
      <c r="E17" s="92">
        <v>0</v>
      </c>
      <c r="F17" s="32">
        <f>ROUND(Costs!$B$3*B17+Costs!$B$4*C17+Costs!$B$5*D17+Costs!$B$6*E17,2)</f>
        <v>280.5</v>
      </c>
      <c r="G17" s="32" t="str">
        <f>Costs!$B$62</f>
        <v xml:space="preserve"> </v>
      </c>
      <c r="H17" s="93">
        <f>Costs!$B$16</f>
        <v>0</v>
      </c>
      <c r="I17" s="113" t="s">
        <v>677</v>
      </c>
      <c r="J17" s="106">
        <f>ROUND((N17*Universe!$C$9),0)</f>
        <v>0</v>
      </c>
      <c r="K17" s="94">
        <f>ROUND((I17+J17)*(B17+C17+D17+E17),2)</f>
        <v>0</v>
      </c>
      <c r="L17" s="93">
        <f>(I17+J17)*(F17+G17+H17)</f>
        <v>0</v>
      </c>
      <c r="M17" s="233">
        <f>(B17*Costs!$B$3)+(C17*Costs!$B$4)+(D17*Costs!$B$5)+(E17*Costs!$B$6)+(G17+H17)</f>
        <v>280.5025</v>
      </c>
      <c r="N17" s="235">
        <v>0.01</v>
      </c>
      <c r="O17" s="130">
        <f>F17*(I17+J17)</f>
        <v>0</v>
      </c>
      <c r="P17" s="130">
        <f>G17*(I17+J17)</f>
        <v>0</v>
      </c>
      <c r="Q17" s="130">
        <f>H17*(I17+J17)</f>
        <v>0</v>
      </c>
      <c r="R17" s="500" t="str">
        <f>I17</f>
        <v>N/A</v>
      </c>
      <c r="S17" s="500" t="e">
        <f>ROUND(((B17+C17+D17+E17)*J17)/Universe!$C$2,2)</f>
        <v>#DIV/0!</v>
      </c>
      <c r="T17" s="235">
        <v>2</v>
      </c>
      <c r="U17" s="162">
        <f>IF(T17=1,R17,0)</f>
        <v>0</v>
      </c>
      <c r="V17" s="162" t="str">
        <f>IF(T17=2,R17,0)</f>
        <v>N/A</v>
      </c>
      <c r="W17" s="162">
        <f>IF(T17=1,S17,0)</f>
        <v>0</v>
      </c>
      <c r="X17" s="162" t="e">
        <f>IF(T17=2,S17,0)</f>
        <v>#DIV/0!</v>
      </c>
    </row>
    <row r="18" spans="1:24" x14ac:dyDescent="0.2">
      <c r="A18" s="90" t="s">
        <v>44</v>
      </c>
      <c r="B18" s="92">
        <v>1</v>
      </c>
      <c r="C18" s="92">
        <v>1</v>
      </c>
      <c r="D18" s="92">
        <v>4</v>
      </c>
      <c r="E18" s="92">
        <v>0.5</v>
      </c>
      <c r="F18" s="32">
        <f>ROUND(Costs!$B$3*B18+Costs!$B$4*C18+Costs!$B$5*D18+Costs!$B$6*E18,2)</f>
        <v>574.63</v>
      </c>
      <c r="G18" s="32" t="str">
        <f>Costs!$B$62</f>
        <v xml:space="preserve"> </v>
      </c>
      <c r="H18" s="32">
        <f>Costs!$B$19</f>
        <v>4.4000000000000004</v>
      </c>
      <c r="I18" s="113" t="s">
        <v>677</v>
      </c>
      <c r="J18" s="106">
        <f>ROUND((N18*Universe!$C$9),0)</f>
        <v>0</v>
      </c>
      <c r="K18" s="94">
        <f>ROUND((I18+J18)*(B18+C18+D18+E18),2)</f>
        <v>0</v>
      </c>
      <c r="L18" s="93">
        <f>(I18+J18)*(F18+G18+H18)</f>
        <v>0</v>
      </c>
      <c r="M18" s="233">
        <f>(B18*Costs!$B$3)+(C18*Costs!$B$4)+(D18*Costs!$B$5)+(E18*Costs!$B$6)+(G18+H18)</f>
        <v>579.02499999999998</v>
      </c>
      <c r="N18" s="235">
        <v>0.01</v>
      </c>
      <c r="O18" s="130">
        <f>F18*(I18+J18)</f>
        <v>0</v>
      </c>
      <c r="P18" s="130">
        <f>G18*(I18+J18)</f>
        <v>0</v>
      </c>
      <c r="Q18" s="130">
        <f>H18*(I18+J18)</f>
        <v>0</v>
      </c>
      <c r="R18" s="500" t="str">
        <f>I18</f>
        <v>N/A</v>
      </c>
      <c r="S18" s="500" t="e">
        <f>ROUND(((B18+C18+D18+E18)*J18)/Universe!$C$2,2)</f>
        <v>#DIV/0!</v>
      </c>
      <c r="T18" s="235">
        <v>1</v>
      </c>
      <c r="U18" s="162" t="str">
        <f>IF(T18=1,R18,0)</f>
        <v>N/A</v>
      </c>
      <c r="V18" s="162">
        <f>IF(T18=2,R18,0)</f>
        <v>0</v>
      </c>
      <c r="W18" s="162" t="e">
        <f>IF(T18=1,S18,0)</f>
        <v>#DIV/0!</v>
      </c>
      <c r="X18" s="162">
        <f>IF(T18=2,S18,0)</f>
        <v>0</v>
      </c>
    </row>
    <row r="19" spans="1:24" ht="10.8" thickBot="1" x14ac:dyDescent="0.25">
      <c r="A19" s="319" t="s">
        <v>93</v>
      </c>
      <c r="B19" s="282">
        <v>0</v>
      </c>
      <c r="C19" s="282">
        <v>0</v>
      </c>
      <c r="D19" s="282">
        <v>0</v>
      </c>
      <c r="E19" s="282">
        <v>0.1</v>
      </c>
      <c r="F19" s="191">
        <f>ROUND(Costs!$B$3*B19+Costs!$B$4*C19+Costs!$B$5*D19+Costs!$B$6*E19,2)</f>
        <v>4.37</v>
      </c>
      <c r="G19" s="191" t="str">
        <f>Costs!$B$62</f>
        <v xml:space="preserve"> </v>
      </c>
      <c r="H19" s="286">
        <f>Costs!B17</f>
        <v>1.5</v>
      </c>
      <c r="I19" s="320" t="s">
        <v>677</v>
      </c>
      <c r="J19" s="321">
        <f>ROUND((N19*Universe!$C$9),0)</f>
        <v>0</v>
      </c>
      <c r="K19" s="285">
        <f>ROUND((I19+J19)*(B19+C19+D19+E19),2)</f>
        <v>0</v>
      </c>
      <c r="L19" s="286">
        <f>(I19+J19)*(F19+G19+H19)</f>
        <v>0</v>
      </c>
      <c r="M19" s="233">
        <f>(B19*Costs!$B$3)+(C19*Costs!$B$4)+(D19*Costs!$B$5)+(E19*Costs!$B$6)+(G19+H19)</f>
        <v>5.867</v>
      </c>
      <c r="N19" s="235">
        <v>0.01</v>
      </c>
      <c r="O19" s="130">
        <f>F19*(I19+J19)</f>
        <v>0</v>
      </c>
      <c r="P19" s="130">
        <f>G19*(I19+J19)</f>
        <v>0</v>
      </c>
      <c r="Q19" s="130">
        <f>H19*(I19+J19)</f>
        <v>0</v>
      </c>
      <c r="R19" s="500" t="str">
        <f>I19</f>
        <v>N/A</v>
      </c>
      <c r="S19" s="500" t="e">
        <f>ROUND(((B19+C19+D19+E19)*J19)/Universe!$C$2,2)</f>
        <v>#DIV/0!</v>
      </c>
      <c r="T19" s="235">
        <v>2</v>
      </c>
      <c r="U19" s="162">
        <f>IF(T19=1,R19,0)</f>
        <v>0</v>
      </c>
      <c r="V19" s="162" t="str">
        <f>IF(T19=2,R19,0)</f>
        <v>N/A</v>
      </c>
      <c r="W19" s="162">
        <f>IF(T19=1,S19,0)</f>
        <v>0</v>
      </c>
      <c r="X19" s="162" t="e">
        <f>IF(T19=2,S19,0)</f>
        <v>#DIV/0!</v>
      </c>
    </row>
    <row r="20" spans="1:24" ht="10.8" thickBot="1" x14ac:dyDescent="0.25">
      <c r="A20" s="305" t="s">
        <v>596</v>
      </c>
      <c r="B20" s="324" t="s">
        <v>597</v>
      </c>
      <c r="C20" s="324" t="s">
        <v>597</v>
      </c>
      <c r="D20" s="324" t="s">
        <v>597</v>
      </c>
      <c r="E20" s="324" t="s">
        <v>597</v>
      </c>
      <c r="F20" s="324" t="s">
        <v>597</v>
      </c>
      <c r="G20" s="324" t="s">
        <v>597</v>
      </c>
      <c r="H20" s="324" t="s">
        <v>597</v>
      </c>
      <c r="I20" s="324" t="s">
        <v>597</v>
      </c>
      <c r="J20" s="324" t="s">
        <v>597</v>
      </c>
      <c r="K20" s="304">
        <f>SUM(K17:K19)</f>
        <v>0</v>
      </c>
      <c r="L20" s="294">
        <f>SUM(L17:L19)</f>
        <v>0</v>
      </c>
      <c r="M20" s="233">
        <f>SUM(M17:M19)</f>
        <v>865.39449999999988</v>
      </c>
      <c r="O20" s="304">
        <f>SUM(O17:O19)</f>
        <v>0</v>
      </c>
      <c r="P20" s="304">
        <f>SUM(P17:P19)</f>
        <v>0</v>
      </c>
      <c r="Q20" s="304">
        <f>SUM(Q17:Q19)</f>
        <v>0</v>
      </c>
      <c r="R20" s="498"/>
      <c r="U20" s="304">
        <f>SUM(U17:U19)</f>
        <v>0</v>
      </c>
      <c r="V20" s="304">
        <f>SUM(V17:V19)</f>
        <v>0</v>
      </c>
      <c r="W20" s="304" t="e">
        <f>SUM(W17:W19)</f>
        <v>#DIV/0!</v>
      </c>
      <c r="X20" s="304" t="e">
        <f>SUM(X17:X19)</f>
        <v>#DIV/0!</v>
      </c>
    </row>
    <row r="21" spans="1:24" x14ac:dyDescent="0.2">
      <c r="A21" s="276" t="s">
        <v>557</v>
      </c>
      <c r="B21" s="326"/>
      <c r="C21" s="326"/>
      <c r="D21" s="326"/>
      <c r="E21" s="326"/>
      <c r="F21" s="327"/>
      <c r="G21" s="327"/>
      <c r="H21" s="327"/>
      <c r="I21" s="322"/>
      <c r="J21" s="328"/>
      <c r="K21" s="329"/>
      <c r="L21" s="330"/>
      <c r="M21" s="234"/>
      <c r="O21" s="232"/>
      <c r="P21" s="232"/>
      <c r="Q21" s="232"/>
      <c r="R21" s="498"/>
    </row>
    <row r="22" spans="1:24" x14ac:dyDescent="0.2">
      <c r="A22" s="275" t="s">
        <v>610</v>
      </c>
      <c r="B22" s="92">
        <v>0</v>
      </c>
      <c r="C22" s="92">
        <v>0.5</v>
      </c>
      <c r="D22" s="92">
        <v>8</v>
      </c>
      <c r="E22" s="92">
        <v>0</v>
      </c>
      <c r="F22" s="32">
        <f>ROUND(Costs!$B$3*B22+Costs!$B$4*C22+Costs!$B$5*D22+Costs!$B$6*E22,2)</f>
        <v>629.61</v>
      </c>
      <c r="G22" s="32" t="str">
        <f>Costs!$B$62</f>
        <v xml:space="preserve"> </v>
      </c>
      <c r="H22" s="93">
        <f>Costs!$B$16</f>
        <v>0</v>
      </c>
      <c r="I22" s="113" t="s">
        <v>677</v>
      </c>
      <c r="J22" s="106">
        <v>0</v>
      </c>
      <c r="K22" s="94">
        <f t="shared" ref="K22:K47" si="0">ROUND((I22+J22)*(B22+C22+D22+E22),2)</f>
        <v>0</v>
      </c>
      <c r="L22" s="93">
        <f t="shared" ref="L22:L47" si="1">(I22+J22)*(F22+G22+H22)</f>
        <v>0</v>
      </c>
      <c r="M22" s="233">
        <f>(B22*Costs!$B$3)+(C22*Costs!$B$4)+(D22*Costs!$B$5)+(E22*Costs!$B$6)+(G22+H22)</f>
        <v>629.60500000000002</v>
      </c>
      <c r="N22" s="235">
        <v>1</v>
      </c>
      <c r="O22" s="130">
        <f t="shared" ref="O22:O47" si="2">F22*(I22+J22)</f>
        <v>0</v>
      </c>
      <c r="P22" s="130">
        <f t="shared" ref="P22:P47" si="3">G22*(I22+J22)</f>
        <v>0</v>
      </c>
      <c r="Q22" s="130">
        <f t="shared" ref="Q22:Q47" si="4">H22*(I22+J22)</f>
        <v>0</v>
      </c>
      <c r="R22" s="500" t="str">
        <f t="shared" ref="R22:R47" si="5">I22</f>
        <v>N/A</v>
      </c>
      <c r="S22" s="500" t="e">
        <f>ROUND(((B22+C22+D22+E22)*J22)/Universe!$C$2,2)</f>
        <v>#DIV/0!</v>
      </c>
      <c r="T22" s="235">
        <v>2</v>
      </c>
      <c r="U22" s="162">
        <f t="shared" ref="U22:U47" si="6">IF(T22=1,R22,0)</f>
        <v>0</v>
      </c>
      <c r="V22" s="162" t="str">
        <f t="shared" ref="V22:V47" si="7">IF(T22=2,R22,0)</f>
        <v>N/A</v>
      </c>
      <c r="W22" s="162">
        <f t="shared" ref="W22:W47" si="8">IF(T22=1,S22,0)</f>
        <v>0</v>
      </c>
      <c r="X22" s="162" t="e">
        <f t="shared" ref="X22:X47" si="9">IF(T22=2,S22,0)</f>
        <v>#DIV/0!</v>
      </c>
    </row>
    <row r="23" spans="1:24" x14ac:dyDescent="0.2">
      <c r="A23" s="275" t="s">
        <v>94</v>
      </c>
      <c r="B23" s="92">
        <v>0</v>
      </c>
      <c r="C23" s="228">
        <v>0</v>
      </c>
      <c r="D23" s="228">
        <v>15</v>
      </c>
      <c r="E23" s="228">
        <v>2</v>
      </c>
      <c r="F23" s="32">
        <f>ROUND(Costs!$B$3*B23+Costs!$B$4*C23+Costs!$B$5*D23+Costs!$B$6*E23,2)</f>
        <v>1176.49</v>
      </c>
      <c r="G23" s="32" t="str">
        <f>Costs!$B$62</f>
        <v xml:space="preserve"> </v>
      </c>
      <c r="H23" s="93">
        <f>Costs!B39</f>
        <v>3700</v>
      </c>
      <c r="I23" s="113" t="s">
        <v>677</v>
      </c>
      <c r="J23" s="106">
        <v>0</v>
      </c>
      <c r="K23" s="94">
        <f t="shared" si="0"/>
        <v>0</v>
      </c>
      <c r="L23" s="93">
        <f t="shared" si="1"/>
        <v>0</v>
      </c>
      <c r="M23" s="233">
        <f>(B23*Costs!$B$3)+(C23*Costs!$B$4)+(D23*Costs!$B$5)+(E23*Costs!$B$6)+(G23+H23)</f>
        <v>4876.49</v>
      </c>
      <c r="N23" s="235">
        <v>1</v>
      </c>
      <c r="O23" s="130">
        <f t="shared" si="2"/>
        <v>0</v>
      </c>
      <c r="P23" s="130">
        <f t="shared" si="3"/>
        <v>0</v>
      </c>
      <c r="Q23" s="130">
        <f t="shared" si="4"/>
        <v>0</v>
      </c>
      <c r="R23" s="500" t="str">
        <f t="shared" si="5"/>
        <v>N/A</v>
      </c>
      <c r="S23" s="500" t="e">
        <f>ROUND(((B23+C23+D23+E23)*J23)/Universe!$C$2,2)</f>
        <v>#DIV/0!</v>
      </c>
      <c r="T23" s="235">
        <v>1</v>
      </c>
      <c r="U23" s="162" t="str">
        <f t="shared" si="6"/>
        <v>N/A</v>
      </c>
      <c r="V23" s="162">
        <f t="shared" si="7"/>
        <v>0</v>
      </c>
      <c r="W23" s="162" t="e">
        <f t="shared" si="8"/>
        <v>#DIV/0!</v>
      </c>
      <c r="X23" s="162">
        <f t="shared" si="9"/>
        <v>0</v>
      </c>
    </row>
    <row r="24" spans="1:24" ht="30.6" x14ac:dyDescent="0.2">
      <c r="A24" s="275" t="s">
        <v>118</v>
      </c>
      <c r="B24" s="92">
        <v>0</v>
      </c>
      <c r="C24" s="228">
        <v>0</v>
      </c>
      <c r="D24" s="228">
        <v>40</v>
      </c>
      <c r="E24" s="228">
        <v>2</v>
      </c>
      <c r="F24" s="32">
        <f>ROUND(Costs!$B$3*B24+Costs!$B$4*C24+Costs!$B$5*D24+Costs!$B$6*E24,2)</f>
        <v>2991.74</v>
      </c>
      <c r="G24" s="32" t="str">
        <f>Costs!$B$62</f>
        <v xml:space="preserve"> </v>
      </c>
      <c r="H24" s="93">
        <f>Costs!B40</f>
        <v>14800</v>
      </c>
      <c r="I24" s="113" t="s">
        <v>677</v>
      </c>
      <c r="J24" s="106">
        <v>0</v>
      </c>
      <c r="K24" s="94">
        <f t="shared" si="0"/>
        <v>0</v>
      </c>
      <c r="L24" s="93">
        <f t="shared" si="1"/>
        <v>0</v>
      </c>
      <c r="M24" s="233">
        <f>(B24*Costs!$B$3)+(C24*Costs!$B$4)+(D24*Costs!$B$5)+(E24*Costs!$B$6)+(G24+H24)</f>
        <v>17791.740000000002</v>
      </c>
      <c r="N24" s="235">
        <v>1</v>
      </c>
      <c r="O24" s="130">
        <f t="shared" si="2"/>
        <v>0</v>
      </c>
      <c r="P24" s="130">
        <f t="shared" si="3"/>
        <v>0</v>
      </c>
      <c r="Q24" s="130">
        <f t="shared" si="4"/>
        <v>0</v>
      </c>
      <c r="R24" s="500" t="str">
        <f t="shared" si="5"/>
        <v>N/A</v>
      </c>
      <c r="S24" s="500" t="e">
        <f>ROUND(((B24+C24+D24+E24)*J24)/Universe!$C$2,2)</f>
        <v>#DIV/0!</v>
      </c>
      <c r="T24" s="235">
        <v>1</v>
      </c>
      <c r="U24" s="162" t="str">
        <f t="shared" si="6"/>
        <v>N/A</v>
      </c>
      <c r="V24" s="162">
        <f t="shared" si="7"/>
        <v>0</v>
      </c>
      <c r="W24" s="162" t="e">
        <f t="shared" si="8"/>
        <v>#DIV/0!</v>
      </c>
      <c r="X24" s="162">
        <f t="shared" si="9"/>
        <v>0</v>
      </c>
    </row>
    <row r="25" spans="1:24" x14ac:dyDescent="0.2">
      <c r="A25" s="275" t="s">
        <v>95</v>
      </c>
      <c r="B25" s="92">
        <v>0</v>
      </c>
      <c r="C25" s="228">
        <v>10</v>
      </c>
      <c r="D25" s="228">
        <v>90</v>
      </c>
      <c r="E25" s="228">
        <v>9</v>
      </c>
      <c r="F25" s="32">
        <f>ROUND(Costs!$B$3*B25+Costs!$B$4*C25+Costs!$B$5*D25+Costs!$B$6*E25,2)</f>
        <v>7902.43</v>
      </c>
      <c r="G25" s="32" t="str">
        <f>Costs!$B$62</f>
        <v xml:space="preserve"> </v>
      </c>
      <c r="H25" s="93">
        <f>Costs!B41</f>
        <v>5000</v>
      </c>
      <c r="I25" s="113" t="s">
        <v>677</v>
      </c>
      <c r="J25" s="106">
        <v>0</v>
      </c>
      <c r="K25" s="94">
        <f t="shared" si="0"/>
        <v>0</v>
      </c>
      <c r="L25" s="93">
        <f t="shared" si="1"/>
        <v>0</v>
      </c>
      <c r="M25" s="233">
        <f>(B25*Costs!$B$3)+(C25*Costs!$B$4)+(D25*Costs!$B$5)+(E25*Costs!$B$6)+(G25+H25)</f>
        <v>12902.43</v>
      </c>
      <c r="N25" s="235">
        <v>1</v>
      </c>
      <c r="O25" s="130">
        <f t="shared" si="2"/>
        <v>0</v>
      </c>
      <c r="P25" s="130">
        <f t="shared" si="3"/>
        <v>0</v>
      </c>
      <c r="Q25" s="130">
        <f t="shared" si="4"/>
        <v>0</v>
      </c>
      <c r="R25" s="500" t="str">
        <f t="shared" si="5"/>
        <v>N/A</v>
      </c>
      <c r="S25" s="500">
        <f>ROUND(((B25+C25+D25+E25)*J25)/Universe!$C$8,2)</f>
        <v>0</v>
      </c>
      <c r="T25" s="235">
        <v>1</v>
      </c>
      <c r="U25" s="162" t="str">
        <f t="shared" si="6"/>
        <v>N/A</v>
      </c>
      <c r="V25" s="162">
        <f t="shared" si="7"/>
        <v>0</v>
      </c>
      <c r="W25" s="162">
        <f t="shared" si="8"/>
        <v>0</v>
      </c>
      <c r="X25" s="162">
        <f t="shared" si="9"/>
        <v>0</v>
      </c>
    </row>
    <row r="26" spans="1:24" x14ac:dyDescent="0.2">
      <c r="A26" s="275" t="s">
        <v>620</v>
      </c>
      <c r="B26" s="92">
        <v>0</v>
      </c>
      <c r="C26" s="228">
        <v>10</v>
      </c>
      <c r="D26" s="228">
        <v>60</v>
      </c>
      <c r="E26" s="228">
        <v>9</v>
      </c>
      <c r="F26" s="32">
        <f>ROUND(Costs!$B$3*B26+Costs!$B$4*C26+Costs!$B$5*D26+Costs!$B$6*E26,2)</f>
        <v>5724.13</v>
      </c>
      <c r="G26" s="32" t="str">
        <f>Costs!$B$62</f>
        <v xml:space="preserve"> </v>
      </c>
      <c r="H26" s="93">
        <f>Costs!B42</f>
        <v>1200</v>
      </c>
      <c r="I26" s="113" t="s">
        <v>677</v>
      </c>
      <c r="J26" s="106">
        <v>0</v>
      </c>
      <c r="K26" s="94">
        <f t="shared" si="0"/>
        <v>0</v>
      </c>
      <c r="L26" s="93">
        <f t="shared" si="1"/>
        <v>0</v>
      </c>
      <c r="M26" s="233">
        <f>(B26*Costs!$B$3)+(C26*Costs!$B$4)+(D26*Costs!$B$5)+(E26*Costs!$B$6)+(G26+H26)</f>
        <v>6924.13</v>
      </c>
      <c r="N26" s="235">
        <v>1</v>
      </c>
      <c r="O26" s="130">
        <f t="shared" si="2"/>
        <v>0</v>
      </c>
      <c r="P26" s="130">
        <f t="shared" si="3"/>
        <v>0</v>
      </c>
      <c r="Q26" s="130">
        <f t="shared" si="4"/>
        <v>0</v>
      </c>
      <c r="R26" s="500" t="str">
        <f t="shared" si="5"/>
        <v>N/A</v>
      </c>
      <c r="S26" s="500">
        <f>ROUND(((B26+C26+D26+E26)*J26)/Universe!$C$8,2)</f>
        <v>0</v>
      </c>
      <c r="T26" s="235">
        <v>1</v>
      </c>
      <c r="U26" s="162" t="str">
        <f t="shared" si="6"/>
        <v>N/A</v>
      </c>
      <c r="V26" s="162">
        <f t="shared" si="7"/>
        <v>0</v>
      </c>
      <c r="W26" s="162">
        <f t="shared" si="8"/>
        <v>0</v>
      </c>
      <c r="X26" s="162">
        <f t="shared" si="9"/>
        <v>0</v>
      </c>
    </row>
    <row r="27" spans="1:24" ht="20.399999999999999" x14ac:dyDescent="0.2">
      <c r="A27" s="275" t="s">
        <v>119</v>
      </c>
      <c r="B27" s="92">
        <v>0</v>
      </c>
      <c r="C27" s="228">
        <v>0</v>
      </c>
      <c r="D27" s="228">
        <v>1.5</v>
      </c>
      <c r="E27" s="228">
        <v>0.25</v>
      </c>
      <c r="F27" s="32">
        <f>ROUND(Costs!$B$3*B27+Costs!$B$4*C27+Costs!$B$5*D27+Costs!$B$6*E27,2)</f>
        <v>119.83</v>
      </c>
      <c r="G27" s="32" t="str">
        <f>Costs!$B$62</f>
        <v xml:space="preserve"> </v>
      </c>
      <c r="H27" s="93">
        <f>Costs!$B$16</f>
        <v>0</v>
      </c>
      <c r="I27" s="113" t="s">
        <v>677</v>
      </c>
      <c r="J27" s="106">
        <v>0</v>
      </c>
      <c r="K27" s="94">
        <f t="shared" si="0"/>
        <v>0</v>
      </c>
      <c r="L27" s="93">
        <f t="shared" si="1"/>
        <v>0</v>
      </c>
      <c r="M27" s="233">
        <f>(B27*Costs!$B$3)+(C27*Costs!$B$4)+(D27*Costs!$B$5)+(E27*Costs!$B$6)+(G27+H27)</f>
        <v>119.8325</v>
      </c>
      <c r="N27" s="235">
        <v>0.99</v>
      </c>
      <c r="O27" s="130">
        <f t="shared" si="2"/>
        <v>0</v>
      </c>
      <c r="P27" s="130">
        <f t="shared" si="3"/>
        <v>0</v>
      </c>
      <c r="Q27" s="130">
        <f t="shared" si="4"/>
        <v>0</v>
      </c>
      <c r="R27" s="500" t="str">
        <f t="shared" si="5"/>
        <v>N/A</v>
      </c>
      <c r="S27" s="500" t="e">
        <f>ROUND(((B27+C27+D27+E27)*J27)/Universe!$C$2,2)</f>
        <v>#DIV/0!</v>
      </c>
      <c r="T27" s="235">
        <v>1</v>
      </c>
      <c r="U27" s="162" t="str">
        <f t="shared" si="6"/>
        <v>N/A</v>
      </c>
      <c r="V27" s="162">
        <f t="shared" si="7"/>
        <v>0</v>
      </c>
      <c r="W27" s="162" t="e">
        <f t="shared" si="8"/>
        <v>#DIV/0!</v>
      </c>
      <c r="X27" s="162">
        <f t="shared" si="9"/>
        <v>0</v>
      </c>
    </row>
    <row r="28" spans="1:24" ht="15.75" customHeight="1" x14ac:dyDescent="0.2">
      <c r="A28" s="275" t="s">
        <v>558</v>
      </c>
      <c r="B28" s="92">
        <v>0</v>
      </c>
      <c r="C28" s="228">
        <v>0</v>
      </c>
      <c r="D28" s="228">
        <v>0.5</v>
      </c>
      <c r="E28" s="228">
        <v>0.5</v>
      </c>
      <c r="F28" s="32">
        <f>ROUND(Costs!$B$3*B28+Costs!$B$4*C28+Costs!$B$5*D28+Costs!$B$6*E28,2)</f>
        <v>58.14</v>
      </c>
      <c r="G28" s="32" t="str">
        <f>Costs!$B$62</f>
        <v xml:space="preserve"> </v>
      </c>
      <c r="H28" s="93">
        <f>Costs!$B$16</f>
        <v>0</v>
      </c>
      <c r="I28" s="113" t="s">
        <v>677</v>
      </c>
      <c r="J28" s="106">
        <v>0</v>
      </c>
      <c r="K28" s="94">
        <f t="shared" si="0"/>
        <v>0</v>
      </c>
      <c r="L28" s="93">
        <f t="shared" si="1"/>
        <v>0</v>
      </c>
      <c r="M28" s="233">
        <f>(B28*Costs!$B$3)+(C28*Costs!$B$4)+(D28*Costs!$B$5)+(E28*Costs!$B$6)+(G28+H28)</f>
        <v>58.14</v>
      </c>
      <c r="N28" s="235">
        <v>0.01</v>
      </c>
      <c r="O28" s="130">
        <f t="shared" si="2"/>
        <v>0</v>
      </c>
      <c r="P28" s="130">
        <f t="shared" si="3"/>
        <v>0</v>
      </c>
      <c r="Q28" s="130">
        <f t="shared" si="4"/>
        <v>0</v>
      </c>
      <c r="R28" s="500" t="str">
        <f t="shared" si="5"/>
        <v>N/A</v>
      </c>
      <c r="S28" s="500" t="e">
        <f>ROUND(((B28+C28+D28+E28)*J28)/Universe!$C$2,2)</f>
        <v>#DIV/0!</v>
      </c>
      <c r="T28" s="235">
        <v>1</v>
      </c>
      <c r="U28" s="162" t="str">
        <f t="shared" si="6"/>
        <v>N/A</v>
      </c>
      <c r="V28" s="162">
        <f t="shared" si="7"/>
        <v>0</v>
      </c>
      <c r="W28" s="162" t="e">
        <f t="shared" si="8"/>
        <v>#DIV/0!</v>
      </c>
      <c r="X28" s="162">
        <f t="shared" si="9"/>
        <v>0</v>
      </c>
    </row>
    <row r="29" spans="1:24" x14ac:dyDescent="0.2">
      <c r="A29" s="275" t="s">
        <v>624</v>
      </c>
      <c r="B29" s="92">
        <v>0</v>
      </c>
      <c r="C29" s="228">
        <v>8</v>
      </c>
      <c r="D29" s="228">
        <v>80</v>
      </c>
      <c r="E29" s="228">
        <v>1</v>
      </c>
      <c r="F29" s="32">
        <f>ROUND(Costs!$B$3*B29+Costs!$B$4*C29+Costs!$B$5*D29+Costs!$B$6*E29,2)</f>
        <v>6632.07</v>
      </c>
      <c r="G29" s="32" t="str">
        <f>Costs!$B$62</f>
        <v xml:space="preserve"> </v>
      </c>
      <c r="H29" s="93">
        <f>Costs!$B$16</f>
        <v>0</v>
      </c>
      <c r="I29" s="113" t="s">
        <v>677</v>
      </c>
      <c r="J29" s="106">
        <v>0</v>
      </c>
      <c r="K29" s="94">
        <f t="shared" si="0"/>
        <v>0</v>
      </c>
      <c r="L29" s="93">
        <f t="shared" si="1"/>
        <v>0</v>
      </c>
      <c r="M29" s="233">
        <f>(B29*Costs!$B$3)+(C29*Costs!$B$4)+(D29*Costs!$B$5)+(E29*Costs!$B$6)+(G29+H29)</f>
        <v>6632.0700000000006</v>
      </c>
      <c r="N29" s="235">
        <v>1</v>
      </c>
      <c r="O29" s="130">
        <f t="shared" si="2"/>
        <v>0</v>
      </c>
      <c r="P29" s="130">
        <f t="shared" si="3"/>
        <v>0</v>
      </c>
      <c r="Q29" s="130">
        <f t="shared" si="4"/>
        <v>0</v>
      </c>
      <c r="R29" s="500" t="str">
        <f t="shared" si="5"/>
        <v>N/A</v>
      </c>
      <c r="S29" s="500">
        <f>ROUND(((B29+C29+D29+E29)*J29)/Universe!$C$8,2)</f>
        <v>0</v>
      </c>
      <c r="T29" s="235">
        <v>1</v>
      </c>
      <c r="U29" s="162" t="str">
        <f t="shared" si="6"/>
        <v>N/A</v>
      </c>
      <c r="V29" s="162">
        <f t="shared" si="7"/>
        <v>0</v>
      </c>
      <c r="W29" s="162">
        <f t="shared" si="8"/>
        <v>0</v>
      </c>
      <c r="X29" s="162">
        <f t="shared" si="9"/>
        <v>0</v>
      </c>
    </row>
    <row r="30" spans="1:24" ht="20.399999999999999" x14ac:dyDescent="0.2">
      <c r="A30" s="275" t="s">
        <v>124</v>
      </c>
      <c r="B30" s="92">
        <v>0</v>
      </c>
      <c r="C30" s="228">
        <v>0.25</v>
      </c>
      <c r="D30" s="228">
        <v>0.5</v>
      </c>
      <c r="E30" s="228">
        <v>0.25</v>
      </c>
      <c r="F30" s="32">
        <f>ROUND(Costs!$B$3*B30+Costs!$B$4*C30+Costs!$B$5*D30+Costs!$B$6*E30,2)</f>
        <v>71.59</v>
      </c>
      <c r="G30" s="32" t="str">
        <f>Costs!$B$62</f>
        <v xml:space="preserve"> </v>
      </c>
      <c r="H30" s="93">
        <f>Costs!$B$16</f>
        <v>0</v>
      </c>
      <c r="I30" s="113" t="s">
        <v>677</v>
      </c>
      <c r="J30" s="106">
        <v>0</v>
      </c>
      <c r="K30" s="94">
        <f t="shared" si="0"/>
        <v>0</v>
      </c>
      <c r="L30" s="93">
        <f t="shared" si="1"/>
        <v>0</v>
      </c>
      <c r="M30" s="233">
        <f>(B30*Costs!$B$3)+(C30*Costs!$B$4)+(D30*Costs!$B$5)+(E30*Costs!$B$6)+(G30+H30)</f>
        <v>71.585000000000008</v>
      </c>
      <c r="N30" s="235">
        <v>0.01</v>
      </c>
      <c r="O30" s="130">
        <f t="shared" si="2"/>
        <v>0</v>
      </c>
      <c r="P30" s="130">
        <f t="shared" si="3"/>
        <v>0</v>
      </c>
      <c r="Q30" s="130">
        <f t="shared" si="4"/>
        <v>0</v>
      </c>
      <c r="R30" s="500" t="str">
        <f t="shared" si="5"/>
        <v>N/A</v>
      </c>
      <c r="S30" s="500" t="e">
        <f>ROUND(((B30+C30+D30+E30)*J30)/Universe!$C$2,2)</f>
        <v>#DIV/0!</v>
      </c>
      <c r="T30" s="235">
        <v>1</v>
      </c>
      <c r="U30" s="162" t="str">
        <f t="shared" si="6"/>
        <v>N/A</v>
      </c>
      <c r="V30" s="162">
        <f t="shared" si="7"/>
        <v>0</v>
      </c>
      <c r="W30" s="162" t="e">
        <f t="shared" si="8"/>
        <v>#DIV/0!</v>
      </c>
      <c r="X30" s="162">
        <f t="shared" si="9"/>
        <v>0</v>
      </c>
    </row>
    <row r="31" spans="1:24" ht="20.399999999999999" x14ac:dyDescent="0.2">
      <c r="A31" s="275" t="s">
        <v>125</v>
      </c>
      <c r="B31" s="92">
        <v>0</v>
      </c>
      <c r="C31" s="228">
        <v>0.25</v>
      </c>
      <c r="D31" s="228">
        <v>0.5</v>
      </c>
      <c r="E31" s="228">
        <v>0.25</v>
      </c>
      <c r="F31" s="32">
        <f>ROUND(Costs!$B$3*B31+Costs!$B$4*C31+Costs!$B$5*D31+Costs!$B$6*E31,2)</f>
        <v>71.59</v>
      </c>
      <c r="G31" s="32" t="str">
        <f>Costs!$B$62</f>
        <v xml:space="preserve"> </v>
      </c>
      <c r="H31" s="93">
        <f>Costs!$B$16</f>
        <v>0</v>
      </c>
      <c r="I31" s="113" t="s">
        <v>677</v>
      </c>
      <c r="J31" s="106">
        <f>ROUND((N31*Universe!$C$9),0)</f>
        <v>0</v>
      </c>
      <c r="K31" s="94">
        <f t="shared" si="0"/>
        <v>0</v>
      </c>
      <c r="L31" s="93">
        <f t="shared" si="1"/>
        <v>0</v>
      </c>
      <c r="M31" s="233">
        <f>(B31*Costs!$B$3)+(C31*Costs!$B$4)+(D31*Costs!$B$5)+(E31*Costs!$B$6)+(G31+H31)</f>
        <v>71.585000000000008</v>
      </c>
      <c r="N31" s="235">
        <v>0.01</v>
      </c>
      <c r="O31" s="130">
        <f t="shared" si="2"/>
        <v>0</v>
      </c>
      <c r="P31" s="130">
        <f t="shared" si="3"/>
        <v>0</v>
      </c>
      <c r="Q31" s="130">
        <f t="shared" si="4"/>
        <v>0</v>
      </c>
      <c r="R31" s="500" t="str">
        <f t="shared" si="5"/>
        <v>N/A</v>
      </c>
      <c r="S31" s="500" t="e">
        <f>ROUND(((B31+C31+D31+E31)*J31)/Universe!$C$2,2)</f>
        <v>#DIV/0!</v>
      </c>
      <c r="T31" s="235">
        <v>1</v>
      </c>
      <c r="U31" s="162" t="str">
        <f t="shared" si="6"/>
        <v>N/A</v>
      </c>
      <c r="V31" s="162">
        <f t="shared" si="7"/>
        <v>0</v>
      </c>
      <c r="W31" s="162" t="e">
        <f t="shared" si="8"/>
        <v>#DIV/0!</v>
      </c>
      <c r="X31" s="162">
        <f t="shared" si="9"/>
        <v>0</v>
      </c>
    </row>
    <row r="32" spans="1:24" x14ac:dyDescent="0.2">
      <c r="A32" s="275" t="s">
        <v>96</v>
      </c>
      <c r="B32" s="92">
        <v>0</v>
      </c>
      <c r="C32" s="228">
        <v>0</v>
      </c>
      <c r="D32" s="228">
        <v>5</v>
      </c>
      <c r="E32" s="228">
        <v>0</v>
      </c>
      <c r="F32" s="32">
        <f>ROUND(Costs!$B$3*B32+Costs!$B$4*C32+Costs!$B$5*D32+Costs!$B$6*E32,2)</f>
        <v>363.05</v>
      </c>
      <c r="G32" s="32" t="str">
        <f>Costs!$B$62</f>
        <v xml:space="preserve"> </v>
      </c>
      <c r="H32" s="93">
        <f>Costs!B43</f>
        <v>3700</v>
      </c>
      <c r="I32" s="113" t="s">
        <v>677</v>
      </c>
      <c r="J32" s="106">
        <v>0</v>
      </c>
      <c r="K32" s="94">
        <f t="shared" si="0"/>
        <v>0</v>
      </c>
      <c r="L32" s="93">
        <f t="shared" si="1"/>
        <v>0</v>
      </c>
      <c r="M32" s="233">
        <f>(B32*Costs!$B$3)+(C32*Costs!$B$4)+(D32*Costs!$B$5)+(E32*Costs!$B$6)+(G32+H32)</f>
        <v>4063.05</v>
      </c>
      <c r="N32" s="235">
        <v>1</v>
      </c>
      <c r="O32" s="130">
        <f t="shared" si="2"/>
        <v>0</v>
      </c>
      <c r="P32" s="130">
        <f t="shared" si="3"/>
        <v>0</v>
      </c>
      <c r="Q32" s="130">
        <f t="shared" si="4"/>
        <v>0</v>
      </c>
      <c r="R32" s="500" t="str">
        <f t="shared" si="5"/>
        <v>N/A</v>
      </c>
      <c r="S32" s="500">
        <f>ROUND(((B32+C32+D32+E32)*J32)/Universe!$C$8,2)</f>
        <v>0</v>
      </c>
      <c r="T32" s="235">
        <v>1</v>
      </c>
      <c r="U32" s="162" t="str">
        <f t="shared" si="6"/>
        <v>N/A</v>
      </c>
      <c r="V32" s="162">
        <f t="shared" si="7"/>
        <v>0</v>
      </c>
      <c r="W32" s="162">
        <f t="shared" si="8"/>
        <v>0</v>
      </c>
      <c r="X32" s="162">
        <f t="shared" si="9"/>
        <v>0</v>
      </c>
    </row>
    <row r="33" spans="1:24" x14ac:dyDescent="0.2">
      <c r="A33" s="275" t="s">
        <v>97</v>
      </c>
      <c r="B33" s="92">
        <v>0</v>
      </c>
      <c r="C33" s="228">
        <v>4</v>
      </c>
      <c r="D33" s="228">
        <v>30</v>
      </c>
      <c r="E33" s="228">
        <v>5</v>
      </c>
      <c r="F33" s="32">
        <f>ROUND(Costs!$B$3*B33+Costs!$B$4*C33+Costs!$B$5*D33+Costs!$B$6*E33,2)</f>
        <v>2786.45</v>
      </c>
      <c r="G33" s="32" t="str">
        <f>Costs!$B$62</f>
        <v xml:space="preserve"> </v>
      </c>
      <c r="H33" s="93">
        <f>Costs!B44</f>
        <v>1200</v>
      </c>
      <c r="I33" s="113" t="s">
        <v>677</v>
      </c>
      <c r="J33" s="106">
        <v>0</v>
      </c>
      <c r="K33" s="94">
        <f t="shared" si="0"/>
        <v>0</v>
      </c>
      <c r="L33" s="93">
        <f t="shared" si="1"/>
        <v>0</v>
      </c>
      <c r="M33" s="233">
        <f>(B33*Costs!$B$3)+(C33*Costs!$B$4)+(D33*Costs!$B$5)+(E33*Costs!$B$6)+(G33+H33)</f>
        <v>3986.4500000000003</v>
      </c>
      <c r="N33" s="235">
        <v>1</v>
      </c>
      <c r="O33" s="130">
        <f t="shared" si="2"/>
        <v>0</v>
      </c>
      <c r="P33" s="130">
        <f t="shared" si="3"/>
        <v>0</v>
      </c>
      <c r="Q33" s="130">
        <f t="shared" si="4"/>
        <v>0</v>
      </c>
      <c r="R33" s="500" t="str">
        <f t="shared" si="5"/>
        <v>N/A</v>
      </c>
      <c r="S33" s="500">
        <f>ROUND(((B33+C33+D33+E33)*J33)/Universe!$C$8,2)</f>
        <v>0</v>
      </c>
      <c r="T33" s="235">
        <v>1</v>
      </c>
      <c r="U33" s="162" t="str">
        <f t="shared" si="6"/>
        <v>N/A</v>
      </c>
      <c r="V33" s="162">
        <f t="shared" si="7"/>
        <v>0</v>
      </c>
      <c r="W33" s="162">
        <f t="shared" si="8"/>
        <v>0</v>
      </c>
      <c r="X33" s="162">
        <f t="shared" si="9"/>
        <v>0</v>
      </c>
    </row>
    <row r="34" spans="1:24" ht="20.399999999999999" x14ac:dyDescent="0.2">
      <c r="A34" s="275" t="s">
        <v>126</v>
      </c>
      <c r="B34" s="92">
        <v>0</v>
      </c>
      <c r="C34" s="228">
        <v>2</v>
      </c>
      <c r="D34" s="228">
        <v>16</v>
      </c>
      <c r="E34" s="228">
        <v>2</v>
      </c>
      <c r="F34" s="32">
        <f>ROUND(Costs!$B$3*B34+Costs!$B$4*C34+Costs!$B$5*D34+Costs!$B$6*E34,2)</f>
        <v>1444</v>
      </c>
      <c r="G34" s="32" t="str">
        <f>Costs!$B$62</f>
        <v xml:space="preserve"> </v>
      </c>
      <c r="H34" s="93">
        <f>Costs!B45</f>
        <v>5000</v>
      </c>
      <c r="I34" s="113" t="s">
        <v>677</v>
      </c>
      <c r="J34" s="106">
        <v>0</v>
      </c>
      <c r="K34" s="94">
        <f t="shared" si="0"/>
        <v>0</v>
      </c>
      <c r="L34" s="93">
        <f t="shared" si="1"/>
        <v>0</v>
      </c>
      <c r="M34" s="233">
        <f>(B34*Costs!$B$3)+(C34*Costs!$B$4)+(D34*Costs!$B$5)+(E34*Costs!$B$6)+(G34+H34)</f>
        <v>6444</v>
      </c>
      <c r="N34" s="235">
        <v>1</v>
      </c>
      <c r="O34" s="130">
        <f t="shared" si="2"/>
        <v>0</v>
      </c>
      <c r="P34" s="130">
        <f t="shared" si="3"/>
        <v>0</v>
      </c>
      <c r="Q34" s="130">
        <f t="shared" si="4"/>
        <v>0</v>
      </c>
      <c r="R34" s="500" t="str">
        <f t="shared" si="5"/>
        <v>N/A</v>
      </c>
      <c r="S34" s="500" t="e">
        <f>ROUND(((B34+C34+D34+E34)*J34)/Universe!$C$2,2)</f>
        <v>#DIV/0!</v>
      </c>
      <c r="T34" s="235">
        <v>1</v>
      </c>
      <c r="U34" s="162" t="str">
        <f t="shared" si="6"/>
        <v>N/A</v>
      </c>
      <c r="V34" s="162">
        <f t="shared" si="7"/>
        <v>0</v>
      </c>
      <c r="W34" s="162" t="e">
        <f t="shared" si="8"/>
        <v>#DIV/0!</v>
      </c>
      <c r="X34" s="162">
        <f t="shared" si="9"/>
        <v>0</v>
      </c>
    </row>
    <row r="35" spans="1:24" ht="30.6" x14ac:dyDescent="0.2">
      <c r="A35" s="275" t="s">
        <v>127</v>
      </c>
      <c r="B35" s="92">
        <v>0</v>
      </c>
      <c r="C35" s="228">
        <v>1</v>
      </c>
      <c r="D35" s="228">
        <v>9</v>
      </c>
      <c r="E35" s="228">
        <v>1</v>
      </c>
      <c r="F35" s="32">
        <f>ROUND(Costs!$B$3*B35+Costs!$B$4*C35+Costs!$B$5*D35+Costs!$B$6*E35,2)</f>
        <v>794.61</v>
      </c>
      <c r="G35" s="32" t="str">
        <f>Costs!$B$62</f>
        <v xml:space="preserve"> </v>
      </c>
      <c r="H35" s="93">
        <f>Costs!B46</f>
        <v>2500</v>
      </c>
      <c r="I35" s="113" t="s">
        <v>677</v>
      </c>
      <c r="J35" s="106">
        <f>ROUND((N35*Universe!$C$9),0)</f>
        <v>0</v>
      </c>
      <c r="K35" s="94">
        <f t="shared" si="0"/>
        <v>0</v>
      </c>
      <c r="L35" s="93">
        <f t="shared" si="1"/>
        <v>0</v>
      </c>
      <c r="M35" s="233">
        <f>(B35*Costs!$B$3)+(C35*Costs!$B$4)+(D35*Costs!$B$5)+(E35*Costs!$B$6)+(G35+H35)</f>
        <v>3294.61</v>
      </c>
      <c r="N35" s="235">
        <v>0.4</v>
      </c>
      <c r="O35" s="130">
        <f t="shared" si="2"/>
        <v>0</v>
      </c>
      <c r="P35" s="130">
        <f t="shared" si="3"/>
        <v>0</v>
      </c>
      <c r="Q35" s="130">
        <f t="shared" si="4"/>
        <v>0</v>
      </c>
      <c r="R35" s="500" t="str">
        <f t="shared" si="5"/>
        <v>N/A</v>
      </c>
      <c r="S35" s="500" t="e">
        <f>ROUND(((B35+C35+D35+E35)*J35)/Universe!$C$2,2)</f>
        <v>#DIV/0!</v>
      </c>
      <c r="T35" s="235">
        <v>1</v>
      </c>
      <c r="U35" s="162" t="str">
        <f t="shared" si="6"/>
        <v>N/A</v>
      </c>
      <c r="V35" s="162">
        <f t="shared" si="7"/>
        <v>0</v>
      </c>
      <c r="W35" s="162" t="e">
        <f t="shared" si="8"/>
        <v>#DIV/0!</v>
      </c>
      <c r="X35" s="162">
        <f t="shared" si="9"/>
        <v>0</v>
      </c>
    </row>
    <row r="36" spans="1:24" ht="20.399999999999999" x14ac:dyDescent="0.2">
      <c r="A36" s="275" t="s">
        <v>128</v>
      </c>
      <c r="B36" s="92">
        <v>0</v>
      </c>
      <c r="C36" s="228">
        <v>0.1</v>
      </c>
      <c r="D36" s="228">
        <v>1</v>
      </c>
      <c r="E36" s="228">
        <v>0.15</v>
      </c>
      <c r="F36" s="32">
        <f>ROUND(Costs!$B$3*B36+Costs!$B$4*C36+Costs!$B$5*D36+Costs!$B$6*E36,2)</f>
        <v>88.91</v>
      </c>
      <c r="G36" s="32" t="str">
        <f>Costs!$B$62</f>
        <v xml:space="preserve"> </v>
      </c>
      <c r="H36" s="93">
        <f>Costs!$B$16</f>
        <v>0</v>
      </c>
      <c r="I36" s="113" t="s">
        <v>677</v>
      </c>
      <c r="J36" s="106">
        <v>0</v>
      </c>
      <c r="K36" s="94">
        <f t="shared" si="0"/>
        <v>0</v>
      </c>
      <c r="L36" s="93">
        <f t="shared" si="1"/>
        <v>0</v>
      </c>
      <c r="M36" s="233">
        <f>(B36*Costs!$B$3)+(C36*Costs!$B$4)+(D36*Costs!$B$5)+(E36*Costs!$B$6)+(G36+H36)</f>
        <v>88.905500000000004</v>
      </c>
      <c r="N36" s="235">
        <v>1</v>
      </c>
      <c r="O36" s="130">
        <f t="shared" si="2"/>
        <v>0</v>
      </c>
      <c r="P36" s="130">
        <f t="shared" si="3"/>
        <v>0</v>
      </c>
      <c r="Q36" s="130">
        <f t="shared" si="4"/>
        <v>0</v>
      </c>
      <c r="R36" s="500" t="str">
        <f t="shared" si="5"/>
        <v>N/A</v>
      </c>
      <c r="S36" s="500" t="e">
        <f>ROUND(((B36+C36+D36+E36)*J36)/Universe!$C$2,2)</f>
        <v>#DIV/0!</v>
      </c>
      <c r="T36" s="235">
        <v>1</v>
      </c>
      <c r="U36" s="162" t="str">
        <f t="shared" si="6"/>
        <v>N/A</v>
      </c>
      <c r="V36" s="162">
        <f t="shared" si="7"/>
        <v>0</v>
      </c>
      <c r="W36" s="162" t="e">
        <f t="shared" si="8"/>
        <v>#DIV/0!</v>
      </c>
      <c r="X36" s="162">
        <f t="shared" si="9"/>
        <v>0</v>
      </c>
    </row>
    <row r="37" spans="1:24" x14ac:dyDescent="0.2">
      <c r="A37" s="275" t="s">
        <v>129</v>
      </c>
      <c r="B37" s="92">
        <v>0</v>
      </c>
      <c r="C37" s="228">
        <v>0</v>
      </c>
      <c r="D37" s="228">
        <v>2</v>
      </c>
      <c r="E37" s="228">
        <v>0.5</v>
      </c>
      <c r="F37" s="32">
        <f>ROUND(Costs!$B$3*B37+Costs!$B$4*C37+Costs!$B$5*D37+Costs!$B$6*E37,2)</f>
        <v>167.06</v>
      </c>
      <c r="G37" s="32" t="str">
        <f>Costs!$B$62</f>
        <v xml:space="preserve"> </v>
      </c>
      <c r="H37" s="93">
        <f>Costs!$B$16</f>
        <v>0</v>
      </c>
      <c r="I37" s="113" t="s">
        <v>677</v>
      </c>
      <c r="J37" s="106">
        <v>0</v>
      </c>
      <c r="K37" s="94">
        <f t="shared" si="0"/>
        <v>0</v>
      </c>
      <c r="L37" s="93">
        <f t="shared" si="1"/>
        <v>0</v>
      </c>
      <c r="M37" s="233">
        <f>(B37*Costs!$B$3)+(C37*Costs!$B$4)+(D37*Costs!$B$5)+(E37*Costs!$B$6)+(G37+H37)</f>
        <v>167.05500000000001</v>
      </c>
      <c r="N37" s="235">
        <v>1</v>
      </c>
      <c r="O37" s="130">
        <f t="shared" si="2"/>
        <v>0</v>
      </c>
      <c r="P37" s="130">
        <f t="shared" si="3"/>
        <v>0</v>
      </c>
      <c r="Q37" s="130">
        <f t="shared" si="4"/>
        <v>0</v>
      </c>
      <c r="R37" s="500" t="str">
        <f t="shared" si="5"/>
        <v>N/A</v>
      </c>
      <c r="S37" s="500" t="e">
        <f>ROUND(((B37+C37+D37+E37)*J37)/Universe!$C$2,2)</f>
        <v>#DIV/0!</v>
      </c>
      <c r="T37" s="235">
        <v>1</v>
      </c>
      <c r="U37" s="162" t="str">
        <f t="shared" si="6"/>
        <v>N/A</v>
      </c>
      <c r="V37" s="162">
        <f t="shared" si="7"/>
        <v>0</v>
      </c>
      <c r="W37" s="162" t="e">
        <f t="shared" si="8"/>
        <v>#DIV/0!</v>
      </c>
      <c r="X37" s="162">
        <f t="shared" si="9"/>
        <v>0</v>
      </c>
    </row>
    <row r="38" spans="1:24" ht="30.6" x14ac:dyDescent="0.2">
      <c r="A38" s="275" t="s">
        <v>130</v>
      </c>
      <c r="B38" s="92">
        <v>0</v>
      </c>
      <c r="C38" s="228">
        <v>0.25</v>
      </c>
      <c r="D38" s="228">
        <v>1</v>
      </c>
      <c r="E38" s="228">
        <v>0.75</v>
      </c>
      <c r="F38" s="32">
        <f>ROUND(Costs!$B$3*B38+Costs!$B$4*C38+Costs!$B$5*D38+Costs!$B$6*E38,2)</f>
        <v>129.72999999999999</v>
      </c>
      <c r="G38" s="32" t="str">
        <f>Costs!$B$62</f>
        <v xml:space="preserve"> </v>
      </c>
      <c r="H38" s="93">
        <f>Costs!$B$16</f>
        <v>0</v>
      </c>
      <c r="I38" s="113" t="s">
        <v>677</v>
      </c>
      <c r="J38" s="106">
        <f>ROUND(0,0)</f>
        <v>0</v>
      </c>
      <c r="K38" s="94">
        <f t="shared" si="0"/>
        <v>0</v>
      </c>
      <c r="L38" s="93">
        <f t="shared" si="1"/>
        <v>0</v>
      </c>
      <c r="M38" s="233">
        <f>(B38*Costs!$B$3)+(C38*Costs!$B$4)+(D38*Costs!$B$5)+(E38*Costs!$B$6)+(G38+H38)</f>
        <v>129.72499999999999</v>
      </c>
      <c r="N38" s="235">
        <v>0</v>
      </c>
      <c r="O38" s="130">
        <f t="shared" si="2"/>
        <v>0</v>
      </c>
      <c r="P38" s="130">
        <f t="shared" si="3"/>
        <v>0</v>
      </c>
      <c r="Q38" s="130">
        <f t="shared" si="4"/>
        <v>0</v>
      </c>
      <c r="R38" s="500" t="str">
        <f t="shared" si="5"/>
        <v>N/A</v>
      </c>
      <c r="S38" s="500" t="e">
        <f>ROUND(((B38+C38+D38+E38)*J38)/Universe!$C$2,2)</f>
        <v>#DIV/0!</v>
      </c>
      <c r="T38" s="235">
        <v>1</v>
      </c>
      <c r="U38" s="162" t="str">
        <f t="shared" si="6"/>
        <v>N/A</v>
      </c>
      <c r="V38" s="162">
        <f t="shared" si="7"/>
        <v>0</v>
      </c>
      <c r="W38" s="162" t="e">
        <f t="shared" si="8"/>
        <v>#DIV/0!</v>
      </c>
      <c r="X38" s="162">
        <f t="shared" si="9"/>
        <v>0</v>
      </c>
    </row>
    <row r="39" spans="1:24" ht="30.6" x14ac:dyDescent="0.2">
      <c r="A39" s="275" t="s">
        <v>131</v>
      </c>
      <c r="B39" s="92">
        <v>0</v>
      </c>
      <c r="C39" s="228">
        <v>0.25</v>
      </c>
      <c r="D39" s="228">
        <v>4</v>
      </c>
      <c r="E39" s="228">
        <v>0.75</v>
      </c>
      <c r="F39" s="32">
        <f>ROUND(Costs!$B$3*B39+Costs!$B$4*C39+Costs!$B$5*D39+Costs!$B$6*E39,2)</f>
        <v>347.56</v>
      </c>
      <c r="G39" s="32" t="str">
        <f>Costs!$B$62</f>
        <v xml:space="preserve"> </v>
      </c>
      <c r="H39" s="93">
        <f>Costs!$B$16</f>
        <v>0</v>
      </c>
      <c r="I39" s="113" t="s">
        <v>677</v>
      </c>
      <c r="J39" s="106">
        <f>ROUND((N39*Universe!$C$9),0)</f>
        <v>0</v>
      </c>
      <c r="K39" s="94">
        <f t="shared" si="0"/>
        <v>0</v>
      </c>
      <c r="L39" s="93">
        <f t="shared" si="1"/>
        <v>0</v>
      </c>
      <c r="M39" s="233">
        <f>(B39*Costs!$B$3)+(C39*Costs!$B$4)+(D39*Costs!$B$5)+(E39*Costs!$B$6)+(G39+H39)</f>
        <v>347.55500000000001</v>
      </c>
      <c r="N39" s="247">
        <v>0.24</v>
      </c>
      <c r="O39" s="130">
        <f t="shared" si="2"/>
        <v>0</v>
      </c>
      <c r="P39" s="130">
        <f t="shared" si="3"/>
        <v>0</v>
      </c>
      <c r="Q39" s="130">
        <f t="shared" si="4"/>
        <v>0</v>
      </c>
      <c r="R39" s="500" t="str">
        <f t="shared" si="5"/>
        <v>N/A</v>
      </c>
      <c r="S39" s="500" t="e">
        <f>ROUND(((B39+C39+D39+E39)*J39)/Universe!$C$2,2)</f>
        <v>#DIV/0!</v>
      </c>
      <c r="T39" s="235">
        <v>1</v>
      </c>
      <c r="U39" s="162" t="str">
        <f t="shared" si="6"/>
        <v>N/A</v>
      </c>
      <c r="V39" s="162">
        <f t="shared" si="7"/>
        <v>0</v>
      </c>
      <c r="W39" s="162" t="e">
        <f t="shared" si="8"/>
        <v>#DIV/0!</v>
      </c>
      <c r="X39" s="162">
        <f t="shared" si="9"/>
        <v>0</v>
      </c>
    </row>
    <row r="40" spans="1:24" ht="20.399999999999999" x14ac:dyDescent="0.2">
      <c r="A40" s="275" t="s">
        <v>132</v>
      </c>
      <c r="B40" s="92">
        <v>0</v>
      </c>
      <c r="C40" s="228">
        <v>5</v>
      </c>
      <c r="D40" s="228">
        <v>44</v>
      </c>
      <c r="E40" s="228">
        <v>6</v>
      </c>
      <c r="F40" s="32">
        <f>ROUND(Costs!$B$3*B40+Costs!$B$4*C40+Costs!$B$5*D40+Costs!$B$6*E40,2)</f>
        <v>3944.11</v>
      </c>
      <c r="G40" s="32" t="str">
        <f>Costs!$B$62</f>
        <v xml:space="preserve"> </v>
      </c>
      <c r="H40" s="93">
        <f>Costs!B47</f>
        <v>14800</v>
      </c>
      <c r="I40" s="113" t="s">
        <v>677</v>
      </c>
      <c r="J40" s="106">
        <f>ROUND((N40*Universe!$C$9),0)</f>
        <v>0</v>
      </c>
      <c r="K40" s="94">
        <f t="shared" si="0"/>
        <v>0</v>
      </c>
      <c r="L40" s="93">
        <f t="shared" si="1"/>
        <v>0</v>
      </c>
      <c r="M40" s="233">
        <f>(B40*Costs!$B$3)+(C40*Costs!$B$4)+(D40*Costs!$B$5)+(E40*Costs!$B$6)+(G40+H40)</f>
        <v>18744.11</v>
      </c>
      <c r="N40" s="247">
        <v>0.24</v>
      </c>
      <c r="O40" s="130">
        <f t="shared" si="2"/>
        <v>0</v>
      </c>
      <c r="P40" s="130">
        <f t="shared" si="3"/>
        <v>0</v>
      </c>
      <c r="Q40" s="130">
        <f t="shared" si="4"/>
        <v>0</v>
      </c>
      <c r="R40" s="500" t="str">
        <f t="shared" si="5"/>
        <v>N/A</v>
      </c>
      <c r="S40" s="500" t="e">
        <f>ROUND(((B40+C40+D40+E40)*J40)/Universe!$C$2,2)</f>
        <v>#DIV/0!</v>
      </c>
      <c r="T40" s="235">
        <v>1</v>
      </c>
      <c r="U40" s="162" t="str">
        <f t="shared" si="6"/>
        <v>N/A</v>
      </c>
      <c r="V40" s="162">
        <f t="shared" si="7"/>
        <v>0</v>
      </c>
      <c r="W40" s="162" t="e">
        <f t="shared" si="8"/>
        <v>#DIV/0!</v>
      </c>
      <c r="X40" s="162">
        <f t="shared" si="9"/>
        <v>0</v>
      </c>
    </row>
    <row r="41" spans="1:24" ht="20.399999999999999" x14ac:dyDescent="0.2">
      <c r="A41" s="275" t="s">
        <v>133</v>
      </c>
      <c r="B41" s="92">
        <v>0</v>
      </c>
      <c r="C41" s="228">
        <v>1</v>
      </c>
      <c r="D41" s="228">
        <v>4</v>
      </c>
      <c r="E41" s="228">
        <v>1</v>
      </c>
      <c r="F41" s="32">
        <f>ROUND(Costs!$B$3*B41+Costs!$B$4*C41+Costs!$B$5*D41+Costs!$B$6*E41,2)</f>
        <v>431.56</v>
      </c>
      <c r="G41" s="32" t="str">
        <f>Costs!$B$62</f>
        <v xml:space="preserve"> </v>
      </c>
      <c r="H41" s="93">
        <f>Costs!$B$16</f>
        <v>0</v>
      </c>
      <c r="I41" s="113" t="s">
        <v>677</v>
      </c>
      <c r="J41" s="106">
        <f>ROUND((N41*Universe!$C$9),0)</f>
        <v>0</v>
      </c>
      <c r="K41" s="94">
        <f t="shared" si="0"/>
        <v>0</v>
      </c>
      <c r="L41" s="93">
        <f t="shared" si="1"/>
        <v>0</v>
      </c>
      <c r="M41" s="233">
        <f>(B41*Costs!$B$3)+(C41*Costs!$B$4)+(D41*Costs!$B$5)+(E41*Costs!$B$6)+(G41+H41)</f>
        <v>431.56</v>
      </c>
      <c r="N41" s="235">
        <v>0.05</v>
      </c>
      <c r="O41" s="130">
        <f t="shared" si="2"/>
        <v>0</v>
      </c>
      <c r="P41" s="130">
        <f t="shared" si="3"/>
        <v>0</v>
      </c>
      <c r="Q41" s="130">
        <f t="shared" si="4"/>
        <v>0</v>
      </c>
      <c r="R41" s="500" t="str">
        <f t="shared" si="5"/>
        <v>N/A</v>
      </c>
      <c r="S41" s="500" t="e">
        <f>ROUND(((B41+C41+D41+E41)*J41)/Universe!$C$2,2)</f>
        <v>#DIV/0!</v>
      </c>
      <c r="T41" s="235">
        <v>1</v>
      </c>
      <c r="U41" s="162" t="str">
        <f t="shared" si="6"/>
        <v>N/A</v>
      </c>
      <c r="V41" s="162">
        <f t="shared" si="7"/>
        <v>0</v>
      </c>
      <c r="W41" s="162" t="e">
        <f t="shared" si="8"/>
        <v>#DIV/0!</v>
      </c>
      <c r="X41" s="162">
        <f t="shared" si="9"/>
        <v>0</v>
      </c>
    </row>
    <row r="42" spans="1:24" ht="20.399999999999999" x14ac:dyDescent="0.2">
      <c r="A42" s="275" t="s">
        <v>134</v>
      </c>
      <c r="B42" s="92">
        <v>0</v>
      </c>
      <c r="C42" s="228">
        <v>3</v>
      </c>
      <c r="D42" s="228">
        <v>18</v>
      </c>
      <c r="E42" s="228">
        <v>3</v>
      </c>
      <c r="F42" s="32">
        <f>ROUND(Costs!$B$3*B42+Costs!$B$4*C42+Costs!$B$5*D42+Costs!$B$6*E42,2)</f>
        <v>1730.34</v>
      </c>
      <c r="G42" s="32" t="str">
        <f>Costs!$B$62</f>
        <v xml:space="preserve"> </v>
      </c>
      <c r="H42" s="93">
        <f>Costs!B48</f>
        <v>3700</v>
      </c>
      <c r="I42" s="113" t="s">
        <v>677</v>
      </c>
      <c r="J42" s="106">
        <v>0</v>
      </c>
      <c r="K42" s="94">
        <f t="shared" si="0"/>
        <v>0</v>
      </c>
      <c r="L42" s="93">
        <f t="shared" si="1"/>
        <v>0</v>
      </c>
      <c r="M42" s="233">
        <f>(B42*Costs!$B$3)+(C42*Costs!$B$4)+(D42*Costs!$B$5)+(E42*Costs!$B$6)+(G42+H42)</f>
        <v>5430.34</v>
      </c>
      <c r="N42" s="235">
        <v>1</v>
      </c>
      <c r="O42" s="130">
        <f t="shared" si="2"/>
        <v>0</v>
      </c>
      <c r="P42" s="130">
        <f t="shared" si="3"/>
        <v>0</v>
      </c>
      <c r="Q42" s="130">
        <f t="shared" si="4"/>
        <v>0</v>
      </c>
      <c r="R42" s="500" t="str">
        <f t="shared" si="5"/>
        <v>N/A</v>
      </c>
      <c r="S42" s="500">
        <f>ROUND(((B42+C42+D42+E42)*J42)/Universe!$C$8,2)</f>
        <v>0</v>
      </c>
      <c r="T42" s="235">
        <v>1</v>
      </c>
      <c r="U42" s="162" t="str">
        <f t="shared" si="6"/>
        <v>N/A</v>
      </c>
      <c r="V42" s="162">
        <f t="shared" si="7"/>
        <v>0</v>
      </c>
      <c r="W42" s="162">
        <f t="shared" si="8"/>
        <v>0</v>
      </c>
      <c r="X42" s="162">
        <f t="shared" si="9"/>
        <v>0</v>
      </c>
    </row>
    <row r="43" spans="1:24" x14ac:dyDescent="0.2">
      <c r="A43" s="275" t="s">
        <v>98</v>
      </c>
      <c r="B43" s="92">
        <v>0</v>
      </c>
      <c r="C43" s="228">
        <v>2</v>
      </c>
      <c r="D43" s="228">
        <v>16</v>
      </c>
      <c r="E43" s="228">
        <v>2</v>
      </c>
      <c r="F43" s="32">
        <f>ROUND(Costs!$B$3*B43+Costs!$B$4*C43+Costs!$B$5*D43+Costs!$B$6*E43,2)</f>
        <v>1444</v>
      </c>
      <c r="G43" s="32" t="str">
        <f>Costs!$B$62</f>
        <v xml:space="preserve"> </v>
      </c>
      <c r="H43" s="93">
        <f>Costs!B49</f>
        <v>6000</v>
      </c>
      <c r="I43" s="113" t="s">
        <v>677</v>
      </c>
      <c r="J43" s="106">
        <v>0</v>
      </c>
      <c r="K43" s="94">
        <f t="shared" si="0"/>
        <v>0</v>
      </c>
      <c r="L43" s="93">
        <f t="shared" si="1"/>
        <v>0</v>
      </c>
      <c r="M43" s="233">
        <f>(B43*Costs!$B$3)+(C43*Costs!$B$4)+(D43*Costs!$B$5)+(E43*Costs!$B$6)+(G43+H43)</f>
        <v>7444</v>
      </c>
      <c r="N43" s="235">
        <v>1</v>
      </c>
      <c r="O43" s="130">
        <f t="shared" si="2"/>
        <v>0</v>
      </c>
      <c r="P43" s="130">
        <f t="shared" si="3"/>
        <v>0</v>
      </c>
      <c r="Q43" s="130">
        <f t="shared" si="4"/>
        <v>0</v>
      </c>
      <c r="R43" s="500" t="str">
        <f t="shared" si="5"/>
        <v>N/A</v>
      </c>
      <c r="S43" s="500">
        <f>ROUND(((B43+C43+D43+E43)*J43)/Universe!$C$8,2)</f>
        <v>0</v>
      </c>
      <c r="T43" s="235">
        <v>1</v>
      </c>
      <c r="U43" s="162" t="str">
        <f t="shared" si="6"/>
        <v>N/A</v>
      </c>
      <c r="V43" s="162">
        <f t="shared" si="7"/>
        <v>0</v>
      </c>
      <c r="W43" s="162">
        <f t="shared" si="8"/>
        <v>0</v>
      </c>
      <c r="X43" s="162">
        <f t="shared" si="9"/>
        <v>0</v>
      </c>
    </row>
    <row r="44" spans="1:24" x14ac:dyDescent="0.2">
      <c r="A44" s="275" t="s">
        <v>99</v>
      </c>
      <c r="B44" s="92">
        <v>0</v>
      </c>
      <c r="C44" s="92">
        <v>1</v>
      </c>
      <c r="D44" s="92">
        <v>8</v>
      </c>
      <c r="E44" s="92">
        <v>1</v>
      </c>
      <c r="F44" s="32">
        <f>ROUND(Costs!$B$3*B44+Costs!$B$4*C44+Costs!$B$5*D44+Costs!$B$6*E44,2)</f>
        <v>722</v>
      </c>
      <c r="G44" s="32" t="str">
        <f>Costs!$B$62</f>
        <v xml:space="preserve"> </v>
      </c>
      <c r="H44" s="93">
        <f>Costs!B50</f>
        <v>2000</v>
      </c>
      <c r="I44" s="113" t="s">
        <v>677</v>
      </c>
      <c r="J44" s="106">
        <v>0</v>
      </c>
      <c r="K44" s="94">
        <f t="shared" si="0"/>
        <v>0</v>
      </c>
      <c r="L44" s="93">
        <f t="shared" si="1"/>
        <v>0</v>
      </c>
      <c r="M44" s="233">
        <f>(B44*Costs!$B$3)+(C44*Costs!$B$4)+(D44*Costs!$B$5)+(E44*Costs!$B$6)+(G44+H44)</f>
        <v>2722</v>
      </c>
      <c r="N44" s="235">
        <v>1</v>
      </c>
      <c r="O44" s="130">
        <f t="shared" si="2"/>
        <v>0</v>
      </c>
      <c r="P44" s="130">
        <f t="shared" si="3"/>
        <v>0</v>
      </c>
      <c r="Q44" s="130">
        <f t="shared" si="4"/>
        <v>0</v>
      </c>
      <c r="R44" s="500" t="str">
        <f t="shared" si="5"/>
        <v>N/A</v>
      </c>
      <c r="S44" s="500">
        <f>ROUND(((B44+C44+D44+E44)*J44)/Universe!$C$8,2)</f>
        <v>0</v>
      </c>
      <c r="T44" s="235">
        <v>1</v>
      </c>
      <c r="U44" s="162" t="str">
        <f t="shared" si="6"/>
        <v>N/A</v>
      </c>
      <c r="V44" s="162">
        <f t="shared" si="7"/>
        <v>0</v>
      </c>
      <c r="W44" s="162">
        <f t="shared" si="8"/>
        <v>0</v>
      </c>
      <c r="X44" s="162">
        <f t="shared" si="9"/>
        <v>0</v>
      </c>
    </row>
    <row r="45" spans="1:24" x14ac:dyDescent="0.2">
      <c r="A45" s="275" t="s">
        <v>647</v>
      </c>
      <c r="B45" s="92">
        <v>0</v>
      </c>
      <c r="C45" s="92">
        <v>0.25</v>
      </c>
      <c r="D45" s="92">
        <v>1</v>
      </c>
      <c r="E45" s="92">
        <v>0</v>
      </c>
      <c r="F45" s="32">
        <f>ROUND(Costs!$B$3*B45+Costs!$B$4*C45+Costs!$B$5*D45+Costs!$B$6*E45,2)</f>
        <v>96.97</v>
      </c>
      <c r="G45" s="32" t="str">
        <f>Costs!$B$62</f>
        <v xml:space="preserve"> </v>
      </c>
      <c r="H45" s="93">
        <f>Costs!$B$16</f>
        <v>0</v>
      </c>
      <c r="I45" s="113" t="s">
        <v>677</v>
      </c>
      <c r="J45" s="106">
        <v>0</v>
      </c>
      <c r="K45" s="94">
        <f t="shared" si="0"/>
        <v>0</v>
      </c>
      <c r="L45" s="93">
        <f t="shared" si="1"/>
        <v>0</v>
      </c>
      <c r="M45" s="233">
        <f>(B45*Costs!$B$3)+(C45*Costs!$B$4)+(D45*Costs!$B$5)+(E45*Costs!$B$6)+(G45+H45)</f>
        <v>96.972499999999997</v>
      </c>
      <c r="N45" s="235">
        <v>1</v>
      </c>
      <c r="O45" s="130">
        <f t="shared" si="2"/>
        <v>0</v>
      </c>
      <c r="P45" s="130">
        <f t="shared" si="3"/>
        <v>0</v>
      </c>
      <c r="Q45" s="130">
        <f t="shared" si="4"/>
        <v>0</v>
      </c>
      <c r="R45" s="500" t="str">
        <f t="shared" si="5"/>
        <v>N/A</v>
      </c>
      <c r="S45" s="500">
        <f>ROUND(((B45+C45+D45+E45)*J45)/Universe!$C$8,2)</f>
        <v>0</v>
      </c>
      <c r="T45" s="235">
        <v>1</v>
      </c>
      <c r="U45" s="162" t="str">
        <f t="shared" si="6"/>
        <v>N/A</v>
      </c>
      <c r="V45" s="162">
        <f t="shared" si="7"/>
        <v>0</v>
      </c>
      <c r="W45" s="162">
        <f t="shared" si="8"/>
        <v>0</v>
      </c>
      <c r="X45" s="162">
        <f t="shared" si="9"/>
        <v>0</v>
      </c>
    </row>
    <row r="46" spans="1:24" x14ac:dyDescent="0.2">
      <c r="A46" s="275" t="s">
        <v>100</v>
      </c>
      <c r="B46" s="92">
        <v>0</v>
      </c>
      <c r="C46" s="92">
        <v>0</v>
      </c>
      <c r="D46" s="92">
        <v>0</v>
      </c>
      <c r="E46" s="92">
        <v>0.1</v>
      </c>
      <c r="F46" s="32">
        <f>ROUND(Costs!$B$3*B46+Costs!$B$4*C46+Costs!$B$5*D46+Costs!$B$6*E46,2)</f>
        <v>4.37</v>
      </c>
      <c r="G46" s="32" t="str">
        <f>Costs!$B$62</f>
        <v xml:space="preserve"> </v>
      </c>
      <c r="H46" s="32">
        <f>Costs!$B$19</f>
        <v>4.4000000000000004</v>
      </c>
      <c r="I46" s="113" t="s">
        <v>677</v>
      </c>
      <c r="J46" s="106">
        <v>0</v>
      </c>
      <c r="K46" s="94">
        <f t="shared" si="0"/>
        <v>0</v>
      </c>
      <c r="L46" s="93">
        <f t="shared" si="1"/>
        <v>0</v>
      </c>
      <c r="M46" s="233">
        <f>(B46*Costs!$B$3)+(C46*Costs!$B$4)+(D46*Costs!$B$5)+(E46*Costs!$B$6)+(G46+H46)</f>
        <v>8.7669999999999995</v>
      </c>
      <c r="N46" s="235">
        <v>1</v>
      </c>
      <c r="O46" s="130">
        <f t="shared" si="2"/>
        <v>0</v>
      </c>
      <c r="P46" s="130">
        <f t="shared" si="3"/>
        <v>0</v>
      </c>
      <c r="Q46" s="130">
        <f t="shared" si="4"/>
        <v>0</v>
      </c>
      <c r="R46" s="500" t="str">
        <f t="shared" si="5"/>
        <v>N/A</v>
      </c>
      <c r="S46" s="500" t="e">
        <f>ROUND(((B46+C46+D46+E46)*J46)/Universe!$C$2,2)</f>
        <v>#DIV/0!</v>
      </c>
      <c r="T46" s="235">
        <v>1</v>
      </c>
      <c r="U46" s="162" t="str">
        <f t="shared" si="6"/>
        <v>N/A</v>
      </c>
      <c r="V46" s="162">
        <f t="shared" si="7"/>
        <v>0</v>
      </c>
      <c r="W46" s="162" t="e">
        <f t="shared" si="8"/>
        <v>#DIV/0!</v>
      </c>
      <c r="X46" s="162">
        <f t="shared" si="9"/>
        <v>0</v>
      </c>
    </row>
    <row r="47" spans="1:24" ht="10.8" thickBot="1" x14ac:dyDescent="0.25">
      <c r="A47" s="281" t="s">
        <v>135</v>
      </c>
      <c r="B47" s="282">
        <v>0</v>
      </c>
      <c r="C47" s="282">
        <v>0</v>
      </c>
      <c r="D47" s="282">
        <v>0</v>
      </c>
      <c r="E47" s="282">
        <v>0.5</v>
      </c>
      <c r="F47" s="191">
        <f>ROUND(Costs!$B$3*B47+Costs!$B$4*C47+Costs!$B$5*D47+Costs!$B$6*E47,2)</f>
        <v>21.84</v>
      </c>
      <c r="G47" s="191" t="str">
        <f>Costs!$B$62</f>
        <v xml:space="preserve"> </v>
      </c>
      <c r="H47" s="286">
        <f>Costs!$B$16</f>
        <v>0</v>
      </c>
      <c r="I47" s="320" t="s">
        <v>677</v>
      </c>
      <c r="J47" s="321">
        <v>0</v>
      </c>
      <c r="K47" s="285">
        <f t="shared" si="0"/>
        <v>0</v>
      </c>
      <c r="L47" s="286">
        <f t="shared" si="1"/>
        <v>0</v>
      </c>
      <c r="M47" s="233">
        <f>(B47*Costs!$B$3)+(C47*Costs!$B$4)+(D47*Costs!$B$5)+(E47*Costs!$B$6)+(G47+H47)</f>
        <v>21.835000000000001</v>
      </c>
      <c r="N47" s="235">
        <v>1</v>
      </c>
      <c r="O47" s="130">
        <f t="shared" si="2"/>
        <v>0</v>
      </c>
      <c r="P47" s="130">
        <f t="shared" si="3"/>
        <v>0</v>
      </c>
      <c r="Q47" s="130">
        <f t="shared" si="4"/>
        <v>0</v>
      </c>
      <c r="R47" s="500" t="str">
        <f t="shared" si="5"/>
        <v>N/A</v>
      </c>
      <c r="S47" s="500" t="e">
        <f>ROUND(((B47+C47+D47+E47)*J47)/Universe!$C$2,2)</f>
        <v>#DIV/0!</v>
      </c>
      <c r="T47" s="235">
        <v>2</v>
      </c>
      <c r="U47" s="162">
        <f t="shared" si="6"/>
        <v>0</v>
      </c>
      <c r="V47" s="162" t="str">
        <f t="shared" si="7"/>
        <v>N/A</v>
      </c>
      <c r="W47" s="162">
        <f t="shared" si="8"/>
        <v>0</v>
      </c>
      <c r="X47" s="162" t="e">
        <f t="shared" si="9"/>
        <v>#DIV/0!</v>
      </c>
    </row>
    <row r="48" spans="1:24" ht="10.8" thickBot="1" x14ac:dyDescent="0.25">
      <c r="A48" s="305" t="s">
        <v>596</v>
      </c>
      <c r="B48" s="324" t="s">
        <v>597</v>
      </c>
      <c r="C48" s="324" t="s">
        <v>597</v>
      </c>
      <c r="D48" s="324" t="s">
        <v>597</v>
      </c>
      <c r="E48" s="324" t="s">
        <v>597</v>
      </c>
      <c r="F48" s="324" t="s">
        <v>597</v>
      </c>
      <c r="G48" s="324" t="s">
        <v>597</v>
      </c>
      <c r="H48" s="324" t="s">
        <v>597</v>
      </c>
      <c r="I48" s="324" t="s">
        <v>597</v>
      </c>
      <c r="J48" s="324" t="s">
        <v>597</v>
      </c>
      <c r="K48" s="304">
        <f>SUM(K22:K47)</f>
        <v>0</v>
      </c>
      <c r="L48" s="294">
        <f>SUM(L22:L47)</f>
        <v>0</v>
      </c>
      <c r="M48" s="236" t="s">
        <v>597</v>
      </c>
      <c r="O48" s="304">
        <f>SUM(O22:O47)</f>
        <v>0</v>
      </c>
      <c r="P48" s="304">
        <f>SUM(P22:P47)</f>
        <v>0</v>
      </c>
      <c r="Q48" s="304">
        <f>SUM(Q22:Q47)</f>
        <v>0</v>
      </c>
      <c r="R48" s="498"/>
      <c r="U48" s="304">
        <f>SUM(U22:U47)</f>
        <v>0</v>
      </c>
      <c r="V48" s="304">
        <f>SUM(V22:V47)</f>
        <v>0</v>
      </c>
      <c r="W48" s="304" t="e">
        <f>SUM(W22:W47)</f>
        <v>#DIV/0!</v>
      </c>
      <c r="X48" s="304" t="e">
        <f>SUM(X22:X47)</f>
        <v>#DIV/0!</v>
      </c>
    </row>
    <row r="49" spans="1:28" x14ac:dyDescent="0.2">
      <c r="A49" s="287" t="s">
        <v>559</v>
      </c>
      <c r="B49" s="288"/>
      <c r="C49" s="288"/>
      <c r="D49" s="288"/>
      <c r="E49" s="288"/>
      <c r="F49" s="289"/>
      <c r="G49" s="289"/>
      <c r="H49" s="289"/>
      <c r="I49" s="331"/>
      <c r="J49" s="332"/>
      <c r="K49" s="291"/>
      <c r="L49" s="292"/>
      <c r="M49" s="233"/>
      <c r="O49" s="130"/>
      <c r="P49" s="130"/>
      <c r="Q49" s="130"/>
      <c r="R49" s="498"/>
    </row>
    <row r="50" spans="1:28" x14ac:dyDescent="0.2">
      <c r="A50" s="255" t="s">
        <v>388</v>
      </c>
      <c r="B50" s="256"/>
      <c r="C50" s="256"/>
      <c r="D50" s="256"/>
      <c r="E50" s="256"/>
      <c r="F50" s="257"/>
      <c r="G50" s="257"/>
      <c r="H50" s="257"/>
      <c r="I50" s="314"/>
      <c r="J50" s="315"/>
      <c r="K50" s="259"/>
      <c r="L50" s="262"/>
      <c r="M50" s="233"/>
      <c r="O50" s="130"/>
      <c r="P50" s="130"/>
      <c r="Q50" s="130"/>
      <c r="R50" s="498"/>
    </row>
    <row r="51" spans="1:28" x14ac:dyDescent="0.2">
      <c r="A51" s="90" t="s">
        <v>610</v>
      </c>
      <c r="B51" s="92">
        <v>0</v>
      </c>
      <c r="C51" s="92">
        <v>0</v>
      </c>
      <c r="D51" s="92">
        <v>1</v>
      </c>
      <c r="E51" s="92">
        <v>0</v>
      </c>
      <c r="F51" s="32">
        <f>ROUND(Costs!$B$3*B51+Costs!$B$4*C51+Costs!$B$5*D51+Costs!$B$6*E51,2)</f>
        <v>72.61</v>
      </c>
      <c r="G51" s="32" t="str">
        <f>Costs!$B$62</f>
        <v xml:space="preserve"> </v>
      </c>
      <c r="H51" s="93">
        <f>Costs!$B$16</f>
        <v>0</v>
      </c>
      <c r="I51" s="113" t="s">
        <v>677</v>
      </c>
      <c r="J51" s="106">
        <v>0</v>
      </c>
      <c r="K51" s="94">
        <f>ROUND((I51+J51)*(B51+C51+D51+E51),2)</f>
        <v>0</v>
      </c>
      <c r="L51" s="93">
        <f>(I51+J51)*(F51+G51+H51)</f>
        <v>0</v>
      </c>
      <c r="M51" s="233">
        <f>(B51*Costs!$B$3)+(C51*Costs!$B$4)+(D51*Costs!$B$5)+(E51*Costs!$B$6)+(G51+H51)</f>
        <v>72.61</v>
      </c>
      <c r="N51" s="235">
        <v>1</v>
      </c>
      <c r="O51" s="130">
        <f>F51*(I51+J51)</f>
        <v>0</v>
      </c>
      <c r="P51" s="130">
        <f>G51*(I51+J51)</f>
        <v>0</v>
      </c>
      <c r="Q51" s="130">
        <f>H51*(I51+J51)</f>
        <v>0</v>
      </c>
      <c r="R51" s="500" t="str">
        <f>I51</f>
        <v>N/A</v>
      </c>
      <c r="S51" s="500">
        <f>ROUND(((B51+C51+D51+E51)*J51)/Universe!$C$8,2)</f>
        <v>0</v>
      </c>
      <c r="T51" s="235">
        <v>2</v>
      </c>
      <c r="U51" s="162">
        <f>IF(T51=1,R51,0)</f>
        <v>0</v>
      </c>
      <c r="V51" s="162" t="str">
        <f>IF(T51=2,R51,0)</f>
        <v>N/A</v>
      </c>
      <c r="W51" s="162">
        <f>IF(T51=1,S51,0)</f>
        <v>0</v>
      </c>
      <c r="X51" s="162">
        <f>IF(T51=2,S51,0)</f>
        <v>0</v>
      </c>
    </row>
    <row r="52" spans="1:28" x14ac:dyDescent="0.2">
      <c r="A52" s="90" t="s">
        <v>619</v>
      </c>
      <c r="B52" s="92">
        <v>0</v>
      </c>
      <c r="C52" s="92">
        <v>0</v>
      </c>
      <c r="D52" s="92">
        <v>5</v>
      </c>
      <c r="E52" s="92">
        <v>1</v>
      </c>
      <c r="F52" s="32">
        <f>ROUND(Costs!$B$3*B52+Costs!$B$4*C52+Costs!$B$5*D52+Costs!$B$6*E52,2)</f>
        <v>406.72</v>
      </c>
      <c r="G52" s="32" t="str">
        <f>Costs!$B$62</f>
        <v xml:space="preserve"> </v>
      </c>
      <c r="H52" s="93">
        <f>Costs!$B$16</f>
        <v>0</v>
      </c>
      <c r="I52" s="113" t="s">
        <v>677</v>
      </c>
      <c r="J52" s="106">
        <v>0</v>
      </c>
      <c r="K52" s="94">
        <f>ROUND((I52+J52)*(B52+C52+D52+E52),2)</f>
        <v>0</v>
      </c>
      <c r="L52" s="93">
        <f>(I52+J52)*(F52+G52+H52)</f>
        <v>0</v>
      </c>
      <c r="M52" s="233">
        <f>(B52*Costs!$B$3)+(C52*Costs!$B$4)+(D52*Costs!$B$5)+(E52*Costs!$B$6)+(G52+H52)</f>
        <v>406.72</v>
      </c>
      <c r="N52" s="235">
        <v>1</v>
      </c>
      <c r="O52" s="130">
        <f>F52*(I52+J52)</f>
        <v>0</v>
      </c>
      <c r="P52" s="130">
        <f>G52*(I52+J52)</f>
        <v>0</v>
      </c>
      <c r="Q52" s="130">
        <f>H52*(I52+J52)</f>
        <v>0</v>
      </c>
      <c r="R52" s="500" t="str">
        <f>I52</f>
        <v>N/A</v>
      </c>
      <c r="S52" s="500">
        <f>ROUND(((B52+C52+D52+E52)*J52)/Universe!$C$8,2)</f>
        <v>0</v>
      </c>
      <c r="T52" s="235">
        <v>1</v>
      </c>
      <c r="U52" s="162" t="str">
        <f>IF(T52=1,R52,0)</f>
        <v>N/A</v>
      </c>
      <c r="V52" s="162">
        <f>IF(T52=2,R52,0)</f>
        <v>0</v>
      </c>
      <c r="W52" s="162">
        <f>IF(T52=1,S52,0)</f>
        <v>0</v>
      </c>
      <c r="X52" s="162">
        <f>IF(T52=2,S52,0)</f>
        <v>0</v>
      </c>
    </row>
    <row r="53" spans="1:28" x14ac:dyDescent="0.2">
      <c r="A53" s="90" t="s">
        <v>101</v>
      </c>
      <c r="B53" s="92">
        <v>0</v>
      </c>
      <c r="C53" s="92">
        <v>0</v>
      </c>
      <c r="D53" s="92">
        <v>5</v>
      </c>
      <c r="E53" s="92">
        <v>2</v>
      </c>
      <c r="F53" s="32">
        <f>ROUND(Costs!$B$3*B53+Costs!$B$4*C53+Costs!$B$5*D53+Costs!$B$6*E53,2)</f>
        <v>450.39</v>
      </c>
      <c r="G53" s="32" t="str">
        <f>Costs!$B$62</f>
        <v xml:space="preserve"> </v>
      </c>
      <c r="H53" s="32">
        <f>Costs!$B$19</f>
        <v>4.4000000000000004</v>
      </c>
      <c r="I53" s="113" t="s">
        <v>677</v>
      </c>
      <c r="J53" s="106">
        <v>0</v>
      </c>
      <c r="K53" s="94">
        <f>ROUND((I53+J53)*(B53+C53+D53+E53),2)</f>
        <v>0</v>
      </c>
      <c r="L53" s="93">
        <f>(I53+J53)*(F53+G53+H53)</f>
        <v>0</v>
      </c>
      <c r="M53" s="233">
        <f>(B53*Costs!$B$3)+(C53*Costs!$B$4)+(D53*Costs!$B$5)+(E53*Costs!$B$6)+(G53+H53)</f>
        <v>454.78999999999996</v>
      </c>
      <c r="N53" s="235">
        <v>1</v>
      </c>
      <c r="O53" s="130">
        <f>F53*(I53+J53)</f>
        <v>0</v>
      </c>
      <c r="P53" s="130">
        <f>G53*(I53+J53)</f>
        <v>0</v>
      </c>
      <c r="Q53" s="130">
        <f>H53*(I53+J53)</f>
        <v>0</v>
      </c>
      <c r="R53" s="500" t="str">
        <f>I53</f>
        <v>N/A</v>
      </c>
      <c r="S53" s="500">
        <f>ROUND(((B53+C53+D53+E53)*J53)/Universe!$C$8,2)</f>
        <v>0</v>
      </c>
      <c r="T53" s="235">
        <v>1</v>
      </c>
      <c r="U53" s="162" t="str">
        <f>IF(T53=1,R53,0)</f>
        <v>N/A</v>
      </c>
      <c r="V53" s="162">
        <f>IF(T53=2,R53,0)</f>
        <v>0</v>
      </c>
      <c r="W53" s="162">
        <f>IF(T53=1,S53,0)</f>
        <v>0</v>
      </c>
      <c r="X53" s="162">
        <f>IF(T53=2,S53,0)</f>
        <v>0</v>
      </c>
    </row>
    <row r="54" spans="1:28" x14ac:dyDescent="0.2">
      <c r="A54" s="255" t="s">
        <v>389</v>
      </c>
      <c r="B54" s="256"/>
      <c r="C54" s="256"/>
      <c r="D54" s="256"/>
      <c r="E54" s="256"/>
      <c r="F54" s="257"/>
      <c r="G54" s="257"/>
      <c r="H54" s="257"/>
      <c r="I54" s="314"/>
      <c r="J54" s="315"/>
      <c r="K54" s="259"/>
      <c r="L54" s="260"/>
      <c r="M54" s="234"/>
      <c r="O54" s="130"/>
      <c r="P54" s="232"/>
      <c r="Q54" s="232"/>
      <c r="S54" s="500" t="e">
        <f>ROUND(((B54+C54+D54+E54)*J54)/Universe!$C$2,2)</f>
        <v>#DIV/0!</v>
      </c>
    </row>
    <row r="55" spans="1:28" x14ac:dyDescent="0.2">
      <c r="A55" s="386" t="s">
        <v>610</v>
      </c>
      <c r="B55" s="228">
        <v>0</v>
      </c>
      <c r="C55" s="228">
        <v>0.5</v>
      </c>
      <c r="D55" s="228">
        <v>0.5</v>
      </c>
      <c r="E55" s="228">
        <v>0</v>
      </c>
      <c r="F55" s="377">
        <f>ROUND(Costs!$B$3*B55+Costs!$B$4*C55+Costs!$B$5*D55+Costs!$B$6*E55,2)</f>
        <v>85.03</v>
      </c>
      <c r="G55" s="377" t="str">
        <f>Costs!$B$62</f>
        <v xml:space="preserve"> </v>
      </c>
      <c r="H55" s="123">
        <f>Costs!$B$16</f>
        <v>0</v>
      </c>
      <c r="I55" s="384" t="s">
        <v>677</v>
      </c>
      <c r="J55" s="387">
        <v>0</v>
      </c>
      <c r="K55" s="94">
        <f>ROUND((I55+J55)*(B55+C55+D55+E55),2)</f>
        <v>0</v>
      </c>
      <c r="L55" s="93">
        <f>(I55+J55)*(F55+G55+H55)</f>
        <v>0</v>
      </c>
      <c r="M55" s="233">
        <f>(B55*Costs!$B$3)+(C55*Costs!$B$4)+(D55*Costs!$B$5)+(E55*Costs!$B$6)+(G55+H55)</f>
        <v>85.03</v>
      </c>
      <c r="N55" s="235">
        <v>1</v>
      </c>
      <c r="O55" s="130">
        <f>F55*(I55+J55)</f>
        <v>0</v>
      </c>
      <c r="P55" s="130">
        <f>G55*(I55+J55)</f>
        <v>0</v>
      </c>
      <c r="Q55" s="130">
        <f>H55*(I55+J55)</f>
        <v>0</v>
      </c>
      <c r="R55" s="500" t="str">
        <f>I55</f>
        <v>N/A</v>
      </c>
      <c r="S55" s="500">
        <f>ROUND(((B55+C55+D55+E55)*J55)/Universe!$C$8,2)</f>
        <v>0</v>
      </c>
      <c r="T55" s="235">
        <v>2</v>
      </c>
      <c r="U55" s="162">
        <f t="shared" ref="U55:U61" si="10">IF(T55=1,R55,0)</f>
        <v>0</v>
      </c>
      <c r="V55" s="162" t="str">
        <f t="shared" ref="V55:V61" si="11">IF(T55=2,R55,0)</f>
        <v>N/A</v>
      </c>
      <c r="W55" s="162">
        <f t="shared" ref="W55:W61" si="12">IF(T55=1,S55,0)</f>
        <v>0</v>
      </c>
      <c r="X55" s="162">
        <f t="shared" ref="X55:X61" si="13">IF(T55=2,S55,0)</f>
        <v>0</v>
      </c>
    </row>
    <row r="56" spans="1:28" s="160" customFormat="1" ht="20.399999999999999" x14ac:dyDescent="0.2">
      <c r="A56" s="374" t="s">
        <v>307</v>
      </c>
      <c r="B56" s="383">
        <v>0</v>
      </c>
      <c r="C56" s="383">
        <v>2</v>
      </c>
      <c r="D56" s="383">
        <v>4</v>
      </c>
      <c r="E56" s="383">
        <v>2</v>
      </c>
      <c r="F56" s="377">
        <f>ROUND(Costs!$B$3*B56+Costs!$B$4*C56+Costs!$B$5*D56+Costs!$B$6*E56,2)</f>
        <v>572.67999999999995</v>
      </c>
      <c r="G56" s="377" t="str">
        <f>Costs!$B$62</f>
        <v xml:space="preserve"> </v>
      </c>
      <c r="H56" s="377">
        <f>Costs!$B$19</f>
        <v>4.4000000000000004</v>
      </c>
      <c r="I56" s="384" t="s">
        <v>677</v>
      </c>
      <c r="J56" s="385">
        <v>0</v>
      </c>
      <c r="K56" s="94">
        <f>ROUND((I56+J56)*(B56+C56+D56+E56),2)</f>
        <v>0</v>
      </c>
      <c r="L56" s="93">
        <f>(I56+J56)*(F56+G56+H56)</f>
        <v>0</v>
      </c>
      <c r="M56" s="233">
        <f>(B56*Costs!$B$3)+(C56*Costs!$B$4)+(D56*Costs!$B$5)+(E56*Costs!$B$6)+(G56+H56)</f>
        <v>577.08000000000004</v>
      </c>
      <c r="N56" s="167">
        <v>0.8</v>
      </c>
      <c r="O56" s="130">
        <f>F56*(I56+J56)</f>
        <v>0</v>
      </c>
      <c r="P56" s="130">
        <f>G56*(I56+J56)</f>
        <v>0</v>
      </c>
      <c r="Q56" s="130">
        <f>H56*(I56+J56)</f>
        <v>0</v>
      </c>
      <c r="R56" s="500" t="str">
        <f>I56</f>
        <v>N/A</v>
      </c>
      <c r="S56" s="500">
        <f>ROUND(((B56+C56+D56+E56)*J56)/Universe!$C$8,2)</f>
        <v>0</v>
      </c>
      <c r="T56" s="167">
        <v>1</v>
      </c>
      <c r="U56" s="162" t="str">
        <f t="shared" si="10"/>
        <v>N/A</v>
      </c>
      <c r="V56" s="162">
        <f t="shared" si="11"/>
        <v>0</v>
      </c>
      <c r="W56" s="162">
        <f t="shared" si="12"/>
        <v>0</v>
      </c>
      <c r="X56" s="162">
        <f t="shared" si="13"/>
        <v>0</v>
      </c>
      <c r="AA56" s="171"/>
      <c r="AB56" s="171"/>
    </row>
    <row r="57" spans="1:28" ht="20.399999999999999" x14ac:dyDescent="0.2">
      <c r="A57" s="275" t="s">
        <v>136</v>
      </c>
      <c r="B57" s="92">
        <v>0</v>
      </c>
      <c r="C57" s="92">
        <v>0</v>
      </c>
      <c r="D57" s="92">
        <v>2</v>
      </c>
      <c r="E57" s="92">
        <v>1</v>
      </c>
      <c r="F57" s="32">
        <f>ROUND(Costs!$B$3*B57+Costs!$B$4*C57+Costs!$B$5*D57+Costs!$B$6*E57,2)</f>
        <v>188.89</v>
      </c>
      <c r="G57" s="32" t="str">
        <f>Costs!$B$62</f>
        <v xml:space="preserve"> </v>
      </c>
      <c r="H57" s="32">
        <f>Costs!$B$19</f>
        <v>4.4000000000000004</v>
      </c>
      <c r="I57" s="113" t="s">
        <v>677</v>
      </c>
      <c r="J57" s="106">
        <v>0</v>
      </c>
      <c r="K57" s="94">
        <f>ROUND((I57+J57)*(B57+C57+D57+E57),2)</f>
        <v>0</v>
      </c>
      <c r="L57" s="93">
        <f>(I57+J57)*(F57+G57+H57)</f>
        <v>0</v>
      </c>
      <c r="M57" s="233">
        <f>(B57*Costs!$B$3)+(C57*Costs!$B$4)+(D57*Costs!$B$5)+(E57*Costs!$B$6)+(G57+H57)</f>
        <v>193.29</v>
      </c>
      <c r="N57" s="235">
        <v>1</v>
      </c>
      <c r="O57" s="130">
        <f>F57*(I57+J57)</f>
        <v>0</v>
      </c>
      <c r="P57" s="130">
        <f>G57*(I57+J57)</f>
        <v>0</v>
      </c>
      <c r="Q57" s="130">
        <f>H57*(I57+J57)</f>
        <v>0</v>
      </c>
      <c r="R57" s="500" t="str">
        <f>I57</f>
        <v>N/A</v>
      </c>
      <c r="S57" s="500">
        <f>ROUND(((B57+C57+D57+E57)*J57)/Universe!$C$8,2)</f>
        <v>0</v>
      </c>
      <c r="T57" s="235">
        <v>1</v>
      </c>
      <c r="U57" s="162" t="str">
        <f t="shared" si="10"/>
        <v>N/A</v>
      </c>
      <c r="V57" s="162">
        <f t="shared" si="11"/>
        <v>0</v>
      </c>
      <c r="W57" s="162">
        <f t="shared" si="12"/>
        <v>0</v>
      </c>
      <c r="X57" s="162">
        <f t="shared" si="13"/>
        <v>0</v>
      </c>
    </row>
    <row r="58" spans="1:28" x14ac:dyDescent="0.2">
      <c r="A58" s="255" t="s">
        <v>137</v>
      </c>
      <c r="B58" s="256"/>
      <c r="C58" s="256"/>
      <c r="D58" s="256"/>
      <c r="E58" s="256"/>
      <c r="F58" s="257"/>
      <c r="G58" s="257"/>
      <c r="H58" s="257"/>
      <c r="I58" s="314"/>
      <c r="J58" s="315"/>
      <c r="K58" s="259"/>
      <c r="L58" s="260"/>
      <c r="M58" s="234"/>
      <c r="O58" s="130"/>
      <c r="P58" s="232"/>
      <c r="Q58" s="232"/>
      <c r="R58" s="500"/>
      <c r="S58" s="500"/>
      <c r="U58" s="162">
        <f t="shared" si="10"/>
        <v>0</v>
      </c>
      <c r="V58" s="162">
        <f t="shared" si="11"/>
        <v>0</v>
      </c>
      <c r="W58" s="162">
        <f t="shared" si="12"/>
        <v>0</v>
      </c>
      <c r="X58" s="162">
        <f t="shared" si="13"/>
        <v>0</v>
      </c>
    </row>
    <row r="59" spans="1:28" x14ac:dyDescent="0.2">
      <c r="A59" s="275" t="s">
        <v>610</v>
      </c>
      <c r="B59" s="92">
        <v>0</v>
      </c>
      <c r="C59" s="92">
        <v>0.5</v>
      </c>
      <c r="D59" s="92">
        <v>0.5</v>
      </c>
      <c r="E59" s="92">
        <v>0</v>
      </c>
      <c r="F59" s="32">
        <f>ROUND(Costs!$B$3*B59+Costs!$B$4*C59+Costs!$B$5*D59+Costs!$B$6*E59,2)</f>
        <v>85.03</v>
      </c>
      <c r="G59" s="32" t="str">
        <f>Costs!$B$62</f>
        <v xml:space="preserve"> </v>
      </c>
      <c r="H59" s="93">
        <f>Costs!$B$16</f>
        <v>0</v>
      </c>
      <c r="I59" s="113" t="s">
        <v>677</v>
      </c>
      <c r="J59" s="106">
        <v>0</v>
      </c>
      <c r="K59" s="94">
        <f>ROUND((I59+J59)*(B59+C59+D59+E59),2)</f>
        <v>0</v>
      </c>
      <c r="L59" s="93">
        <f>(I59+J59)*(F59+G59+H59)</f>
        <v>0</v>
      </c>
      <c r="M59" s="233">
        <f>(B59*Costs!$B$3)+(C59*Costs!$B$4)+(D59*Costs!$B$5)+(E59*Costs!$B$6)+(G59+H59)</f>
        <v>85.03</v>
      </c>
      <c r="N59" s="235">
        <v>1</v>
      </c>
      <c r="O59" s="130">
        <f>F59*(I59+J59)</f>
        <v>0</v>
      </c>
      <c r="P59" s="130">
        <f>G59*(I59+J59)</f>
        <v>0</v>
      </c>
      <c r="Q59" s="130">
        <f>H59*(I59+J59)</f>
        <v>0</v>
      </c>
      <c r="R59" s="500" t="str">
        <f>I59</f>
        <v>N/A</v>
      </c>
      <c r="S59" s="500">
        <f>ROUND(((B59+C59+D59+E59)*J59)/Universe!$C$8,2)</f>
        <v>0</v>
      </c>
      <c r="T59" s="235">
        <v>2</v>
      </c>
      <c r="U59" s="162">
        <f t="shared" si="10"/>
        <v>0</v>
      </c>
      <c r="V59" s="162" t="str">
        <f t="shared" si="11"/>
        <v>N/A</v>
      </c>
      <c r="W59" s="162">
        <f t="shared" si="12"/>
        <v>0</v>
      </c>
      <c r="X59" s="162">
        <f t="shared" si="13"/>
        <v>0</v>
      </c>
    </row>
    <row r="60" spans="1:28" s="160" customFormat="1" ht="20.399999999999999" x14ac:dyDescent="0.2">
      <c r="A60" s="374" t="s">
        <v>307</v>
      </c>
      <c r="B60" s="383">
        <v>0</v>
      </c>
      <c r="C60" s="383">
        <v>2</v>
      </c>
      <c r="D60" s="383">
        <v>4</v>
      </c>
      <c r="E60" s="383">
        <v>2</v>
      </c>
      <c r="F60" s="377">
        <f>ROUND(Costs!$B$3*B60+Costs!$B$4*C60+Costs!$B$5*D60+Costs!$B$6*E60,2)</f>
        <v>572.67999999999995</v>
      </c>
      <c r="G60" s="377" t="str">
        <f>Costs!$B$62</f>
        <v xml:space="preserve"> </v>
      </c>
      <c r="H60" s="377">
        <f>Costs!$B$19</f>
        <v>4.4000000000000004</v>
      </c>
      <c r="I60" s="384" t="s">
        <v>677</v>
      </c>
      <c r="J60" s="385">
        <v>0</v>
      </c>
      <c r="K60" s="94">
        <f>ROUND((I60+J60)*(B60+C60+D60+E60),2)</f>
        <v>0</v>
      </c>
      <c r="L60" s="93">
        <f>(I60+J60)*(F60+G60+H60)</f>
        <v>0</v>
      </c>
      <c r="M60" s="233">
        <f>(B60*Costs!$B$3)+(C60*Costs!$B$4)+(D60*Costs!$B$5)+(E60*Costs!$B$6)+(G60+H60)</f>
        <v>577.08000000000004</v>
      </c>
      <c r="N60" s="167">
        <v>0.8</v>
      </c>
      <c r="O60" s="130">
        <f>F60*(I60+J60)</f>
        <v>0</v>
      </c>
      <c r="P60" s="130">
        <f>G60*(I60+J60)</f>
        <v>0</v>
      </c>
      <c r="Q60" s="130">
        <f>H60*(I60+J60)</f>
        <v>0</v>
      </c>
      <c r="R60" s="500" t="str">
        <f>I60</f>
        <v>N/A</v>
      </c>
      <c r="S60" s="500">
        <f>ROUND(((B60+C60+D60+E60)*J60)/Universe!$C$8,2)</f>
        <v>0</v>
      </c>
      <c r="T60" s="167">
        <v>1</v>
      </c>
      <c r="U60" s="162" t="str">
        <f t="shared" si="10"/>
        <v>N/A</v>
      </c>
      <c r="V60" s="162">
        <f t="shared" si="11"/>
        <v>0</v>
      </c>
      <c r="W60" s="162">
        <f t="shared" si="12"/>
        <v>0</v>
      </c>
      <c r="X60" s="162">
        <f t="shared" si="13"/>
        <v>0</v>
      </c>
      <c r="AA60" s="171"/>
      <c r="AB60" s="171"/>
    </row>
    <row r="61" spans="1:28" x14ac:dyDescent="0.2">
      <c r="A61" s="275" t="s">
        <v>138</v>
      </c>
      <c r="B61" s="92">
        <v>0</v>
      </c>
      <c r="C61" s="92">
        <v>0</v>
      </c>
      <c r="D61" s="92">
        <v>2</v>
      </c>
      <c r="E61" s="92">
        <v>1</v>
      </c>
      <c r="F61" s="32">
        <f>ROUND(Costs!$B$3*B61+Costs!$B$4*C61+Costs!$B$5*D61+Costs!$B$6*E61,2)</f>
        <v>188.89</v>
      </c>
      <c r="G61" s="32" t="str">
        <f>Costs!$B$62</f>
        <v xml:space="preserve"> </v>
      </c>
      <c r="H61" s="32">
        <f>Costs!$B$19</f>
        <v>4.4000000000000004</v>
      </c>
      <c r="I61" s="113" t="s">
        <v>677</v>
      </c>
      <c r="J61" s="106">
        <v>0</v>
      </c>
      <c r="K61" s="94">
        <f>ROUND((I61+J61)*(B61+C61+D61+E61),2)</f>
        <v>0</v>
      </c>
      <c r="L61" s="93">
        <f>(I61+J61)*(F61+G61+H61)</f>
        <v>0</v>
      </c>
      <c r="M61" s="233">
        <f>(B61*Costs!$B$3)+(C61*Costs!$B$4)+(D61*Costs!$B$5)+(E61*Costs!$B$6)+(G61+H61)</f>
        <v>193.29</v>
      </c>
      <c r="N61" s="235">
        <v>1</v>
      </c>
      <c r="O61" s="130">
        <f>F61*(I61+J61)</f>
        <v>0</v>
      </c>
      <c r="P61" s="130">
        <f>G61*(I61+J61)</f>
        <v>0</v>
      </c>
      <c r="Q61" s="130">
        <f>H61*(I61+J61)</f>
        <v>0</v>
      </c>
      <c r="R61" s="500" t="str">
        <f>I61</f>
        <v>N/A</v>
      </c>
      <c r="S61" s="500">
        <f>ROUND(((B61+C61+D61+E61)*J61)/Universe!$C$8,2)</f>
        <v>0</v>
      </c>
      <c r="T61" s="235">
        <v>1</v>
      </c>
      <c r="U61" s="162" t="str">
        <f t="shared" si="10"/>
        <v>N/A</v>
      </c>
      <c r="V61" s="162">
        <f t="shared" si="11"/>
        <v>0</v>
      </c>
      <c r="W61" s="162">
        <f t="shared" si="12"/>
        <v>0</v>
      </c>
      <c r="X61" s="162">
        <f t="shared" si="13"/>
        <v>0</v>
      </c>
    </row>
    <row r="62" spans="1:28" x14ac:dyDescent="0.2">
      <c r="A62" s="255" t="s">
        <v>390</v>
      </c>
      <c r="B62" s="256"/>
      <c r="C62" s="256"/>
      <c r="D62" s="256"/>
      <c r="E62" s="256"/>
      <c r="F62" s="257"/>
      <c r="G62" s="257"/>
      <c r="H62" s="257"/>
      <c r="I62" s="314"/>
      <c r="J62" s="315"/>
      <c r="K62" s="259"/>
      <c r="L62" s="262"/>
      <c r="M62" s="233"/>
      <c r="O62" s="130"/>
      <c r="P62" s="130"/>
      <c r="Q62" s="130"/>
      <c r="S62" s="500"/>
    </row>
    <row r="63" spans="1:28" x14ac:dyDescent="0.2">
      <c r="A63" s="275" t="s">
        <v>610</v>
      </c>
      <c r="B63" s="92">
        <v>0</v>
      </c>
      <c r="C63" s="92">
        <v>0.1</v>
      </c>
      <c r="D63" s="92">
        <v>0.15</v>
      </c>
      <c r="E63" s="92">
        <v>0</v>
      </c>
      <c r="F63" s="32">
        <f>ROUND(Costs!$B$3*B63+Costs!$B$4*C63+Costs!$B$5*D63+Costs!$B$6*E63,2)</f>
        <v>20.64</v>
      </c>
      <c r="G63" s="32" t="str">
        <f>Costs!$B$62</f>
        <v xml:space="preserve"> </v>
      </c>
      <c r="H63" s="93">
        <f>Costs!$B$16</f>
        <v>0</v>
      </c>
      <c r="I63" s="113" t="s">
        <v>677</v>
      </c>
      <c r="J63" s="106">
        <f>ROUND((N63*Universe!$C$8),1)</f>
        <v>0</v>
      </c>
      <c r="K63" s="94">
        <f>ROUND((I63+J63)*(B63+C63+D63+E63),2)</f>
        <v>0</v>
      </c>
      <c r="L63" s="93">
        <f>(I63+J63)*(F63+G63+H63)</f>
        <v>0</v>
      </c>
      <c r="M63" s="233">
        <f>(B63*Costs!$B$3)+(C63*Costs!$B$4)+(D63*Costs!$B$5)+(E63*Costs!$B$6)+(G63+H63)</f>
        <v>20.636499999999998</v>
      </c>
      <c r="N63" s="235">
        <v>0.01</v>
      </c>
      <c r="O63" s="130">
        <f>F63*(I63+J63)</f>
        <v>0</v>
      </c>
      <c r="P63" s="130">
        <f>G63*(I63+J63)</f>
        <v>0</v>
      </c>
      <c r="Q63" s="130">
        <f>H63*(I63+J63)</f>
        <v>0</v>
      </c>
      <c r="R63" s="500" t="str">
        <f>I63</f>
        <v>N/A</v>
      </c>
      <c r="S63" s="500">
        <f>ROUND(((B63+C63+D63+E63)*J63)/Universe!$C$8,2)</f>
        <v>0</v>
      </c>
      <c r="T63" s="235">
        <v>2</v>
      </c>
      <c r="U63" s="162">
        <f>IF(T63=1,R63,0)</f>
        <v>0</v>
      </c>
      <c r="V63" s="162" t="str">
        <f>IF(T63=2,R63,0)</f>
        <v>N/A</v>
      </c>
      <c r="W63" s="162">
        <f>IF(T63=1,S63,0)</f>
        <v>0</v>
      </c>
      <c r="X63" s="162">
        <f>IF(T63=2,S63,0)</f>
        <v>0</v>
      </c>
    </row>
    <row r="64" spans="1:28" x14ac:dyDescent="0.2">
      <c r="A64" s="275" t="s">
        <v>102</v>
      </c>
      <c r="B64" s="92">
        <v>2</v>
      </c>
      <c r="C64" s="92">
        <v>0.5</v>
      </c>
      <c r="D64" s="92">
        <v>2</v>
      </c>
      <c r="E64" s="92">
        <v>1</v>
      </c>
      <c r="F64" s="32">
        <f>ROUND(Costs!$B$3*B64+Costs!$B$4*C64+Costs!$B$5*D64+Costs!$B$6*E64,2)</f>
        <v>567.41999999999996</v>
      </c>
      <c r="G64" s="32" t="str">
        <f>Costs!$B$62</f>
        <v xml:space="preserve"> </v>
      </c>
      <c r="H64" s="32">
        <f>Costs!$B$19</f>
        <v>4.4000000000000004</v>
      </c>
      <c r="I64" s="113" t="s">
        <v>677</v>
      </c>
      <c r="J64" s="106">
        <f>ROUND((N64*Universe!$C$8),1)</f>
        <v>0</v>
      </c>
      <c r="K64" s="94">
        <f>ROUND((I64+J64)*(B64+C64+D64+E64),2)</f>
        <v>0</v>
      </c>
      <c r="L64" s="93">
        <f>(I64+J64)*(F64+G64+H64)</f>
        <v>0</v>
      </c>
      <c r="M64" s="233">
        <f>(B64*Costs!$B$3)+(C64*Costs!$B$4)+(D64*Costs!$B$5)+(E64*Costs!$B$6)+(G64+H64)</f>
        <v>571.81499999999994</v>
      </c>
      <c r="N64" s="235">
        <v>0.01</v>
      </c>
      <c r="O64" s="130">
        <f>F64*(I64+J64)</f>
        <v>0</v>
      </c>
      <c r="P64" s="130">
        <f>G64*(I64+J64)</f>
        <v>0</v>
      </c>
      <c r="Q64" s="130">
        <f>H64*(I64+J64)</f>
        <v>0</v>
      </c>
      <c r="R64" s="500" t="str">
        <f>I64</f>
        <v>N/A</v>
      </c>
      <c r="S64" s="500">
        <f>ROUND(((B64+C64+D64+E64)*J64)/Universe!$C$8,2)</f>
        <v>0</v>
      </c>
      <c r="T64" s="235">
        <v>1</v>
      </c>
      <c r="U64" s="162" t="str">
        <f>IF(T64=1,R64,0)</f>
        <v>N/A</v>
      </c>
      <c r="V64" s="162">
        <f>IF(T64=2,R64,0)</f>
        <v>0</v>
      </c>
      <c r="W64" s="162">
        <f>IF(T64=1,S64,0)</f>
        <v>0</v>
      </c>
      <c r="X64" s="162">
        <f>IF(T64=2,S64,0)</f>
        <v>0</v>
      </c>
    </row>
    <row r="65" spans="1:28" x14ac:dyDescent="0.2">
      <c r="A65" s="255" t="s">
        <v>391</v>
      </c>
      <c r="B65" s="256"/>
      <c r="C65" s="263"/>
      <c r="D65" s="263"/>
      <c r="E65" s="263"/>
      <c r="F65" s="264"/>
      <c r="G65" s="264"/>
      <c r="H65" s="264"/>
      <c r="I65" s="314"/>
      <c r="J65" s="315"/>
      <c r="K65" s="259"/>
      <c r="L65" s="262"/>
      <c r="M65" s="233"/>
      <c r="O65" s="130"/>
      <c r="P65" s="130"/>
      <c r="Q65" s="130"/>
      <c r="S65" s="500"/>
    </row>
    <row r="66" spans="1:28" x14ac:dyDescent="0.2">
      <c r="A66" s="275" t="s">
        <v>610</v>
      </c>
      <c r="B66" s="92">
        <v>0</v>
      </c>
      <c r="C66" s="92">
        <v>0.1</v>
      </c>
      <c r="D66" s="92">
        <v>0.15</v>
      </c>
      <c r="E66" s="92">
        <v>0</v>
      </c>
      <c r="F66" s="32">
        <f>ROUND(Costs!$B$3*B66+Costs!$B$4*C66+Costs!$B$5*D66+Costs!$B$6*E66,2)</f>
        <v>20.64</v>
      </c>
      <c r="G66" s="32" t="str">
        <f>Costs!$B$62</f>
        <v xml:space="preserve"> </v>
      </c>
      <c r="H66" s="93">
        <f>Costs!$B$16</f>
        <v>0</v>
      </c>
      <c r="I66" s="113" t="s">
        <v>677</v>
      </c>
      <c r="J66" s="106">
        <f>ROUND((N66*Universe!$C$8),0)</f>
        <v>0</v>
      </c>
      <c r="K66" s="94">
        <f>ROUND((I66+J66)*(B66+C66+D66+E66),2)</f>
        <v>0</v>
      </c>
      <c r="L66" s="93">
        <f>(I66+J66)*(F66+G66+H66)</f>
        <v>0</v>
      </c>
      <c r="M66" s="233">
        <f>(B66*Costs!$B$3)+(C66*Costs!$B$4)+(D66*Costs!$B$5)+(E66*Costs!$B$6)+(G66+H66)</f>
        <v>20.636499999999998</v>
      </c>
      <c r="N66" s="235">
        <v>0</v>
      </c>
      <c r="O66" s="130">
        <f>F66*(I66+J66)</f>
        <v>0</v>
      </c>
      <c r="P66" s="130">
        <f>G66*(I66+J66)</f>
        <v>0</v>
      </c>
      <c r="Q66" s="130">
        <f>H66*(I66+J66)</f>
        <v>0</v>
      </c>
      <c r="R66" s="500" t="str">
        <f>I66</f>
        <v>N/A</v>
      </c>
      <c r="S66" s="500">
        <f>ROUND(((B66+C66+D66+E66)*J66)/Universe!$C$8,2)</f>
        <v>0</v>
      </c>
      <c r="T66" s="235">
        <v>2</v>
      </c>
      <c r="U66" s="162">
        <f>IF(T66=1,R66,0)</f>
        <v>0</v>
      </c>
      <c r="V66" s="162" t="str">
        <f>IF(T66=2,R66,0)</f>
        <v>N/A</v>
      </c>
      <c r="W66" s="162">
        <f>IF(T66=1,S66,0)</f>
        <v>0</v>
      </c>
      <c r="X66" s="162">
        <f>IF(T66=2,S66,0)</f>
        <v>0</v>
      </c>
    </row>
    <row r="67" spans="1:28" x14ac:dyDescent="0.2">
      <c r="A67" s="275" t="s">
        <v>139</v>
      </c>
      <c r="B67" s="92">
        <v>0</v>
      </c>
      <c r="C67" s="92">
        <v>0.5</v>
      </c>
      <c r="D67" s="92">
        <v>1</v>
      </c>
      <c r="E67" s="92">
        <v>0.5</v>
      </c>
      <c r="F67" s="32">
        <f>ROUND(Costs!$B$3*B67+Costs!$B$4*C67+Costs!$B$5*D67+Costs!$B$6*E67,2)</f>
        <v>143.16999999999999</v>
      </c>
      <c r="G67" s="32" t="str">
        <f>Costs!$B$62</f>
        <v xml:space="preserve"> </v>
      </c>
      <c r="H67" s="32">
        <f>Costs!$B$19</f>
        <v>4.4000000000000004</v>
      </c>
      <c r="I67" s="113" t="s">
        <v>677</v>
      </c>
      <c r="J67" s="106">
        <f>ROUND((N67*Universe!$C$8),0)</f>
        <v>0</v>
      </c>
      <c r="K67" s="94">
        <f>ROUND((I67+J67)*(B67+C67+D67+E67),2)</f>
        <v>0</v>
      </c>
      <c r="L67" s="93">
        <f>(I67+J67)*(F67+G67+H67)</f>
        <v>0</v>
      </c>
      <c r="M67" s="233">
        <f>(B67*Costs!$B$3)+(C67*Costs!$B$4)+(D67*Costs!$B$5)+(E67*Costs!$B$6)+(G67+H67)</f>
        <v>147.57000000000002</v>
      </c>
      <c r="N67" s="235">
        <v>0</v>
      </c>
      <c r="O67" s="130">
        <f>F67*(I67+J67)</f>
        <v>0</v>
      </c>
      <c r="P67" s="130">
        <f>G67*(I67+J67)</f>
        <v>0</v>
      </c>
      <c r="Q67" s="130">
        <f>H67*(I67+J67)</f>
        <v>0</v>
      </c>
      <c r="R67" s="500" t="str">
        <f>I67</f>
        <v>N/A</v>
      </c>
      <c r="S67" s="500">
        <f>ROUND(((B67+C67+D67+E67)*J67)/Universe!$C$8,2)</f>
        <v>0</v>
      </c>
      <c r="T67" s="235">
        <v>1</v>
      </c>
      <c r="U67" s="162" t="str">
        <f>IF(T67=1,R67,0)</f>
        <v>N/A</v>
      </c>
      <c r="V67" s="162">
        <f>IF(T67=2,R67,0)</f>
        <v>0</v>
      </c>
      <c r="W67" s="162">
        <f>IF(T67=1,S67,0)</f>
        <v>0</v>
      </c>
      <c r="X67" s="162">
        <f>IF(T67=2,S67,0)</f>
        <v>0</v>
      </c>
    </row>
    <row r="68" spans="1:28" x14ac:dyDescent="0.2">
      <c r="A68" s="255" t="s">
        <v>392</v>
      </c>
      <c r="B68" s="256"/>
      <c r="C68" s="256"/>
      <c r="D68" s="256"/>
      <c r="E68" s="256"/>
      <c r="F68" s="257"/>
      <c r="G68" s="257"/>
      <c r="H68" s="257"/>
      <c r="I68" s="314"/>
      <c r="J68" s="315"/>
      <c r="K68" s="259"/>
      <c r="L68" s="262"/>
      <c r="M68" s="233"/>
      <c r="O68" s="130"/>
      <c r="P68" s="130"/>
      <c r="Q68" s="130"/>
      <c r="S68" s="500"/>
    </row>
    <row r="69" spans="1:28" x14ac:dyDescent="0.2">
      <c r="A69" s="275" t="s">
        <v>610</v>
      </c>
      <c r="B69" s="92">
        <v>0</v>
      </c>
      <c r="C69" s="92">
        <v>0.1</v>
      </c>
      <c r="D69" s="92">
        <v>0.15</v>
      </c>
      <c r="E69" s="92">
        <v>0</v>
      </c>
      <c r="F69" s="32">
        <f>ROUND(Costs!$B$3*B69+Costs!$B$4*C69+Costs!$B$5*D69+Costs!$B$6*E69,2)</f>
        <v>20.64</v>
      </c>
      <c r="G69" s="32" t="str">
        <f>Costs!$B$62</f>
        <v xml:space="preserve"> </v>
      </c>
      <c r="H69" s="93">
        <f>Costs!$B$16</f>
        <v>0</v>
      </c>
      <c r="I69" s="113" t="s">
        <v>677</v>
      </c>
      <c r="J69" s="106">
        <f>ROUND((N69*Universe!$C$8),0)</f>
        <v>0</v>
      </c>
      <c r="K69" s="94">
        <f>ROUND((I69+J69)*(B69+C69+D69+E69),2)</f>
        <v>0</v>
      </c>
      <c r="L69" s="93">
        <f>(I69+J69)*(F69+G69+H69)</f>
        <v>0</v>
      </c>
      <c r="M69" s="233">
        <f>(B69*Costs!$B$3)+(C69*Costs!$B$4)+(Universe!$C$68*Costs!$B$5)+(E69*Costs!$B$6)+(G69+H69)</f>
        <v>9.745000000000001</v>
      </c>
      <c r="N69" s="235">
        <v>0</v>
      </c>
      <c r="O69" s="130">
        <f>F69*(I69+J69)</f>
        <v>0</v>
      </c>
      <c r="P69" s="130">
        <f>G69*(I69+J69)</f>
        <v>0</v>
      </c>
      <c r="Q69" s="130">
        <f>H69*(I69+J69)</f>
        <v>0</v>
      </c>
      <c r="R69" s="500" t="str">
        <f>I69</f>
        <v>N/A</v>
      </c>
      <c r="S69" s="500">
        <f>ROUND(((B69+C69+D69+E69)*J69)/Universe!$C$8,2)</f>
        <v>0</v>
      </c>
      <c r="T69" s="235">
        <v>2</v>
      </c>
      <c r="U69" s="162">
        <f>IF(T69=1,R69,0)</f>
        <v>0</v>
      </c>
      <c r="V69" s="162" t="str">
        <f>IF(T69=2,R69,0)</f>
        <v>N/A</v>
      </c>
      <c r="W69" s="162">
        <f>IF(T69=1,S69,0)</f>
        <v>0</v>
      </c>
      <c r="X69" s="162">
        <f>IF(T69=2,S69,0)</f>
        <v>0</v>
      </c>
    </row>
    <row r="70" spans="1:28" x14ac:dyDescent="0.2">
      <c r="A70" s="275" t="s">
        <v>674</v>
      </c>
      <c r="B70" s="92">
        <v>1</v>
      </c>
      <c r="C70" s="92">
        <v>0.5</v>
      </c>
      <c r="D70" s="92">
        <v>1</v>
      </c>
      <c r="E70" s="92">
        <v>0.5</v>
      </c>
      <c r="F70" s="32">
        <f>ROUND(Costs!$B$3*B70+Costs!$B$4*C70+Costs!$B$5*D70+Costs!$B$6*E70,2)</f>
        <v>308.07</v>
      </c>
      <c r="G70" s="32" t="str">
        <f>Costs!$B$62</f>
        <v xml:space="preserve"> </v>
      </c>
      <c r="H70" s="32">
        <f>Costs!$B$19</f>
        <v>4.4000000000000004</v>
      </c>
      <c r="I70" s="113" t="s">
        <v>677</v>
      </c>
      <c r="J70" s="106">
        <f>ROUND((N70*Universe!$C$8),0)</f>
        <v>0</v>
      </c>
      <c r="K70" s="94">
        <f>ROUND((I70+J70)*(B70+C70+D70+E70),2)</f>
        <v>0</v>
      </c>
      <c r="L70" s="93">
        <f>(I70+J70)*(F70+G70+H70)</f>
        <v>0</v>
      </c>
      <c r="M70" s="233">
        <f>(B70*Costs!$B$3)+(C70*Costs!$B$4)+(Universe!$C$69*Costs!$B$5)+(E70*Costs!$B$6)+(G70+H70)</f>
        <v>239.86</v>
      </c>
      <c r="N70" s="235">
        <v>0</v>
      </c>
      <c r="O70" s="130">
        <f>F70*(I70+J70)</f>
        <v>0</v>
      </c>
      <c r="P70" s="130">
        <f>G70*(I70+J70)</f>
        <v>0</v>
      </c>
      <c r="Q70" s="130">
        <f>H70*(I70+J70)</f>
        <v>0</v>
      </c>
      <c r="R70" s="500" t="str">
        <f>I70</f>
        <v>N/A</v>
      </c>
      <c r="S70" s="500">
        <f>ROUND(((B70+C70+D70+E70)*J70)/Universe!$C$8,2)</f>
        <v>0</v>
      </c>
      <c r="T70" s="235">
        <v>1</v>
      </c>
      <c r="U70" s="162" t="str">
        <f>IF(T70=1,R70,0)</f>
        <v>N/A</v>
      </c>
      <c r="V70" s="162">
        <f>IF(T70=2,R70,0)</f>
        <v>0</v>
      </c>
      <c r="W70" s="162">
        <f>IF(T70=1,S70,0)</f>
        <v>0</v>
      </c>
      <c r="X70" s="162">
        <f>IF(T70=2,S70,0)</f>
        <v>0</v>
      </c>
      <c r="AA70" s="557" t="str">
        <f t="shared" ref="AA70:AB72" si="14">I70</f>
        <v>N/A</v>
      </c>
      <c r="AB70" s="557">
        <f t="shared" si="14"/>
        <v>0</v>
      </c>
    </row>
    <row r="71" spans="1:28" ht="30.6" x14ac:dyDescent="0.2">
      <c r="A71" s="275" t="s">
        <v>143</v>
      </c>
      <c r="B71" s="92">
        <v>0</v>
      </c>
      <c r="C71" s="92">
        <v>0</v>
      </c>
      <c r="D71" s="92">
        <v>0.5</v>
      </c>
      <c r="E71" s="92">
        <v>0.5</v>
      </c>
      <c r="F71" s="32">
        <f>ROUND(Costs!$B$3*B71+Costs!$B$4*C71+Costs!$B$5*D71+Costs!$B$6*E71,2)</f>
        <v>58.14</v>
      </c>
      <c r="G71" s="32" t="str">
        <f>Costs!$B$62</f>
        <v xml:space="preserve"> </v>
      </c>
      <c r="H71" s="32">
        <f>Costs!$B$19</f>
        <v>4.4000000000000004</v>
      </c>
      <c r="I71" s="113" t="s">
        <v>677</v>
      </c>
      <c r="J71" s="106">
        <f>ROUND((N71*Universe!$C$8),0)</f>
        <v>0</v>
      </c>
      <c r="K71" s="94">
        <f>ROUND((I71+J71)*(B71+C71+D71+E71),2)</f>
        <v>0</v>
      </c>
      <c r="L71" s="93">
        <f>(I71+J71)*(F71+G71+H71)</f>
        <v>0</v>
      </c>
      <c r="M71" s="233">
        <f>(B71*Costs!$B$3)+(C71*Costs!$B$4)+(Universe!$C$72*Costs!$B$5)+(E71*Costs!$B$6)+(G71+H71)</f>
        <v>26.234999999999999</v>
      </c>
      <c r="N71" s="235">
        <v>0</v>
      </c>
      <c r="O71" s="130">
        <f>F71*(I71+J71)</f>
        <v>0</v>
      </c>
      <c r="P71" s="130">
        <f>G71*(I71+J71)</f>
        <v>0</v>
      </c>
      <c r="Q71" s="130">
        <f>H71*(I71+J71)</f>
        <v>0</v>
      </c>
      <c r="R71" s="500" t="str">
        <f>I71</f>
        <v>N/A</v>
      </c>
      <c r="S71" s="500">
        <f>ROUND(((B71+C71+D71+E71)*J71)/Universe!$C$8,2)</f>
        <v>0</v>
      </c>
      <c r="T71" s="235">
        <v>1</v>
      </c>
      <c r="U71" s="162" t="str">
        <f>IF(T71=1,R71,0)</f>
        <v>N/A</v>
      </c>
      <c r="V71" s="162">
        <f>IF(T71=2,R71,0)</f>
        <v>0</v>
      </c>
      <c r="W71" s="162">
        <f>IF(T71=1,S71,0)</f>
        <v>0</v>
      </c>
      <c r="X71" s="162">
        <f>IF(T71=2,S71,0)</f>
        <v>0</v>
      </c>
      <c r="AA71" s="557" t="str">
        <f t="shared" si="14"/>
        <v>N/A</v>
      </c>
      <c r="AB71" s="557">
        <f t="shared" si="14"/>
        <v>0</v>
      </c>
    </row>
    <row r="72" spans="1:28" ht="10.8" thickBot="1" x14ac:dyDescent="0.25">
      <c r="A72" s="281" t="s">
        <v>103</v>
      </c>
      <c r="B72" s="282">
        <v>0</v>
      </c>
      <c r="C72" s="282">
        <v>0.5</v>
      </c>
      <c r="D72" s="282">
        <v>1</v>
      </c>
      <c r="E72" s="282">
        <v>0.5</v>
      </c>
      <c r="F72" s="191">
        <f>ROUND(Costs!$B$3*B72+Costs!$B$4*C72+Costs!$B$5*D72+Costs!$B$6*E72,2)</f>
        <v>143.16999999999999</v>
      </c>
      <c r="G72" s="191" t="str">
        <f>Costs!$B$62</f>
        <v xml:space="preserve"> </v>
      </c>
      <c r="H72" s="191">
        <f>Costs!$B$19</f>
        <v>4.4000000000000004</v>
      </c>
      <c r="I72" s="320" t="s">
        <v>677</v>
      </c>
      <c r="J72" s="321">
        <f>ROUND((N72*Universe!$C$8),0)</f>
        <v>0</v>
      </c>
      <c r="K72" s="285">
        <f>ROUND((I72+J72)*(B72+C72+D72+E72),2)</f>
        <v>0</v>
      </c>
      <c r="L72" s="286">
        <f>(I72+J72)*(F72+G72+H72)</f>
        <v>0</v>
      </c>
      <c r="M72" s="233">
        <f>(B72*Costs!$B$3)+(C72*Costs!$B$4)+(Universe!$C$73*Costs!$B$5)+(E72*Costs!$B$6)+(G72+H72)</f>
        <v>74.960000000000008</v>
      </c>
      <c r="N72" s="235">
        <v>0</v>
      </c>
      <c r="O72" s="130">
        <f>F72*(I72+J72)</f>
        <v>0</v>
      </c>
      <c r="P72" s="130">
        <f>G72*(I72+J72)</f>
        <v>0</v>
      </c>
      <c r="Q72" s="130">
        <f>H72*(I72+J72)</f>
        <v>0</v>
      </c>
      <c r="R72" s="500" t="str">
        <f>I72</f>
        <v>N/A</v>
      </c>
      <c r="S72" s="500">
        <f>ROUND(((B72+C72+D72+E72)*J72)/Universe!$C$8,2)</f>
        <v>0</v>
      </c>
      <c r="T72" s="235">
        <v>1</v>
      </c>
      <c r="U72" s="162" t="str">
        <f>IF(T72=1,R72,0)</f>
        <v>N/A</v>
      </c>
      <c r="V72" s="162">
        <f>IF(T72=2,R72,0)</f>
        <v>0</v>
      </c>
      <c r="W72" s="162">
        <f>IF(T72=1,S72,0)</f>
        <v>0</v>
      </c>
      <c r="X72" s="162">
        <f>IF(T72=2,S72,0)</f>
        <v>0</v>
      </c>
      <c r="AA72" s="557" t="str">
        <f t="shared" si="14"/>
        <v>N/A</v>
      </c>
      <c r="AB72" s="557">
        <f t="shared" si="14"/>
        <v>0</v>
      </c>
    </row>
    <row r="73" spans="1:28" ht="10.8" thickBot="1" x14ac:dyDescent="0.25">
      <c r="A73" s="305" t="s">
        <v>596</v>
      </c>
      <c r="B73" s="324" t="s">
        <v>597</v>
      </c>
      <c r="C73" s="324" t="s">
        <v>597</v>
      </c>
      <c r="D73" s="324" t="s">
        <v>597</v>
      </c>
      <c r="E73" s="324" t="s">
        <v>597</v>
      </c>
      <c r="F73" s="324" t="s">
        <v>597</v>
      </c>
      <c r="G73" s="324" t="s">
        <v>597</v>
      </c>
      <c r="H73" s="324" t="s">
        <v>597</v>
      </c>
      <c r="I73" s="324" t="s">
        <v>597</v>
      </c>
      <c r="J73" s="324" t="s">
        <v>597</v>
      </c>
      <c r="K73" s="304">
        <f>SUM(K51:K72)</f>
        <v>0</v>
      </c>
      <c r="L73" s="294">
        <f>SUM(L51:L72)</f>
        <v>0</v>
      </c>
      <c r="M73" s="236" t="s">
        <v>597</v>
      </c>
      <c r="N73" s="243"/>
      <c r="O73" s="304">
        <f>SUM(O51:O72)</f>
        <v>0</v>
      </c>
      <c r="P73" s="304">
        <f>SUM(P51:P72)</f>
        <v>0</v>
      </c>
      <c r="Q73" s="304">
        <f>SUM(Q51:Q72)</f>
        <v>0</v>
      </c>
      <c r="R73" s="498"/>
      <c r="U73" s="304">
        <f>SUM(U51:U72)</f>
        <v>0</v>
      </c>
      <c r="V73" s="304">
        <f>SUM(V51:V72)</f>
        <v>0</v>
      </c>
      <c r="W73" s="304">
        <f>SUM(W51:W72)</f>
        <v>0</v>
      </c>
      <c r="X73" s="304">
        <f>SUM(X51:X72)</f>
        <v>0</v>
      </c>
    </row>
    <row r="74" spans="1:28" x14ac:dyDescent="0.2">
      <c r="A74" s="297" t="s">
        <v>393</v>
      </c>
      <c r="B74" s="298"/>
      <c r="C74" s="333"/>
      <c r="D74" s="333"/>
      <c r="E74" s="333"/>
      <c r="F74" s="334"/>
      <c r="G74" s="334"/>
      <c r="H74" s="334"/>
      <c r="I74" s="335"/>
      <c r="J74" s="336"/>
      <c r="K74" s="337"/>
      <c r="L74" s="338"/>
      <c r="M74" s="234"/>
      <c r="O74" s="232"/>
      <c r="P74" s="232"/>
      <c r="Q74" s="232"/>
      <c r="R74" s="498"/>
      <c r="S74" s="500" t="e">
        <f>ROUND(((B74+C74+D74+E74)*J74)/Universe!$C$2,2)</f>
        <v>#DIV/0!</v>
      </c>
    </row>
    <row r="75" spans="1:28" x14ac:dyDescent="0.2">
      <c r="A75" s="275" t="s">
        <v>610</v>
      </c>
      <c r="B75" s="92">
        <v>0</v>
      </c>
      <c r="C75" s="92">
        <v>0</v>
      </c>
      <c r="D75" s="92">
        <v>0.5</v>
      </c>
      <c r="E75" s="92">
        <v>0</v>
      </c>
      <c r="F75" s="32">
        <f>ROUND(Costs!$B$3*B75+Costs!$B$4*C75+Costs!$B$5*D75+Costs!$B$6*E75,2)</f>
        <v>36.31</v>
      </c>
      <c r="G75" s="32" t="str">
        <f>Costs!$B$62</f>
        <v xml:space="preserve"> </v>
      </c>
      <c r="H75" s="93">
        <f>Costs!$B$16</f>
        <v>0</v>
      </c>
      <c r="I75" s="113" t="s">
        <v>677</v>
      </c>
      <c r="J75" s="106">
        <v>0</v>
      </c>
      <c r="K75" s="94">
        <f>ROUND((I75+J75)*(B75+C75+D75+E75),2)</f>
        <v>0</v>
      </c>
      <c r="L75" s="93">
        <f>(I75+J75)*(F75+G75+H75)</f>
        <v>0</v>
      </c>
      <c r="M75" s="233">
        <f>(B75*Costs!$B$3)+(C75*Costs!$B$4)+(Universe!$C$76*Costs!$B$5)+(E75*Costs!$B$6)+(G75+H75)</f>
        <v>0</v>
      </c>
      <c r="N75" s="235">
        <v>1</v>
      </c>
      <c r="O75" s="130">
        <f>F75*(I75+J75)</f>
        <v>0</v>
      </c>
      <c r="P75" s="130">
        <f>G75*(I75+J75)</f>
        <v>0</v>
      </c>
      <c r="Q75" s="130">
        <f>H75*(I75+J75)</f>
        <v>0</v>
      </c>
      <c r="R75" s="500" t="str">
        <f>I75</f>
        <v>N/A</v>
      </c>
      <c r="S75" s="500" t="e">
        <f>ROUND(((B75+C75+D75+E75)*J75)/Universe!$C$2,2)</f>
        <v>#DIV/0!</v>
      </c>
      <c r="T75" s="235">
        <v>2</v>
      </c>
      <c r="U75" s="162">
        <f>IF(T75=1,R75,0)</f>
        <v>0</v>
      </c>
      <c r="V75" s="162" t="str">
        <f>IF(T75=2,R75,0)</f>
        <v>N/A</v>
      </c>
      <c r="W75" s="162">
        <f>IF(T75=1,S75,0)</f>
        <v>0</v>
      </c>
      <c r="X75" s="162" t="e">
        <f>IF(T75=2,S75,0)</f>
        <v>#DIV/0!</v>
      </c>
    </row>
    <row r="76" spans="1:28" x14ac:dyDescent="0.2">
      <c r="A76" s="275" t="s">
        <v>104</v>
      </c>
      <c r="B76" s="92">
        <v>0</v>
      </c>
      <c r="C76" s="92">
        <v>0</v>
      </c>
      <c r="D76" s="92">
        <v>10</v>
      </c>
      <c r="E76" s="92">
        <v>0.25</v>
      </c>
      <c r="F76" s="32">
        <f>ROUND(Costs!$B$3*B76+Costs!$B$4*C76+Costs!$B$5*D76+Costs!$B$6*E76,2)</f>
        <v>737.02</v>
      </c>
      <c r="G76" s="32" t="str">
        <f>Costs!$B$62</f>
        <v xml:space="preserve"> </v>
      </c>
      <c r="H76" s="93">
        <f>Costs!$B$16</f>
        <v>0</v>
      </c>
      <c r="I76" s="113" t="s">
        <v>677</v>
      </c>
      <c r="J76" s="106">
        <v>0</v>
      </c>
      <c r="K76" s="94">
        <f>ROUND((I76+J76)*(B76+C76+D76+E76),2)</f>
        <v>0</v>
      </c>
      <c r="L76" s="93">
        <f>(I76+J76)*(F76+G76+H76)</f>
        <v>0</v>
      </c>
      <c r="M76" s="233">
        <f>(B76*Costs!$B$3)+(C76*Costs!$B$4)+(D76*Costs!$B$5)+(E76*Costs!$B$6)+(G76+H76)</f>
        <v>737.01750000000004</v>
      </c>
      <c r="N76" s="235">
        <v>1</v>
      </c>
      <c r="O76" s="130">
        <f>F76*(I76+J76)</f>
        <v>0</v>
      </c>
      <c r="P76" s="130">
        <f>G76*(I76+J76)</f>
        <v>0</v>
      </c>
      <c r="Q76" s="130">
        <f>H76*(I76+J76)</f>
        <v>0</v>
      </c>
      <c r="R76" s="500" t="str">
        <f>I76</f>
        <v>N/A</v>
      </c>
      <c r="S76" s="500" t="e">
        <f>ROUND(((B76+C76+D76+E76)*J76)/Universe!$C$2,2)</f>
        <v>#DIV/0!</v>
      </c>
      <c r="T76" s="235">
        <v>1</v>
      </c>
      <c r="U76" s="162" t="str">
        <f>IF(T76=1,R76,0)</f>
        <v>N/A</v>
      </c>
      <c r="V76" s="162">
        <f>IF(T76=2,R76,0)</f>
        <v>0</v>
      </c>
      <c r="W76" s="162" t="e">
        <f>IF(T76=1,S76,0)</f>
        <v>#DIV/0!</v>
      </c>
      <c r="X76" s="162">
        <f>IF(T76=2,S76,0)</f>
        <v>0</v>
      </c>
    </row>
    <row r="77" spans="1:28" ht="10.8" thickBot="1" x14ac:dyDescent="0.25">
      <c r="A77" s="281" t="s">
        <v>105</v>
      </c>
      <c r="B77" s="282">
        <v>0</v>
      </c>
      <c r="C77" s="282">
        <v>0</v>
      </c>
      <c r="D77" s="282">
        <v>1</v>
      </c>
      <c r="E77" s="282">
        <v>0.25</v>
      </c>
      <c r="F77" s="191">
        <f>ROUND(Costs!$B$3*B77+Costs!$B$4*C77+Costs!$B$5*D77+Costs!$B$6*E77,2)</f>
        <v>83.53</v>
      </c>
      <c r="G77" s="191" t="str">
        <f>Costs!$B$62</f>
        <v xml:space="preserve"> </v>
      </c>
      <c r="H77" s="286">
        <f>Costs!B51</f>
        <v>30</v>
      </c>
      <c r="I77" s="320" t="s">
        <v>677</v>
      </c>
      <c r="J77" s="321">
        <v>0</v>
      </c>
      <c r="K77" s="285">
        <f>ROUND((I77+J77)*(B77+C77+D77+E77),2)</f>
        <v>0</v>
      </c>
      <c r="L77" s="286">
        <f>(I77+J77)*(F77+G77+H77)</f>
        <v>0</v>
      </c>
      <c r="M77" s="233">
        <f>(B77*Costs!$B$3)+(C77*Costs!$B$4)+(D77*Costs!$B$5)+(E77*Costs!$B$6)+(G77+H77)</f>
        <v>113.5275</v>
      </c>
      <c r="N77" s="235">
        <v>1</v>
      </c>
      <c r="O77" s="130">
        <f>F77*(I77+J77)</f>
        <v>0</v>
      </c>
      <c r="P77" s="130">
        <f>G77*(I77+J77)</f>
        <v>0</v>
      </c>
      <c r="Q77" s="130">
        <f>H77*(I77+J77)</f>
        <v>0</v>
      </c>
      <c r="R77" s="500" t="str">
        <f>I77</f>
        <v>N/A</v>
      </c>
      <c r="S77" s="500" t="e">
        <f>ROUND(((B77+C77+D77+E77)*J77)/Universe!$C$2,2)</f>
        <v>#DIV/0!</v>
      </c>
      <c r="T77" s="235">
        <v>1</v>
      </c>
      <c r="U77" s="162" t="str">
        <f>IF(T77=1,R77,0)</f>
        <v>N/A</v>
      </c>
      <c r="V77" s="162">
        <f>IF(T77=2,R77,0)</f>
        <v>0</v>
      </c>
      <c r="W77" s="162" t="e">
        <f>IF(T77=1,S77,0)</f>
        <v>#DIV/0!</v>
      </c>
      <c r="X77" s="162">
        <f>IF(T77=2,S77,0)</f>
        <v>0</v>
      </c>
      <c r="AA77" s="557" t="str">
        <f>I77</f>
        <v>N/A</v>
      </c>
      <c r="AB77" s="557">
        <f>J77</f>
        <v>0</v>
      </c>
    </row>
    <row r="78" spans="1:28" ht="10.8" thickBot="1" x14ac:dyDescent="0.25">
      <c r="A78" s="305" t="s">
        <v>596</v>
      </c>
      <c r="B78" s="324" t="s">
        <v>597</v>
      </c>
      <c r="C78" s="324" t="s">
        <v>597</v>
      </c>
      <c r="D78" s="324" t="s">
        <v>597</v>
      </c>
      <c r="E78" s="324" t="s">
        <v>597</v>
      </c>
      <c r="F78" s="324" t="s">
        <v>597</v>
      </c>
      <c r="G78" s="324" t="s">
        <v>597</v>
      </c>
      <c r="H78" s="324" t="s">
        <v>597</v>
      </c>
      <c r="I78" s="324" t="s">
        <v>597</v>
      </c>
      <c r="J78" s="324" t="s">
        <v>597</v>
      </c>
      <c r="K78" s="304">
        <f>SUM(K75:K77)</f>
        <v>0</v>
      </c>
      <c r="L78" s="294">
        <f>SUM(L75:L77)</f>
        <v>0</v>
      </c>
      <c r="M78" s="236" t="s">
        <v>597</v>
      </c>
      <c r="O78" s="304">
        <f>SUM(O75:O77)</f>
        <v>0</v>
      </c>
      <c r="P78" s="304">
        <f>SUM(P75:P77)</f>
        <v>0</v>
      </c>
      <c r="Q78" s="304">
        <f>SUM(Q75:Q77)</f>
        <v>0</v>
      </c>
      <c r="R78" s="498"/>
      <c r="U78" s="304">
        <f>SUM(U75:U77)</f>
        <v>0</v>
      </c>
      <c r="V78" s="304">
        <f>SUM(V75:V77)</f>
        <v>0</v>
      </c>
      <c r="W78" s="304" t="e">
        <f>SUM(W75:W77)</f>
        <v>#DIV/0!</v>
      </c>
      <c r="X78" s="304" t="e">
        <f>SUM(X75:X77)</f>
        <v>#DIV/0!</v>
      </c>
    </row>
    <row r="79" spans="1:28" x14ac:dyDescent="0.2">
      <c r="A79" s="297" t="s">
        <v>394</v>
      </c>
      <c r="B79" s="333"/>
      <c r="C79" s="333"/>
      <c r="D79" s="333"/>
      <c r="E79" s="333"/>
      <c r="F79" s="334"/>
      <c r="G79" s="334"/>
      <c r="H79" s="334"/>
      <c r="I79" s="335"/>
      <c r="J79" s="339"/>
      <c r="K79" s="337"/>
      <c r="L79" s="338"/>
      <c r="M79" s="234"/>
      <c r="O79" s="232"/>
      <c r="P79" s="232"/>
      <c r="Q79" s="232"/>
    </row>
    <row r="80" spans="1:28" x14ac:dyDescent="0.2">
      <c r="A80" s="275" t="s">
        <v>106</v>
      </c>
      <c r="B80" s="92">
        <v>0</v>
      </c>
      <c r="C80" s="92">
        <v>0.25</v>
      </c>
      <c r="D80" s="92">
        <v>0.25</v>
      </c>
      <c r="E80" s="92">
        <v>0</v>
      </c>
      <c r="F80" s="32">
        <f>ROUND(Costs!$B$3*B80+Costs!$B$4*C80+Costs!$B$5*D80+Costs!$B$6*E80,2)</f>
        <v>42.52</v>
      </c>
      <c r="G80" s="32" t="str">
        <f>Costs!$B$62</f>
        <v xml:space="preserve"> </v>
      </c>
      <c r="H80" s="93">
        <f>Costs!$B$16</f>
        <v>0</v>
      </c>
      <c r="I80" s="113" t="s">
        <v>677</v>
      </c>
      <c r="J80" s="106">
        <f>ROUND((N80*Universe!$C$9),0)</f>
        <v>0</v>
      </c>
      <c r="K80" s="94">
        <f>ROUND((I80+J80)*(B80+C80+D80+E80),2)</f>
        <v>0</v>
      </c>
      <c r="L80" s="93">
        <f>(I80+J80)*(F80+G80+H80)</f>
        <v>0</v>
      </c>
      <c r="M80" s="233">
        <f>(B80*Costs!$B$3)+(C80*Costs!$B$4)+(D80*Costs!$B$5)+(E80*Costs!$B$6)+(G80+H80)</f>
        <v>42.515000000000001</v>
      </c>
      <c r="N80" s="235">
        <v>0.05</v>
      </c>
      <c r="O80" s="130">
        <f>F80*(I80+J80)</f>
        <v>0</v>
      </c>
      <c r="P80" s="130">
        <f>G80*(I80+J80)</f>
        <v>0</v>
      </c>
      <c r="Q80" s="130">
        <f>H80*(I80+J80)</f>
        <v>0</v>
      </c>
      <c r="R80" s="500" t="str">
        <f>I80</f>
        <v>N/A</v>
      </c>
      <c r="S80" s="500" t="e">
        <f>ROUND(((B80+C80+D80+E80)*J80)/Universe!$C$2,2)</f>
        <v>#DIV/0!</v>
      </c>
      <c r="T80" s="235">
        <v>2</v>
      </c>
      <c r="U80" s="162">
        <f>IF(T80=1,R80,0)</f>
        <v>0</v>
      </c>
      <c r="V80" s="162" t="str">
        <f>IF(T80=2,R80,0)</f>
        <v>N/A</v>
      </c>
      <c r="W80" s="162">
        <f>IF(T80=1,S80,0)</f>
        <v>0</v>
      </c>
      <c r="X80" s="162" t="e">
        <f>IF(T80=2,S80,0)</f>
        <v>#DIV/0!</v>
      </c>
    </row>
    <row r="81" spans="1:28" x14ac:dyDescent="0.2">
      <c r="A81" s="275" t="s">
        <v>107</v>
      </c>
      <c r="B81" s="92">
        <v>0</v>
      </c>
      <c r="C81" s="92">
        <v>0.5</v>
      </c>
      <c r="D81" s="92">
        <v>2</v>
      </c>
      <c r="E81" s="92">
        <v>0.5</v>
      </c>
      <c r="F81" s="32">
        <f>ROUND(Costs!$B$3*B81+Costs!$B$4*C81+Costs!$B$5*D81+Costs!$B$6*E81,2)</f>
        <v>215.78</v>
      </c>
      <c r="G81" s="32" t="str">
        <f>Costs!$B$62</f>
        <v xml:space="preserve"> </v>
      </c>
      <c r="H81" s="32">
        <f>Costs!$B$19</f>
        <v>4.4000000000000004</v>
      </c>
      <c r="I81" s="113" t="s">
        <v>677</v>
      </c>
      <c r="J81" s="106">
        <f>ROUND((N81*Universe!$C$9),0)</f>
        <v>0</v>
      </c>
      <c r="K81" s="94">
        <f>ROUND((I81+J81)*(B81+C81+D81+E81),2)</f>
        <v>0</v>
      </c>
      <c r="L81" s="93">
        <f>(I81+J81)*(F81+G81+H81)</f>
        <v>0</v>
      </c>
      <c r="M81" s="233">
        <f>(B81*Costs!$B$3)+(C81*Costs!$B$4)+(D81*Costs!$B$5)+(E81*Costs!$B$6)+(G81+H81)</f>
        <v>220.18</v>
      </c>
      <c r="N81" s="235">
        <v>0.05</v>
      </c>
      <c r="O81" s="130">
        <f>F81*(I81+J81)</f>
        <v>0</v>
      </c>
      <c r="P81" s="130">
        <f>G81*(I81+J81)</f>
        <v>0</v>
      </c>
      <c r="Q81" s="130">
        <f>H81*(I81+J81)</f>
        <v>0</v>
      </c>
      <c r="R81" s="500" t="str">
        <f>I81</f>
        <v>N/A</v>
      </c>
      <c r="S81" s="500" t="e">
        <f>ROUND(((B81+C81+D81+E81)*J81)/Universe!$C$2,2)</f>
        <v>#DIV/0!</v>
      </c>
      <c r="T81" s="235">
        <v>1</v>
      </c>
      <c r="U81" s="162" t="str">
        <f>IF(T81=1,R81,0)</f>
        <v>N/A</v>
      </c>
      <c r="V81" s="162">
        <f>IF(T81=2,R81,0)</f>
        <v>0</v>
      </c>
      <c r="W81" s="162" t="e">
        <f>IF(T81=1,S81,0)</f>
        <v>#DIV/0!</v>
      </c>
      <c r="X81" s="162">
        <f>IF(T81=2,S81,0)</f>
        <v>0</v>
      </c>
      <c r="AA81" s="557" t="str">
        <f t="shared" ref="AA81:AB84" si="15">I81</f>
        <v>N/A</v>
      </c>
      <c r="AB81" s="557">
        <f t="shared" si="15"/>
        <v>0</v>
      </c>
    </row>
    <row r="82" spans="1:28" ht="20.399999999999999" x14ac:dyDescent="0.2">
      <c r="A82" s="275" t="s">
        <v>144</v>
      </c>
      <c r="B82" s="92">
        <v>0</v>
      </c>
      <c r="C82" s="92">
        <v>0.5</v>
      </c>
      <c r="D82" s="92">
        <v>2</v>
      </c>
      <c r="E82" s="92">
        <v>0.5</v>
      </c>
      <c r="F82" s="32">
        <f>ROUND(Costs!$B$3*B82+Costs!$B$4*C82+Costs!$B$5*D82+Costs!$B$6*E82,2)</f>
        <v>215.78</v>
      </c>
      <c r="G82" s="32" t="str">
        <f>Costs!$B$62</f>
        <v xml:space="preserve"> </v>
      </c>
      <c r="H82" s="32">
        <f>Costs!$B$19</f>
        <v>4.4000000000000004</v>
      </c>
      <c r="I82" s="113" t="s">
        <v>677</v>
      </c>
      <c r="J82" s="106">
        <f>ROUND((N82*Universe!$C$9),1)</f>
        <v>0</v>
      </c>
      <c r="K82" s="94">
        <f>ROUND((I82+J82)*(B82+C82+D82+E82),2)</f>
        <v>0</v>
      </c>
      <c r="L82" s="93">
        <f>(I82+J82)*(F82+G82+H82)</f>
        <v>0</v>
      </c>
      <c r="M82" s="233">
        <f>(B82*Costs!$B$3)+(C82*Costs!$B$4)+(D82*Costs!$B$5)+(E82*Costs!$B$6)+(G82+H82)</f>
        <v>220.18</v>
      </c>
      <c r="N82" s="235">
        <v>0</v>
      </c>
      <c r="O82" s="130">
        <f>F82*(I82+J82)</f>
        <v>0</v>
      </c>
      <c r="P82" s="130">
        <f>G82*(I82+J82)</f>
        <v>0</v>
      </c>
      <c r="Q82" s="130">
        <f>H82*(I82+J82)</f>
        <v>0</v>
      </c>
      <c r="R82" s="500" t="str">
        <f>I82</f>
        <v>N/A</v>
      </c>
      <c r="S82" s="500" t="e">
        <f>ROUND(((B82+C82+D82+E82)*J82)/Universe!$C$2,2)</f>
        <v>#DIV/0!</v>
      </c>
      <c r="T82" s="235">
        <v>1</v>
      </c>
      <c r="U82" s="162" t="str">
        <f>IF(T82=1,R82,0)</f>
        <v>N/A</v>
      </c>
      <c r="V82" s="162">
        <f>IF(T82=2,R82,0)</f>
        <v>0</v>
      </c>
      <c r="W82" s="162" t="e">
        <f>IF(T82=1,S82,0)</f>
        <v>#DIV/0!</v>
      </c>
      <c r="X82" s="162">
        <f>IF(T82=2,S82,0)</f>
        <v>0</v>
      </c>
      <c r="AA82" s="557" t="str">
        <f t="shared" si="15"/>
        <v>N/A</v>
      </c>
      <c r="AB82" s="557">
        <f t="shared" si="15"/>
        <v>0</v>
      </c>
    </row>
    <row r="83" spans="1:28" ht="20.399999999999999" x14ac:dyDescent="0.2">
      <c r="A83" s="275" t="s">
        <v>145</v>
      </c>
      <c r="B83" s="92">
        <v>0</v>
      </c>
      <c r="C83" s="92">
        <v>0.5</v>
      </c>
      <c r="D83" s="92">
        <v>2</v>
      </c>
      <c r="E83" s="92">
        <v>0.5</v>
      </c>
      <c r="F83" s="32">
        <f>ROUND(Costs!$B$3*B83+Costs!$B$4*C83+Costs!$B$5*D83+Costs!$B$6*E83,2)</f>
        <v>215.78</v>
      </c>
      <c r="G83" s="32" t="str">
        <f>Costs!$B$62</f>
        <v xml:space="preserve"> </v>
      </c>
      <c r="H83" s="32">
        <f>Costs!$B$19</f>
        <v>4.4000000000000004</v>
      </c>
      <c r="I83" s="113" t="s">
        <v>677</v>
      </c>
      <c r="J83" s="106">
        <f>ROUND((N83*Universe!$C$9),1)</f>
        <v>0</v>
      </c>
      <c r="K83" s="94">
        <f>ROUND((I83+J83)*(B83+C83+D83+E83),2)</f>
        <v>0</v>
      </c>
      <c r="L83" s="93">
        <f>(I83+J83)*(F83+G83+H83)</f>
        <v>0</v>
      </c>
      <c r="M83" s="233">
        <f>(B83*Costs!$B$3)+(C83*Costs!$B$4)+(D83*Costs!$B$5)+(E83*Costs!$B$6)+(G83+H83)</f>
        <v>220.18</v>
      </c>
      <c r="N83" s="235">
        <v>0</v>
      </c>
      <c r="O83" s="130">
        <f>F83*(I83+J83)</f>
        <v>0</v>
      </c>
      <c r="P83" s="130">
        <f>G83*(I83+J83)</f>
        <v>0</v>
      </c>
      <c r="Q83" s="130">
        <f>H83*(I83+J83)</f>
        <v>0</v>
      </c>
      <c r="R83" s="500" t="str">
        <f>I83</f>
        <v>N/A</v>
      </c>
      <c r="S83" s="500" t="e">
        <f>ROUND(((B83+C83+D83+E83)*J83)/Universe!$C$2,2)</f>
        <v>#DIV/0!</v>
      </c>
      <c r="T83" s="235">
        <v>1</v>
      </c>
      <c r="U83" s="162" t="str">
        <f>IF(T83=1,R83,0)</f>
        <v>N/A</v>
      </c>
      <c r="V83" s="162">
        <f>IF(T83=2,R83,0)</f>
        <v>0</v>
      </c>
      <c r="W83" s="162" t="e">
        <f>IF(T83=1,S83,0)</f>
        <v>#DIV/0!</v>
      </c>
      <c r="X83" s="162">
        <f>IF(T83=2,S83,0)</f>
        <v>0</v>
      </c>
      <c r="AA83" s="557" t="str">
        <f t="shared" si="15"/>
        <v>N/A</v>
      </c>
      <c r="AB83" s="557">
        <f t="shared" si="15"/>
        <v>0</v>
      </c>
    </row>
    <row r="84" spans="1:28" ht="21" thickBot="1" x14ac:dyDescent="0.25">
      <c r="A84" s="281" t="s">
        <v>146</v>
      </c>
      <c r="B84" s="282">
        <v>0</v>
      </c>
      <c r="C84" s="282">
        <v>0.5</v>
      </c>
      <c r="D84" s="282">
        <v>1</v>
      </c>
      <c r="E84" s="282">
        <v>0.5</v>
      </c>
      <c r="F84" s="191">
        <f>ROUND(Costs!$B$3*B84+Costs!$B$4*C84+Costs!$B$5*D84+Costs!$B$6*E84,2)</f>
        <v>143.16999999999999</v>
      </c>
      <c r="G84" s="191" t="str">
        <f>Costs!$B$62</f>
        <v xml:space="preserve"> </v>
      </c>
      <c r="H84" s="191">
        <f>Costs!$B$19</f>
        <v>4.4000000000000004</v>
      </c>
      <c r="I84" s="320" t="s">
        <v>677</v>
      </c>
      <c r="J84" s="321">
        <f>ROUND((N84*Universe!$C$9),1)</f>
        <v>0</v>
      </c>
      <c r="K84" s="285">
        <f>ROUND((I84+J84)*(B84+C84+D84+E84),2)</f>
        <v>0</v>
      </c>
      <c r="L84" s="286">
        <f>(I84+J84)*(F84+G84+H84)</f>
        <v>0</v>
      </c>
      <c r="M84" s="233">
        <f>(B84*Costs!$B$3)+(C84*Costs!$B$4)+(D84*Costs!$B$5)+(E84*Costs!$B$6)+(G84+H84)</f>
        <v>147.57000000000002</v>
      </c>
      <c r="N84" s="235">
        <v>0</v>
      </c>
      <c r="O84" s="130">
        <f>F84*(I84+J84)</f>
        <v>0</v>
      </c>
      <c r="P84" s="130">
        <f>G84*(I84+J84)</f>
        <v>0</v>
      </c>
      <c r="Q84" s="130">
        <f>H84*(I84+J84)</f>
        <v>0</v>
      </c>
      <c r="R84" s="500" t="str">
        <f>I84</f>
        <v>N/A</v>
      </c>
      <c r="S84" s="500" t="e">
        <f>ROUND(((B84+C84+D84+E84)*J84)/Universe!$C$2,2)</f>
        <v>#DIV/0!</v>
      </c>
      <c r="T84" s="235">
        <v>1</v>
      </c>
      <c r="U84" s="162" t="str">
        <f>IF(T84=1,R84,0)</f>
        <v>N/A</v>
      </c>
      <c r="V84" s="162">
        <f>IF(T84=2,R84,0)</f>
        <v>0</v>
      </c>
      <c r="W84" s="162" t="e">
        <f>IF(T84=1,S84,0)</f>
        <v>#DIV/0!</v>
      </c>
      <c r="X84" s="162">
        <f>IF(T84=2,S84,0)</f>
        <v>0</v>
      </c>
      <c r="AA84" s="557" t="str">
        <f t="shared" si="15"/>
        <v>N/A</v>
      </c>
      <c r="AB84" s="557">
        <f t="shared" si="15"/>
        <v>0</v>
      </c>
    </row>
    <row r="85" spans="1:28" ht="10.8" thickBot="1" x14ac:dyDescent="0.25">
      <c r="A85" s="305" t="s">
        <v>596</v>
      </c>
      <c r="B85" s="324" t="s">
        <v>597</v>
      </c>
      <c r="C85" s="324" t="s">
        <v>597</v>
      </c>
      <c r="D85" s="324" t="s">
        <v>597</v>
      </c>
      <c r="E85" s="324" t="s">
        <v>597</v>
      </c>
      <c r="F85" s="324" t="s">
        <v>597</v>
      </c>
      <c r="G85" s="324" t="s">
        <v>597</v>
      </c>
      <c r="H85" s="324" t="s">
        <v>597</v>
      </c>
      <c r="I85" s="324" t="s">
        <v>597</v>
      </c>
      <c r="J85" s="324" t="s">
        <v>597</v>
      </c>
      <c r="K85" s="304">
        <f>SUM(K80:K84)</f>
        <v>0</v>
      </c>
      <c r="L85" s="294">
        <f>SUM(L80:L84)</f>
        <v>0</v>
      </c>
      <c r="M85" s="233">
        <f>SUM(M80:M84)</f>
        <v>850.62500000000011</v>
      </c>
      <c r="N85" s="239" t="s">
        <v>597</v>
      </c>
      <c r="O85" s="304">
        <f>SUM(O80:O84)</f>
        <v>0</v>
      </c>
      <c r="P85" s="304">
        <f>SUM(P80:P84)</f>
        <v>0</v>
      </c>
      <c r="Q85" s="304">
        <f>SUM(Q80:Q84)</f>
        <v>0</v>
      </c>
      <c r="U85" s="304">
        <f>SUM(U80:U84)</f>
        <v>0</v>
      </c>
      <c r="V85" s="304">
        <f>SUM(V80:V84)</f>
        <v>0</v>
      </c>
      <c r="W85" s="304" t="e">
        <f>SUM(W80:W84)</f>
        <v>#DIV/0!</v>
      </c>
      <c r="X85" s="304" t="e">
        <f>SUM(X80:X84)</f>
        <v>#DIV/0!</v>
      </c>
    </row>
    <row r="86" spans="1:28" ht="10.8" thickBot="1" x14ac:dyDescent="0.25">
      <c r="A86" s="305" t="s">
        <v>567</v>
      </c>
      <c r="B86" s="324" t="s">
        <v>597</v>
      </c>
      <c r="C86" s="324" t="s">
        <v>597</v>
      </c>
      <c r="D86" s="324" t="s">
        <v>597</v>
      </c>
      <c r="E86" s="324" t="s">
        <v>597</v>
      </c>
      <c r="F86" s="324" t="s">
        <v>597</v>
      </c>
      <c r="G86" s="324" t="s">
        <v>597</v>
      </c>
      <c r="H86" s="324" t="s">
        <v>597</v>
      </c>
      <c r="I86" s="324" t="s">
        <v>597</v>
      </c>
      <c r="J86" s="324" t="s">
        <v>597</v>
      </c>
      <c r="K86" s="304">
        <f>K15+K20+K48+K73+K78+K85</f>
        <v>0</v>
      </c>
      <c r="L86" s="294">
        <f>L15+L20+L48+L73+L78+L85</f>
        <v>0</v>
      </c>
      <c r="M86" s="233">
        <f>M15+M20+M48+M73+M78+M85</f>
        <v>18206.019499999999</v>
      </c>
      <c r="N86" s="239" t="s">
        <v>597</v>
      </c>
      <c r="O86" s="304">
        <f>O15+O20+O48+O73+O78+O85</f>
        <v>0</v>
      </c>
      <c r="P86" s="304">
        <f>P15+P20+P48+P73+P78+P85</f>
        <v>0</v>
      </c>
      <c r="Q86" s="304">
        <f>Q15+Q20+Q48+Q73+Q78+Q85</f>
        <v>0</v>
      </c>
      <c r="R86" s="498"/>
      <c r="U86" s="304">
        <f>U15+U20+U48+U73+U78+U85</f>
        <v>0</v>
      </c>
      <c r="V86" s="304">
        <f>V15+V20+V48+V73+V78+V85</f>
        <v>0</v>
      </c>
      <c r="W86" s="304" t="e">
        <f>W15+W20+W48+W73+W78+W85</f>
        <v>#DIV/0!</v>
      </c>
      <c r="X86" s="304" t="e">
        <f>X15+X20+X48+X73+X78+X85</f>
        <v>#DIV/0!</v>
      </c>
    </row>
    <row r="87" spans="1:28" x14ac:dyDescent="0.2">
      <c r="B87" s="39"/>
      <c r="C87" s="39"/>
      <c r="D87" s="39"/>
      <c r="E87" s="39"/>
      <c r="F87" s="31"/>
      <c r="G87" s="31"/>
      <c r="H87" s="31"/>
      <c r="L87" s="31"/>
      <c r="M87" s="232"/>
      <c r="O87" s="232"/>
      <c r="P87" s="232"/>
      <c r="Q87" s="232"/>
      <c r="U87" s="242"/>
      <c r="V87" s="242"/>
    </row>
    <row r="88" spans="1:28" x14ac:dyDescent="0.2">
      <c r="B88" s="39"/>
      <c r="C88" s="39"/>
      <c r="D88" s="39"/>
      <c r="E88" s="39"/>
      <c r="F88" s="31"/>
      <c r="G88" s="31"/>
      <c r="H88" s="31"/>
      <c r="L88" s="31"/>
      <c r="M88" s="232"/>
      <c r="O88" s="232"/>
      <c r="P88" s="232"/>
      <c r="Q88" s="232"/>
    </row>
    <row r="89" spans="1:28" x14ac:dyDescent="0.2">
      <c r="B89" s="39"/>
      <c r="C89" s="39"/>
      <c r="D89" s="39"/>
      <c r="E89" s="39"/>
      <c r="F89" s="31"/>
      <c r="G89" s="31"/>
      <c r="H89" s="31"/>
      <c r="L89" s="31"/>
      <c r="M89" s="232"/>
      <c r="O89" s="232"/>
      <c r="P89" s="232"/>
      <c r="Q89" s="232"/>
      <c r="U89" s="242"/>
      <c r="V89" s="242"/>
    </row>
    <row r="90" spans="1:28" x14ac:dyDescent="0.2">
      <c r="A90" s="3" t="s">
        <v>697</v>
      </c>
      <c r="B90" s="39"/>
      <c r="C90" s="39"/>
      <c r="D90" s="39"/>
      <c r="E90" s="39"/>
      <c r="F90" s="31"/>
      <c r="G90" s="31"/>
      <c r="H90" s="31"/>
      <c r="J90" s="47"/>
      <c r="L90" s="31"/>
      <c r="M90" s="232"/>
      <c r="O90" s="232"/>
      <c r="P90" s="232"/>
      <c r="Q90" s="232"/>
      <c r="R90" s="498"/>
    </row>
    <row r="91" spans="1:28" x14ac:dyDescent="0.2">
      <c r="A91" s="3" t="s">
        <v>382</v>
      </c>
      <c r="B91" s="39"/>
      <c r="C91" s="39"/>
      <c r="D91" s="39"/>
      <c r="E91" s="39"/>
      <c r="F91" s="31"/>
      <c r="G91" s="31"/>
      <c r="H91" s="31"/>
      <c r="J91" s="47"/>
      <c r="L91" s="31"/>
      <c r="M91" s="232"/>
      <c r="O91" s="232"/>
      <c r="P91" s="232"/>
      <c r="Q91" s="232"/>
      <c r="R91" s="498"/>
    </row>
    <row r="92" spans="1:28" x14ac:dyDescent="0.2">
      <c r="A92" s="3" t="s">
        <v>395</v>
      </c>
      <c r="B92" s="39"/>
      <c r="C92" s="39"/>
      <c r="D92" s="39"/>
      <c r="E92" s="39"/>
      <c r="F92" s="31"/>
      <c r="G92" s="31"/>
      <c r="H92" s="31"/>
      <c r="J92" s="47"/>
      <c r="L92" s="31"/>
      <c r="M92" s="232"/>
      <c r="O92" s="232"/>
      <c r="P92" s="232"/>
      <c r="Q92" s="232"/>
      <c r="R92" s="498"/>
    </row>
    <row r="93" spans="1:28" x14ac:dyDescent="0.2">
      <c r="A93" s="20" t="s">
        <v>601</v>
      </c>
      <c r="B93" s="39"/>
      <c r="C93" s="39"/>
      <c r="D93" s="39"/>
      <c r="E93" s="39"/>
      <c r="F93" s="31"/>
      <c r="G93" s="31"/>
      <c r="H93" s="31"/>
      <c r="J93" s="47"/>
      <c r="L93" s="31"/>
      <c r="M93" s="232"/>
      <c r="O93" s="232"/>
      <c r="P93" s="232"/>
      <c r="Q93" s="232"/>
      <c r="R93" s="498"/>
    </row>
    <row r="94" spans="1:28" x14ac:dyDescent="0.2">
      <c r="B94" s="39"/>
      <c r="C94" s="39"/>
      <c r="D94" s="39"/>
      <c r="E94" s="39"/>
      <c r="F94" s="31"/>
      <c r="G94" s="31"/>
      <c r="H94" s="31"/>
      <c r="J94" s="47"/>
      <c r="L94" s="31"/>
      <c r="M94" s="232"/>
      <c r="O94" s="232"/>
      <c r="P94" s="232"/>
      <c r="Q94" s="232"/>
      <c r="R94" s="498"/>
    </row>
    <row r="95" spans="1:28" x14ac:dyDescent="0.2">
      <c r="B95" s="14"/>
      <c r="C95" s="14"/>
      <c r="D95" s="14"/>
      <c r="E95" s="14"/>
      <c r="F95" s="27"/>
      <c r="G95" s="14"/>
      <c r="H95" s="34"/>
      <c r="I95" s="57" t="s">
        <v>602</v>
      </c>
      <c r="J95" s="58"/>
      <c r="K95" s="64"/>
      <c r="L95" s="34"/>
      <c r="M95" s="232"/>
      <c r="O95" s="237"/>
      <c r="P95" s="232"/>
      <c r="Q95" s="232"/>
      <c r="R95" s="498"/>
    </row>
    <row r="96" spans="1:28" x14ac:dyDescent="0.2">
      <c r="B96" s="57" t="s">
        <v>576</v>
      </c>
      <c r="C96" s="58"/>
      <c r="D96" s="58"/>
      <c r="E96" s="58"/>
      <c r="F96" s="61"/>
      <c r="G96" s="58"/>
      <c r="H96" s="60"/>
      <c r="I96" s="57" t="s">
        <v>593</v>
      </c>
      <c r="J96" s="58"/>
      <c r="K96" s="66" t="s">
        <v>577</v>
      </c>
      <c r="L96" s="60"/>
      <c r="M96" s="232"/>
      <c r="O96" s="238"/>
      <c r="P96" s="232"/>
      <c r="Q96" s="232"/>
      <c r="R96" s="498"/>
    </row>
    <row r="97" spans="1:24" x14ac:dyDescent="0.2">
      <c r="B97" s="54"/>
      <c r="C97" s="51"/>
      <c r="D97" s="51"/>
      <c r="E97" s="51"/>
      <c r="F97" s="52"/>
      <c r="G97" s="51"/>
      <c r="H97" s="53"/>
      <c r="I97" s="55"/>
      <c r="J97" s="56"/>
      <c r="K97" s="67"/>
      <c r="L97" s="56"/>
      <c r="M97" s="163" t="s">
        <v>396</v>
      </c>
      <c r="O97" s="237"/>
      <c r="P97" s="163"/>
      <c r="Q97" s="163"/>
      <c r="R97" s="498"/>
    </row>
    <row r="98" spans="1:24" x14ac:dyDescent="0.2">
      <c r="B98" s="19" t="s">
        <v>569</v>
      </c>
      <c r="C98" s="19" t="s">
        <v>570</v>
      </c>
      <c r="D98" s="19" t="s">
        <v>571</v>
      </c>
      <c r="E98" s="19" t="s">
        <v>572</v>
      </c>
      <c r="F98" s="28" t="s">
        <v>578</v>
      </c>
      <c r="G98" s="19" t="s">
        <v>579</v>
      </c>
      <c r="H98" s="34"/>
      <c r="I98" s="14"/>
      <c r="J98" s="14"/>
      <c r="K98" s="68" t="s">
        <v>580</v>
      </c>
      <c r="L98" s="35" t="s">
        <v>580</v>
      </c>
      <c r="M98" s="163" t="s">
        <v>603</v>
      </c>
      <c r="O98" s="239"/>
      <c r="P98" s="163"/>
      <c r="Q98" s="163"/>
      <c r="R98" s="498" t="s">
        <v>581</v>
      </c>
      <c r="T98" s="239" t="s">
        <v>242</v>
      </c>
    </row>
    <row r="99" spans="1:24" x14ac:dyDescent="0.2">
      <c r="B99" s="10">
        <f>Costs!$B$3</f>
        <v>164.9</v>
      </c>
      <c r="C99" s="10">
        <f>Costs!$B$4</f>
        <v>97.45</v>
      </c>
      <c r="D99" s="10">
        <f>Costs!$B$5</f>
        <v>72.61</v>
      </c>
      <c r="E99" s="10">
        <f>Costs!$B$6</f>
        <v>43.67</v>
      </c>
      <c r="F99" s="28" t="s">
        <v>583</v>
      </c>
      <c r="G99" s="19" t="s">
        <v>584</v>
      </c>
      <c r="H99" s="35" t="s">
        <v>585</v>
      </c>
      <c r="I99" s="14"/>
      <c r="J99" s="19" t="s">
        <v>604</v>
      </c>
      <c r="K99" s="68" t="s">
        <v>582</v>
      </c>
      <c r="L99" s="35" t="s">
        <v>583</v>
      </c>
      <c r="M99" s="163" t="s">
        <v>605</v>
      </c>
      <c r="O99" s="239"/>
      <c r="P99" s="163"/>
      <c r="Q99" s="163"/>
      <c r="R99" s="498" t="s">
        <v>587</v>
      </c>
      <c r="T99" s="239" t="s">
        <v>397</v>
      </c>
    </row>
    <row r="100" spans="1:24" x14ac:dyDescent="0.2">
      <c r="A100" s="3" t="s">
        <v>588</v>
      </c>
      <c r="B100" s="19" t="s">
        <v>590</v>
      </c>
      <c r="C100" s="19" t="s">
        <v>590</v>
      </c>
      <c r="D100" s="19" t="s">
        <v>590</v>
      </c>
      <c r="E100" s="19" t="s">
        <v>590</v>
      </c>
      <c r="F100" s="28" t="s">
        <v>607</v>
      </c>
      <c r="G100" s="19" t="s">
        <v>592</v>
      </c>
      <c r="H100" s="35" t="s">
        <v>592</v>
      </c>
      <c r="I100" s="19" t="s">
        <v>574</v>
      </c>
      <c r="J100" s="19" t="s">
        <v>606</v>
      </c>
      <c r="K100" s="68" t="s">
        <v>591</v>
      </c>
      <c r="L100" s="35" t="s">
        <v>591</v>
      </c>
      <c r="M100" s="163" t="s">
        <v>607</v>
      </c>
      <c r="N100" s="242" t="s">
        <v>589</v>
      </c>
      <c r="O100" s="239"/>
      <c r="P100" s="163"/>
      <c r="Q100" s="163"/>
      <c r="R100" s="498" t="s">
        <v>595</v>
      </c>
    </row>
    <row r="101" spans="1:24" x14ac:dyDescent="0.2">
      <c r="A101" s="266" t="s">
        <v>398</v>
      </c>
      <c r="B101" s="269"/>
      <c r="C101" s="269"/>
      <c r="D101" s="269"/>
      <c r="E101" s="269"/>
      <c r="F101" s="270"/>
      <c r="G101" s="270"/>
      <c r="H101" s="270"/>
      <c r="I101" s="316"/>
      <c r="J101" s="317"/>
      <c r="K101" s="272"/>
      <c r="L101" s="273"/>
      <c r="M101" s="234"/>
      <c r="O101" s="232"/>
      <c r="P101" s="232"/>
      <c r="Q101" s="232"/>
      <c r="R101" s="498" t="s">
        <v>399</v>
      </c>
      <c r="S101" s="500" t="s">
        <v>385</v>
      </c>
    </row>
    <row r="102" spans="1:24" x14ac:dyDescent="0.2">
      <c r="A102" s="275" t="s">
        <v>610</v>
      </c>
      <c r="B102" s="92">
        <v>0</v>
      </c>
      <c r="C102" s="92">
        <v>0.1</v>
      </c>
      <c r="D102" s="92">
        <v>0.25</v>
      </c>
      <c r="E102" s="92">
        <v>0</v>
      </c>
      <c r="F102" s="32">
        <f>ROUND(Costs!$B$3*B102+Costs!$B$4*C102+Costs!$B$5*D102+Costs!$B$6*E102,2)</f>
        <v>27.9</v>
      </c>
      <c r="G102" s="32" t="str">
        <f>Costs!$B$62</f>
        <v xml:space="preserve"> </v>
      </c>
      <c r="H102" s="93">
        <f>Costs!$B$16</f>
        <v>0</v>
      </c>
      <c r="I102" s="113" t="s">
        <v>677</v>
      </c>
      <c r="J102" s="106">
        <f>ROUND((N102*Universe!$C$9),0)</f>
        <v>0</v>
      </c>
      <c r="K102" s="94">
        <f>ROUND((I102+J102)*(B102+C102+D102+E102),2)</f>
        <v>0</v>
      </c>
      <c r="L102" s="93">
        <f>(I102+J102)*(F102+G102+H102)</f>
        <v>0</v>
      </c>
      <c r="M102" s="233">
        <f>(B102*Costs!$B$3)+(C102*Costs!$B$4)+(D102*Costs!$B$5)+(E102*Costs!$B$6)+(G102+H102)</f>
        <v>27.897500000000001</v>
      </c>
      <c r="N102" s="235">
        <v>0.1</v>
      </c>
      <c r="O102" s="130">
        <f>F102*(I102+J102)</f>
        <v>0</v>
      </c>
      <c r="P102" s="130">
        <f>G102*(I102+J102)</f>
        <v>0</v>
      </c>
      <c r="Q102" s="130">
        <f>H102*(I102+J102)</f>
        <v>0</v>
      </c>
      <c r="R102" s="500" t="str">
        <f>I102</f>
        <v>N/A</v>
      </c>
      <c r="S102" s="500" t="e">
        <f>ROUND(((B102+C102+D102+E102)*J102)/Universe!$C$2,2)</f>
        <v>#DIV/0!</v>
      </c>
      <c r="T102" s="235">
        <v>2</v>
      </c>
      <c r="U102" s="162">
        <f>IF(T102=1,R102,0)</f>
        <v>0</v>
      </c>
      <c r="V102" s="162" t="str">
        <f>IF(T102=2,R102,0)</f>
        <v>N/A</v>
      </c>
      <c r="W102" s="162">
        <f>IF(T102=1,S102,0)</f>
        <v>0</v>
      </c>
      <c r="X102" s="162" t="e">
        <f>IF(T102=2,S102,0)</f>
        <v>#DIV/0!</v>
      </c>
    </row>
    <row r="103" spans="1:24" ht="31.2" thickBot="1" x14ac:dyDescent="0.25">
      <c r="A103" s="281" t="s">
        <v>560</v>
      </c>
      <c r="B103" s="282">
        <v>0</v>
      </c>
      <c r="C103" s="282">
        <v>1</v>
      </c>
      <c r="D103" s="282">
        <v>4</v>
      </c>
      <c r="E103" s="282">
        <v>1</v>
      </c>
      <c r="F103" s="191">
        <f>ROUND(Costs!$B$3*B103+Costs!$B$4*C103+Costs!$B$5*D103+Costs!$B$6*E103,2)</f>
        <v>431.56</v>
      </c>
      <c r="G103" s="191" t="str">
        <f>Costs!$B$62</f>
        <v xml:space="preserve"> </v>
      </c>
      <c r="H103" s="191">
        <f>Costs!$B$19</f>
        <v>4.4000000000000004</v>
      </c>
      <c r="I103" s="320" t="s">
        <v>677</v>
      </c>
      <c r="J103" s="321">
        <f>ROUND((N103*Universe!$C$9),0)</f>
        <v>0</v>
      </c>
      <c r="K103" s="285">
        <f>ROUND((I103+J103)*(B103+C103+D103+E103),2)</f>
        <v>0</v>
      </c>
      <c r="L103" s="286">
        <f>(I103+J103)*(F103+G103+H103)</f>
        <v>0</v>
      </c>
      <c r="M103" s="233">
        <f>(B103*Costs!$B$3)+(C103*Costs!$B$4)+(D103*Costs!$B$5)+(E103*Costs!$B$6)+(G103+H103)</f>
        <v>435.96</v>
      </c>
      <c r="N103" s="235">
        <v>0.1</v>
      </c>
      <c r="O103" s="130">
        <f>F103*(I103+J103)</f>
        <v>0</v>
      </c>
      <c r="P103" s="130">
        <f>G103*(I103+J103)</f>
        <v>0</v>
      </c>
      <c r="Q103" s="130">
        <f>H103*(I103+J103)</f>
        <v>0</v>
      </c>
      <c r="R103" s="500" t="str">
        <f>I103</f>
        <v>N/A</v>
      </c>
      <c r="S103" s="500" t="e">
        <f>ROUND(((B103+C103+D103+E103)*J103)/Universe!$C$2,2)</f>
        <v>#DIV/0!</v>
      </c>
      <c r="T103" s="235">
        <v>1</v>
      </c>
      <c r="U103" s="162" t="str">
        <f>IF(T103=1,R103,0)</f>
        <v>N/A</v>
      </c>
      <c r="V103" s="162">
        <f>IF(T103=2,R103,0)</f>
        <v>0</v>
      </c>
      <c r="W103" s="162" t="e">
        <f>IF(T103=1,S103,0)</f>
        <v>#DIV/0!</v>
      </c>
      <c r="X103" s="162">
        <f>IF(T103=2,S103,0)</f>
        <v>0</v>
      </c>
    </row>
    <row r="104" spans="1:24" ht="10.8" thickBot="1" x14ac:dyDescent="0.25">
      <c r="A104" s="293" t="s">
        <v>596</v>
      </c>
      <c r="B104" s="324" t="s">
        <v>597</v>
      </c>
      <c r="C104" s="324" t="s">
        <v>597</v>
      </c>
      <c r="D104" s="324" t="s">
        <v>597</v>
      </c>
      <c r="E104" s="324" t="s">
        <v>597</v>
      </c>
      <c r="F104" s="324" t="s">
        <v>597</v>
      </c>
      <c r="G104" s="324" t="s">
        <v>597</v>
      </c>
      <c r="H104" s="324" t="s">
        <v>597</v>
      </c>
      <c r="I104" s="324" t="s">
        <v>597</v>
      </c>
      <c r="J104" s="324" t="s">
        <v>597</v>
      </c>
      <c r="K104" s="304">
        <f>SUM(K102:K103)</f>
        <v>0</v>
      </c>
      <c r="L104" s="294">
        <f>SUM(L102:L103)</f>
        <v>0</v>
      </c>
      <c r="M104" s="233">
        <f>SUM(M102:M103)</f>
        <v>463.85749999999996</v>
      </c>
      <c r="O104" s="304">
        <f>SUM(O102:O103)</f>
        <v>0</v>
      </c>
      <c r="P104" s="304">
        <f>SUM(P102:P103)</f>
        <v>0</v>
      </c>
      <c r="Q104" s="304">
        <f>SUM(Q102:Q103)</f>
        <v>0</v>
      </c>
      <c r="R104" s="498"/>
      <c r="U104" s="304">
        <f>SUM(U102:U103)</f>
        <v>0</v>
      </c>
      <c r="V104" s="304">
        <f>SUM(V102:V103)</f>
        <v>0</v>
      </c>
      <c r="W104" s="304" t="e">
        <f>SUM(W102:W103)</f>
        <v>#DIV/0!</v>
      </c>
      <c r="X104" s="304" t="e">
        <f>SUM(X102:X103)</f>
        <v>#DIV/0!</v>
      </c>
    </row>
    <row r="105" spans="1:24" x14ac:dyDescent="0.2">
      <c r="A105" s="297" t="s">
        <v>147</v>
      </c>
      <c r="B105" s="333"/>
      <c r="C105" s="333"/>
      <c r="D105" s="333"/>
      <c r="E105" s="333"/>
      <c r="F105" s="334"/>
      <c r="G105" s="334"/>
      <c r="H105" s="334"/>
      <c r="I105" s="335"/>
      <c r="J105" s="339"/>
      <c r="K105" s="337"/>
      <c r="L105" s="338"/>
      <c r="M105" s="234"/>
      <c r="O105" s="232"/>
      <c r="P105" s="232"/>
      <c r="Q105" s="232"/>
    </row>
    <row r="106" spans="1:24" x14ac:dyDescent="0.2">
      <c r="A106" s="275" t="s">
        <v>610</v>
      </c>
      <c r="B106" s="92">
        <v>0</v>
      </c>
      <c r="C106" s="92">
        <v>4</v>
      </c>
      <c r="D106" s="92">
        <v>8</v>
      </c>
      <c r="E106" s="92">
        <v>0</v>
      </c>
      <c r="F106" s="32">
        <f>ROUND(Costs!$B$3*B106+Costs!$B$4*C106+Costs!$B$5*D106+Costs!$B$6*E106,2)</f>
        <v>970.68</v>
      </c>
      <c r="G106" s="32" t="str">
        <f>Costs!$B$62</f>
        <v xml:space="preserve"> </v>
      </c>
      <c r="H106" s="93">
        <f>Costs!$B$16</f>
        <v>0</v>
      </c>
      <c r="I106" s="113" t="s">
        <v>677</v>
      </c>
      <c r="J106" s="106">
        <v>0</v>
      </c>
      <c r="K106" s="94">
        <f t="shared" ref="K106:K112" si="16">ROUND((I106+J106)*(B106+C106+D106+E106),2)</f>
        <v>0</v>
      </c>
      <c r="L106" s="93">
        <f t="shared" ref="L106:L112" si="17">(I106+J106)*(F106+G106+H106)</f>
        <v>0</v>
      </c>
      <c r="M106" s="233">
        <f>(B106*Costs!$B$3)+(C106*Costs!$B$4)+(D106*Costs!$B$5)+(E106*Costs!$B$6)+(G106+H106)</f>
        <v>970.68000000000006</v>
      </c>
      <c r="N106" s="235">
        <v>1</v>
      </c>
      <c r="O106" s="130">
        <f t="shared" ref="O106:O111" si="18">F106*(I106+J106)</f>
        <v>0</v>
      </c>
      <c r="P106" s="130">
        <f t="shared" ref="P106:P111" si="19">G106*(I106+J106)</f>
        <v>0</v>
      </c>
      <c r="Q106" s="130">
        <f t="shared" ref="Q106:Q111" si="20">H106*(I106+J106)</f>
        <v>0</v>
      </c>
      <c r="R106" s="500" t="str">
        <f t="shared" ref="R106:R112" si="21">I106</f>
        <v>N/A</v>
      </c>
      <c r="S106" s="500" t="e">
        <f>ROUND(((B106+C106+D106+E106)*J106)/Universe!$C$2,2)</f>
        <v>#DIV/0!</v>
      </c>
      <c r="T106" s="235">
        <v>2</v>
      </c>
      <c r="U106" s="162">
        <f t="shared" ref="U106:U112" si="22">IF(T106=1,R106,0)</f>
        <v>0</v>
      </c>
      <c r="V106" s="162" t="str">
        <f t="shared" ref="V106:V112" si="23">IF(T106=2,R106,0)</f>
        <v>N/A</v>
      </c>
      <c r="W106" s="162">
        <f t="shared" ref="W106:W112" si="24">IF(T106=1,S106,0)</f>
        <v>0</v>
      </c>
      <c r="X106" s="162" t="e">
        <f t="shared" ref="X106:X112" si="25">IF(T106=2,S106,0)</f>
        <v>#DIV/0!</v>
      </c>
    </row>
    <row r="107" spans="1:24" ht="20.399999999999999" x14ac:dyDescent="0.2">
      <c r="A107" s="275" t="s">
        <v>148</v>
      </c>
      <c r="B107" s="92">
        <v>0</v>
      </c>
      <c r="C107" s="92">
        <v>2</v>
      </c>
      <c r="D107" s="92">
        <v>25</v>
      </c>
      <c r="E107" s="92">
        <v>3</v>
      </c>
      <c r="F107" s="32">
        <f>ROUND(Costs!$B$3*B107+Costs!$B$4*C107+Costs!$B$5*D107+Costs!$B$6*E107,2)</f>
        <v>2141.16</v>
      </c>
      <c r="G107" s="32" t="str">
        <f>Costs!$B$62</f>
        <v xml:space="preserve"> </v>
      </c>
      <c r="H107" s="32">
        <f>Costs!$B$19</f>
        <v>4.4000000000000004</v>
      </c>
      <c r="I107" s="113" t="s">
        <v>677</v>
      </c>
      <c r="J107" s="106">
        <f>ROUND((N107*Universe!$C$9/3),0)</f>
        <v>0</v>
      </c>
      <c r="K107" s="94">
        <f t="shared" si="16"/>
        <v>0</v>
      </c>
      <c r="L107" s="93">
        <f t="shared" si="17"/>
        <v>0</v>
      </c>
      <c r="M107" s="233">
        <f>(B107*Costs!$B$3)+(C107*Costs!$B$4)+(D107*Costs!$B$5)+(E107*Costs!$B$6)+(G107+H107)</f>
        <v>2145.56</v>
      </c>
      <c r="N107" s="235">
        <v>0.1</v>
      </c>
      <c r="O107" s="130">
        <f t="shared" si="18"/>
        <v>0</v>
      </c>
      <c r="P107" s="130">
        <f t="shared" si="19"/>
        <v>0</v>
      </c>
      <c r="Q107" s="130">
        <f t="shared" si="20"/>
        <v>0</v>
      </c>
      <c r="R107" s="500" t="str">
        <f t="shared" si="21"/>
        <v>N/A</v>
      </c>
      <c r="S107" s="500" t="e">
        <f>ROUND(((B107+C107+D107+E107)*J107)/Universe!$C$2,2)</f>
        <v>#DIV/0!</v>
      </c>
      <c r="T107" s="235">
        <v>1</v>
      </c>
      <c r="U107" s="162" t="str">
        <f t="shared" si="22"/>
        <v>N/A</v>
      </c>
      <c r="V107" s="162">
        <f t="shared" si="23"/>
        <v>0</v>
      </c>
      <c r="W107" s="162" t="e">
        <f t="shared" si="24"/>
        <v>#DIV/0!</v>
      </c>
      <c r="X107" s="162">
        <f t="shared" si="25"/>
        <v>0</v>
      </c>
    </row>
    <row r="108" spans="1:24" ht="40.799999999999997" x14ac:dyDescent="0.2">
      <c r="A108" s="275" t="s">
        <v>149</v>
      </c>
      <c r="B108" s="92">
        <v>0</v>
      </c>
      <c r="C108" s="92">
        <v>0.25</v>
      </c>
      <c r="D108" s="92">
        <v>1</v>
      </c>
      <c r="E108" s="92">
        <v>0.25</v>
      </c>
      <c r="F108" s="32">
        <f>ROUND(Costs!$B$3*B108+Costs!$B$4*C108+Costs!$B$5*D108+Costs!$B$6*E108,2)</f>
        <v>107.89</v>
      </c>
      <c r="G108" s="32" t="str">
        <f>Costs!$B$62</f>
        <v xml:space="preserve"> </v>
      </c>
      <c r="H108" s="32">
        <f>Costs!$B$19</f>
        <v>4.4000000000000004</v>
      </c>
      <c r="I108" s="113" t="s">
        <v>677</v>
      </c>
      <c r="J108" s="106">
        <v>0</v>
      </c>
      <c r="K108" s="94">
        <f t="shared" si="16"/>
        <v>0</v>
      </c>
      <c r="L108" s="93">
        <f t="shared" si="17"/>
        <v>0</v>
      </c>
      <c r="M108" s="233">
        <f>(B108*Costs!$B$3)+(C108*Costs!$B$4)+(D108*Costs!$B$5)+(E108*Costs!$B$6)+(G108+H108)</f>
        <v>112.29</v>
      </c>
      <c r="N108" s="235">
        <v>1</v>
      </c>
      <c r="O108" s="130">
        <f t="shared" si="18"/>
        <v>0</v>
      </c>
      <c r="P108" s="130">
        <f t="shared" si="19"/>
        <v>0</v>
      </c>
      <c r="Q108" s="130">
        <f t="shared" si="20"/>
        <v>0</v>
      </c>
      <c r="R108" s="500" t="str">
        <f t="shared" si="21"/>
        <v>N/A</v>
      </c>
      <c r="S108" s="500" t="e">
        <f>ROUND(((B108+C108+D108+E108)*J108)/Universe!$C$2,2)</f>
        <v>#DIV/0!</v>
      </c>
      <c r="T108" s="235">
        <v>1</v>
      </c>
      <c r="U108" s="162" t="str">
        <f t="shared" si="22"/>
        <v>N/A</v>
      </c>
      <c r="V108" s="162">
        <f t="shared" si="23"/>
        <v>0</v>
      </c>
      <c r="W108" s="162" t="e">
        <f t="shared" si="24"/>
        <v>#DIV/0!</v>
      </c>
      <c r="X108" s="162">
        <f t="shared" si="25"/>
        <v>0</v>
      </c>
    </row>
    <row r="109" spans="1:24" ht="40.799999999999997" x14ac:dyDescent="0.2">
      <c r="A109" s="275" t="s">
        <v>150</v>
      </c>
      <c r="B109" s="92">
        <v>0</v>
      </c>
      <c r="C109" s="92">
        <v>0.25</v>
      </c>
      <c r="D109" s="92">
        <v>1</v>
      </c>
      <c r="E109" s="92">
        <v>0.25</v>
      </c>
      <c r="F109" s="32">
        <f>ROUND(Costs!$B$3*B109+Costs!$B$4*C109+Costs!$B$5*D109+Costs!$B$6*E109,2)</f>
        <v>107.89</v>
      </c>
      <c r="G109" s="32" t="str">
        <f>Costs!$B$62</f>
        <v xml:space="preserve"> </v>
      </c>
      <c r="H109" s="32">
        <f>Costs!$B$19</f>
        <v>4.4000000000000004</v>
      </c>
      <c r="I109" s="113" t="s">
        <v>677</v>
      </c>
      <c r="J109" s="106">
        <v>0</v>
      </c>
      <c r="K109" s="94">
        <f t="shared" si="16"/>
        <v>0</v>
      </c>
      <c r="L109" s="93">
        <f t="shared" si="17"/>
        <v>0</v>
      </c>
      <c r="M109" s="233">
        <f>(B109*Costs!$B$3)+(C109*Costs!$B$4)+(D109*Costs!$B$5)+(E109*Costs!$B$6)+(G109+H109)</f>
        <v>112.29</v>
      </c>
      <c r="N109" s="235">
        <v>1</v>
      </c>
      <c r="O109" s="130">
        <f t="shared" si="18"/>
        <v>0</v>
      </c>
      <c r="P109" s="130">
        <f t="shared" si="19"/>
        <v>0</v>
      </c>
      <c r="Q109" s="130">
        <f t="shared" si="20"/>
        <v>0</v>
      </c>
      <c r="R109" s="500" t="str">
        <f t="shared" si="21"/>
        <v>N/A</v>
      </c>
      <c r="S109" s="500" t="e">
        <f>ROUND(((B109+C109+D109+E109)*J109)/Universe!$C$2,2)</f>
        <v>#DIV/0!</v>
      </c>
      <c r="T109" s="235">
        <v>1</v>
      </c>
      <c r="U109" s="162" t="str">
        <f t="shared" si="22"/>
        <v>N/A</v>
      </c>
      <c r="V109" s="162">
        <f t="shared" si="23"/>
        <v>0</v>
      </c>
      <c r="W109" s="162" t="e">
        <f t="shared" si="24"/>
        <v>#DIV/0!</v>
      </c>
      <c r="X109" s="162">
        <f t="shared" si="25"/>
        <v>0</v>
      </c>
    </row>
    <row r="110" spans="1:24" ht="20.399999999999999" x14ac:dyDescent="0.2">
      <c r="A110" s="275" t="s">
        <v>151</v>
      </c>
      <c r="B110" s="92">
        <v>0</v>
      </c>
      <c r="C110" s="92">
        <v>25</v>
      </c>
      <c r="D110" s="92">
        <v>80</v>
      </c>
      <c r="E110" s="92">
        <v>12</v>
      </c>
      <c r="F110" s="32">
        <f>ROUND(Costs!$B$3*B110+Costs!$B$4*C110+Costs!$B$5*D110+Costs!$B$6*E110,2)</f>
        <v>8769.09</v>
      </c>
      <c r="G110" s="32" t="str">
        <f>Costs!$B$62</f>
        <v xml:space="preserve"> </v>
      </c>
      <c r="H110" s="93">
        <v>32000</v>
      </c>
      <c r="I110" s="113" t="s">
        <v>677</v>
      </c>
      <c r="J110" s="106">
        <v>0</v>
      </c>
      <c r="K110" s="94">
        <f t="shared" si="16"/>
        <v>0</v>
      </c>
      <c r="L110" s="93">
        <f t="shared" si="17"/>
        <v>0</v>
      </c>
      <c r="M110" s="233">
        <f>(B110*Costs!$B$3)+(C110*Costs!$B$4)+(D110*Costs!$B$5)+(E110*Costs!$B$6)+(G110+H110)</f>
        <v>40769.089999999997</v>
      </c>
      <c r="N110" s="235">
        <v>1</v>
      </c>
      <c r="O110" s="130">
        <f t="shared" si="18"/>
        <v>0</v>
      </c>
      <c r="P110" s="130">
        <f t="shared" si="19"/>
        <v>0</v>
      </c>
      <c r="Q110" s="130">
        <f t="shared" si="20"/>
        <v>0</v>
      </c>
      <c r="R110" s="500" t="str">
        <f t="shared" si="21"/>
        <v>N/A</v>
      </c>
      <c r="S110" s="500" t="e">
        <f>ROUND(((B110+C110+D110+E110)*J110)/Universe!$C$2,2)</f>
        <v>#DIV/0!</v>
      </c>
      <c r="T110" s="235">
        <v>1</v>
      </c>
      <c r="U110" s="162" t="str">
        <f t="shared" si="22"/>
        <v>N/A</v>
      </c>
      <c r="V110" s="162">
        <f t="shared" si="23"/>
        <v>0</v>
      </c>
      <c r="W110" s="162" t="e">
        <f t="shared" si="24"/>
        <v>#DIV/0!</v>
      </c>
      <c r="X110" s="162">
        <f t="shared" si="25"/>
        <v>0</v>
      </c>
    </row>
    <row r="111" spans="1:24" ht="81.599999999999994" x14ac:dyDescent="0.2">
      <c r="A111" s="275" t="s">
        <v>152</v>
      </c>
      <c r="B111" s="92">
        <v>50</v>
      </c>
      <c r="C111" s="92">
        <v>120</v>
      </c>
      <c r="D111" s="92">
        <v>1000</v>
      </c>
      <c r="E111" s="92">
        <v>40</v>
      </c>
      <c r="F111" s="32">
        <f>ROUND(Costs!$B$3*B111+Costs!$B$4*C111+Costs!$B$5*D111+Costs!$B$6*E111,2)</f>
        <v>94295.8</v>
      </c>
      <c r="G111" s="32" t="str">
        <f>Costs!$B$62</f>
        <v xml:space="preserve"> </v>
      </c>
      <c r="H111" s="93">
        <v>350000</v>
      </c>
      <c r="I111" s="113" t="s">
        <v>677</v>
      </c>
      <c r="J111" s="106">
        <v>0</v>
      </c>
      <c r="K111" s="94">
        <f t="shared" si="16"/>
        <v>0</v>
      </c>
      <c r="L111" s="93">
        <f t="shared" si="17"/>
        <v>0</v>
      </c>
      <c r="M111" s="233">
        <f>(B111*Costs!$B$3)+(C111*Costs!$B$4)+(D111*Costs!$B$5)+(E111*Costs!$B$6)+(G111+H111)</f>
        <v>444295.8</v>
      </c>
      <c r="N111" s="235">
        <v>1</v>
      </c>
      <c r="O111" s="130">
        <f t="shared" si="18"/>
        <v>0</v>
      </c>
      <c r="P111" s="130">
        <f t="shared" si="19"/>
        <v>0</v>
      </c>
      <c r="Q111" s="130">
        <f t="shared" si="20"/>
        <v>0</v>
      </c>
      <c r="R111" s="500" t="str">
        <f t="shared" si="21"/>
        <v>N/A</v>
      </c>
      <c r="S111" s="500" t="e">
        <f>ROUND(((B111+C111+D111+E111)*J111)/Universe!$C$2,2)</f>
        <v>#DIV/0!</v>
      </c>
      <c r="T111" s="235">
        <v>1</v>
      </c>
      <c r="U111" s="162" t="str">
        <f t="shared" si="22"/>
        <v>N/A</v>
      </c>
      <c r="V111" s="162">
        <f t="shared" si="23"/>
        <v>0</v>
      </c>
      <c r="W111" s="162" t="e">
        <f t="shared" si="24"/>
        <v>#DIV/0!</v>
      </c>
      <c r="X111" s="162">
        <f t="shared" si="25"/>
        <v>0</v>
      </c>
    </row>
    <row r="112" spans="1:24" ht="41.4" thickBot="1" x14ac:dyDescent="0.25">
      <c r="A112" s="281" t="s">
        <v>153</v>
      </c>
      <c r="B112" s="282">
        <v>0</v>
      </c>
      <c r="C112" s="282">
        <v>1</v>
      </c>
      <c r="D112" s="282">
        <v>1</v>
      </c>
      <c r="E112" s="282">
        <v>0.5</v>
      </c>
      <c r="F112" s="191">
        <f>ROUND(Costs!$B$3*B112+Costs!$B$4*C112+Costs!$B$5*D112+Costs!$B$6*E112,2)</f>
        <v>191.9</v>
      </c>
      <c r="G112" s="191" t="str">
        <f>Costs!$B$62</f>
        <v xml:space="preserve"> </v>
      </c>
      <c r="H112" s="286">
        <f>Costs!$B$16</f>
        <v>0</v>
      </c>
      <c r="I112" s="320" t="s">
        <v>677</v>
      </c>
      <c r="J112" s="321">
        <f>ROUND((N112*J111),0)</f>
        <v>0</v>
      </c>
      <c r="K112" s="285">
        <f t="shared" si="16"/>
        <v>0</v>
      </c>
      <c r="L112" s="286">
        <f t="shared" si="17"/>
        <v>0</v>
      </c>
      <c r="M112" s="233">
        <f>(B112*Costs!$B$3)+(C112*Costs!$B$4)+(D112*Costs!$B$5)+(E112*Costs!$B$6)+(G112+H112)</f>
        <v>191.89500000000001</v>
      </c>
      <c r="N112" s="235">
        <v>0.1</v>
      </c>
      <c r="O112" s="130">
        <f>F112*(I112+J112)</f>
        <v>0</v>
      </c>
      <c r="P112" s="130">
        <f>G112*(I112+J112)</f>
        <v>0</v>
      </c>
      <c r="Q112" s="130">
        <f>H112*(I112+J112)</f>
        <v>0</v>
      </c>
      <c r="R112" s="500" t="str">
        <f t="shared" si="21"/>
        <v>N/A</v>
      </c>
      <c r="S112" s="500" t="e">
        <f>ROUND(((B112+C112+D112+E112)*J112)/Universe!$C$2,2)</f>
        <v>#DIV/0!</v>
      </c>
      <c r="T112" s="235">
        <v>1</v>
      </c>
      <c r="U112" s="162" t="str">
        <f t="shared" si="22"/>
        <v>N/A</v>
      </c>
      <c r="V112" s="162">
        <f t="shared" si="23"/>
        <v>0</v>
      </c>
      <c r="W112" s="162" t="e">
        <f t="shared" si="24"/>
        <v>#DIV/0!</v>
      </c>
      <c r="X112" s="162">
        <f t="shared" si="25"/>
        <v>0</v>
      </c>
    </row>
    <row r="113" spans="1:24" ht="10.8" thickBot="1" x14ac:dyDescent="0.25">
      <c r="A113" s="305" t="s">
        <v>596</v>
      </c>
      <c r="B113" s="324" t="s">
        <v>597</v>
      </c>
      <c r="C113" s="324" t="s">
        <v>597</v>
      </c>
      <c r="D113" s="324" t="s">
        <v>597</v>
      </c>
      <c r="E113" s="324" t="s">
        <v>597</v>
      </c>
      <c r="F113" s="324" t="s">
        <v>597</v>
      </c>
      <c r="G113" s="324" t="s">
        <v>597</v>
      </c>
      <c r="H113" s="324" t="s">
        <v>597</v>
      </c>
      <c r="I113" s="324" t="s">
        <v>597</v>
      </c>
      <c r="J113" s="324" t="s">
        <v>597</v>
      </c>
      <c r="K113" s="304">
        <f>SUM(K106:K112)</f>
        <v>0</v>
      </c>
      <c r="L113" s="294">
        <f>SUM(L106:L112)</f>
        <v>0</v>
      </c>
      <c r="M113" s="233">
        <f>SUM(M106:M110)</f>
        <v>44109.909999999996</v>
      </c>
      <c r="O113" s="304">
        <f>SUM(O106:O112)</f>
        <v>0</v>
      </c>
      <c r="P113" s="304">
        <f>SUM(P106:P112)</f>
        <v>0</v>
      </c>
      <c r="Q113" s="304">
        <f>SUM(Q106:Q112)</f>
        <v>0</v>
      </c>
      <c r="R113" s="500"/>
      <c r="U113" s="304">
        <f>SUM(U106:U112)</f>
        <v>0</v>
      </c>
      <c r="V113" s="304">
        <f>SUM(V106:V112)</f>
        <v>0</v>
      </c>
      <c r="W113" s="304" t="e">
        <f>SUM(W106:W112)</f>
        <v>#DIV/0!</v>
      </c>
      <c r="X113" s="304" t="e">
        <f>SUM(X106:X112)</f>
        <v>#DIV/0!</v>
      </c>
    </row>
    <row r="114" spans="1:24" x14ac:dyDescent="0.2">
      <c r="A114" s="287" t="s">
        <v>561</v>
      </c>
      <c r="B114" s="340"/>
      <c r="C114" s="340"/>
      <c r="D114" s="340"/>
      <c r="E114" s="340"/>
      <c r="F114" s="341"/>
      <c r="G114" s="341"/>
      <c r="H114" s="341"/>
      <c r="I114" s="331"/>
      <c r="J114" s="342"/>
      <c r="K114" s="343"/>
      <c r="L114" s="344"/>
      <c r="M114" s="234"/>
      <c r="O114" s="232"/>
      <c r="P114" s="232"/>
      <c r="Q114" s="232"/>
    </row>
    <row r="115" spans="1:24" x14ac:dyDescent="0.2">
      <c r="A115" s="255" t="s">
        <v>401</v>
      </c>
      <c r="B115" s="263"/>
      <c r="C115" s="263"/>
      <c r="D115" s="263"/>
      <c r="E115" s="263"/>
      <c r="F115" s="264"/>
      <c r="G115" s="264"/>
      <c r="H115" s="264"/>
      <c r="I115" s="314"/>
      <c r="J115" s="312"/>
      <c r="K115" s="265"/>
      <c r="L115" s="260"/>
      <c r="M115" s="234"/>
      <c r="O115" s="232"/>
      <c r="P115" s="232"/>
      <c r="Q115" s="232"/>
    </row>
    <row r="116" spans="1:24" x14ac:dyDescent="0.2">
      <c r="A116" s="275" t="s">
        <v>610</v>
      </c>
      <c r="B116" s="92">
        <v>0</v>
      </c>
      <c r="C116" s="92">
        <v>0.5</v>
      </c>
      <c r="D116" s="92">
        <v>1</v>
      </c>
      <c r="E116" s="92">
        <v>0</v>
      </c>
      <c r="F116" s="32">
        <f>ROUND(Costs!$B$3*B116+Costs!$B$4*C116+Costs!$B$5*D116+Costs!$B$6*E116,2)</f>
        <v>121.34</v>
      </c>
      <c r="G116" s="32" t="str">
        <f>Costs!$B$62</f>
        <v xml:space="preserve"> </v>
      </c>
      <c r="H116" s="93">
        <f>Costs!$B$16</f>
        <v>0</v>
      </c>
      <c r="I116" s="113" t="s">
        <v>677</v>
      </c>
      <c r="J116" s="387">
        <f>ROUND((Universe!C40*0.3)/3,0)</f>
        <v>0</v>
      </c>
      <c r="K116" s="94">
        <f>ROUND((I116+J116)*(B116+C116+D116+E116),2)</f>
        <v>0</v>
      </c>
      <c r="L116" s="93">
        <f>(I116+J116)*(F116+G116+H116)</f>
        <v>0</v>
      </c>
      <c r="M116" s="233">
        <f>(B116*Costs!$B$3)+(C116*Costs!$B$4)+(D116*Costs!$B$5)+(E116*Costs!$B$6)+(G116+H116)</f>
        <v>121.33500000000001</v>
      </c>
      <c r="N116" s="235">
        <v>0.3</v>
      </c>
      <c r="O116" s="130">
        <f>F116*(I116+J116)</f>
        <v>0</v>
      </c>
      <c r="P116" s="130">
        <f>G116*(I116+J116)</f>
        <v>0</v>
      </c>
      <c r="Q116" s="130">
        <f>H116*(I116+J116)</f>
        <v>0</v>
      </c>
      <c r="R116" s="500" t="str">
        <f>I116</f>
        <v>N/A</v>
      </c>
      <c r="S116" s="500" t="e">
        <f>ROUND(((B116+C116+D116+E116)*J116)/Universe!$C$2,2)</f>
        <v>#DIV/0!</v>
      </c>
      <c r="T116" s="235">
        <v>2</v>
      </c>
      <c r="U116" s="162">
        <f>IF(T116=1,R116,0)</f>
        <v>0</v>
      </c>
      <c r="V116" s="162" t="str">
        <f>IF(T116=2,R116,0)</f>
        <v>N/A</v>
      </c>
      <c r="W116" s="162">
        <f>IF(T116=1,S116,0)</f>
        <v>0</v>
      </c>
      <c r="X116" s="162" t="e">
        <f>IF(T116=2,S116,0)</f>
        <v>#DIV/0!</v>
      </c>
    </row>
    <row r="117" spans="1:24" ht="30.6" x14ac:dyDescent="0.2">
      <c r="A117" s="275" t="s">
        <v>154</v>
      </c>
      <c r="B117" s="92">
        <v>0</v>
      </c>
      <c r="C117" s="92">
        <v>2</v>
      </c>
      <c r="D117" s="92">
        <v>20</v>
      </c>
      <c r="E117" s="92">
        <v>1</v>
      </c>
      <c r="F117" s="32">
        <f>ROUND(Costs!$B$3*B117+Costs!$B$4*C117+Costs!$B$5*D117+Costs!$B$6*E117,2)</f>
        <v>1690.77</v>
      </c>
      <c r="G117" s="32" t="str">
        <f>Costs!$B$62</f>
        <v xml:space="preserve"> </v>
      </c>
      <c r="H117" s="32">
        <f>Costs!$B$19</f>
        <v>4.4000000000000004</v>
      </c>
      <c r="I117" s="113" t="s">
        <v>677</v>
      </c>
      <c r="J117" s="387">
        <f>J116</f>
        <v>0</v>
      </c>
      <c r="K117" s="94">
        <f>ROUND((I117+J117)*(B117+C117+D117+E117),2)</f>
        <v>0</v>
      </c>
      <c r="L117" s="93">
        <f>(I117+J117)*(F117+G117+H117)</f>
        <v>0</v>
      </c>
      <c r="M117" s="233">
        <f>(B117*Costs!$B$3)+(C117*Costs!$B$4)+(D117*Costs!$B$5)+(E117*Costs!$B$6)+(G117+H117)</f>
        <v>1695.1700000000003</v>
      </c>
      <c r="N117" s="235">
        <v>0.3</v>
      </c>
      <c r="O117" s="130">
        <f>F117*(I117+J117)</f>
        <v>0</v>
      </c>
      <c r="P117" s="130">
        <f>G117*(I117+J117)</f>
        <v>0</v>
      </c>
      <c r="Q117" s="130">
        <f>H117*(I117+J117)</f>
        <v>0</v>
      </c>
      <c r="R117" s="500" t="str">
        <f>I117</f>
        <v>N/A</v>
      </c>
      <c r="S117" s="500" t="e">
        <f>ROUND(((B117+C117+D117+E117)*J117)/Universe!$C$2,2)</f>
        <v>#DIV/0!</v>
      </c>
      <c r="T117" s="235">
        <v>1</v>
      </c>
      <c r="U117" s="162" t="str">
        <f>IF(T117=1,R117,0)</f>
        <v>N/A</v>
      </c>
      <c r="V117" s="162">
        <f>IF(T117=2,R117,0)</f>
        <v>0</v>
      </c>
      <c r="W117" s="162" t="e">
        <f>IF(T117=1,S117,0)</f>
        <v>#DIV/0!</v>
      </c>
      <c r="X117" s="162">
        <f>IF(T117=2,S117,0)</f>
        <v>0</v>
      </c>
    </row>
    <row r="118" spans="1:24" x14ac:dyDescent="0.2">
      <c r="A118" s="255" t="s">
        <v>402</v>
      </c>
      <c r="B118" s="263"/>
      <c r="C118" s="263"/>
      <c r="D118" s="263"/>
      <c r="E118" s="263"/>
      <c r="F118" s="264"/>
      <c r="G118" s="264"/>
      <c r="H118" s="264"/>
      <c r="I118" s="314"/>
      <c r="J118" s="312"/>
      <c r="K118" s="259"/>
      <c r="L118" s="318" t="s">
        <v>240</v>
      </c>
      <c r="M118" s="234"/>
      <c r="O118" s="130"/>
      <c r="P118" s="232"/>
      <c r="Q118" s="232"/>
      <c r="S118" s="500" t="e">
        <f>ROUND(((B118+C118+D118+E118)*J118)/Universe!$C$2,2)</f>
        <v>#DIV/0!</v>
      </c>
    </row>
    <row r="119" spans="1:24" x14ac:dyDescent="0.2">
      <c r="A119" s="275" t="s">
        <v>610</v>
      </c>
      <c r="B119" s="92">
        <v>0</v>
      </c>
      <c r="C119" s="92">
        <v>0.5</v>
      </c>
      <c r="D119" s="92">
        <v>1</v>
      </c>
      <c r="E119" s="92">
        <v>0</v>
      </c>
      <c r="F119" s="32">
        <f>ROUND(Costs!$B$3*B119+Costs!$B$4*C119+Costs!$B$5*D119+Costs!$B$6*E119,2)</f>
        <v>121.34</v>
      </c>
      <c r="G119" s="32" t="str">
        <f>Costs!$B$62</f>
        <v xml:space="preserve"> </v>
      </c>
      <c r="H119" s="93">
        <f>Costs!$B$16</f>
        <v>0</v>
      </c>
      <c r="I119" s="113" t="s">
        <v>677</v>
      </c>
      <c r="J119" s="106">
        <f>ROUND((N119*Universe!$C$9),0)</f>
        <v>0</v>
      </c>
      <c r="K119" s="94">
        <f>ROUND((I119+J119)*(B119+C119+D119+E119),2)</f>
        <v>0</v>
      </c>
      <c r="L119" s="93">
        <f>(I119+J119)*(F119+G119+H119)</f>
        <v>0</v>
      </c>
      <c r="M119" s="233">
        <f>(B119*Costs!$B$3)+(C119*Costs!$B$4)+(D119*Costs!$B$5)+(E119*Costs!$B$6)+(G119+H119)</f>
        <v>121.33500000000001</v>
      </c>
      <c r="N119" s="235">
        <v>0.2</v>
      </c>
      <c r="O119" s="130">
        <f>F119*(I119+J119)</f>
        <v>0</v>
      </c>
      <c r="P119" s="130">
        <f>G119*(I119+J119)</f>
        <v>0</v>
      </c>
      <c r="Q119" s="130">
        <f>H119*(I119+J119)</f>
        <v>0</v>
      </c>
      <c r="R119" s="500" t="str">
        <f>I119</f>
        <v>N/A</v>
      </c>
      <c r="S119" s="500" t="e">
        <f>ROUND(((B119+C119+D119+E119)*J119)/Universe!$C$2,2)</f>
        <v>#DIV/0!</v>
      </c>
      <c r="T119" s="235">
        <v>2</v>
      </c>
      <c r="U119" s="162">
        <f>IF(T119=1,R119,0)</f>
        <v>0</v>
      </c>
      <c r="V119" s="162" t="str">
        <f>IF(T119=2,R119,0)</f>
        <v>N/A</v>
      </c>
      <c r="W119" s="162">
        <f>IF(T119=1,S119,0)</f>
        <v>0</v>
      </c>
      <c r="X119" s="162" t="e">
        <f>IF(T119=2,S119,0)</f>
        <v>#DIV/0!</v>
      </c>
    </row>
    <row r="120" spans="1:24" ht="20.399999999999999" x14ac:dyDescent="0.2">
      <c r="A120" s="275" t="s">
        <v>155</v>
      </c>
      <c r="B120" s="92">
        <v>0</v>
      </c>
      <c r="C120" s="92">
        <v>2</v>
      </c>
      <c r="D120" s="92">
        <v>40</v>
      </c>
      <c r="E120" s="92">
        <v>5</v>
      </c>
      <c r="F120" s="32">
        <f>ROUND(Costs!$B$3*B120+Costs!$B$4*C120+Costs!$B$5*D120+Costs!$B$6*E120,2)</f>
        <v>3317.65</v>
      </c>
      <c r="G120" s="32" t="str">
        <f>Costs!$B$62</f>
        <v xml:space="preserve"> </v>
      </c>
      <c r="H120" s="32">
        <f>Costs!$B$19</f>
        <v>4.4000000000000004</v>
      </c>
      <c r="I120" s="113" t="s">
        <v>677</v>
      </c>
      <c r="J120" s="106">
        <f>ROUND((N120*Universe!$C$9),0)</f>
        <v>0</v>
      </c>
      <c r="K120" s="94">
        <f>ROUND((I120+J120)*(B120+C120+D120+E120),2)</f>
        <v>0</v>
      </c>
      <c r="L120" s="93">
        <f>(I120+J120)*(F120+G120+H120)</f>
        <v>0</v>
      </c>
      <c r="M120" s="233">
        <f>(B120*Costs!$B$3)+(C120*Costs!$B$4)+(D120*Costs!$B$5)+(E120*Costs!$B$6)+(G120+H120)</f>
        <v>3322.05</v>
      </c>
      <c r="N120" s="235">
        <v>0.2</v>
      </c>
      <c r="O120" s="130">
        <f>F120*(I120+J120)</f>
        <v>0</v>
      </c>
      <c r="P120" s="130">
        <f>G120*(I120+J120)</f>
        <v>0</v>
      </c>
      <c r="Q120" s="130">
        <f>H120*(I120+J120)</f>
        <v>0</v>
      </c>
      <c r="R120" s="500" t="str">
        <f>I120</f>
        <v>N/A</v>
      </c>
      <c r="S120" s="500" t="e">
        <f>ROUND(((B120+C120+D120+E120)*J120)/Universe!$C$2,2)</f>
        <v>#DIV/0!</v>
      </c>
      <c r="T120" s="235">
        <v>1</v>
      </c>
      <c r="U120" s="162" t="str">
        <f>IF(T120=1,R120,0)</f>
        <v>N/A</v>
      </c>
      <c r="V120" s="162">
        <f>IF(T120=2,R120,0)</f>
        <v>0</v>
      </c>
      <c r="W120" s="162" t="e">
        <f>IF(T120=1,S120,0)</f>
        <v>#DIV/0!</v>
      </c>
      <c r="X120" s="162">
        <f>IF(T120=2,S120,0)</f>
        <v>0</v>
      </c>
    </row>
    <row r="121" spans="1:24" x14ac:dyDescent="0.2">
      <c r="A121" s="255" t="s">
        <v>403</v>
      </c>
      <c r="B121" s="263"/>
      <c r="C121" s="263"/>
      <c r="D121" s="263"/>
      <c r="E121" s="263"/>
      <c r="F121" s="264"/>
      <c r="G121" s="264"/>
      <c r="H121" s="264"/>
      <c r="I121" s="314"/>
      <c r="J121" s="312"/>
      <c r="K121" s="259"/>
      <c r="L121" s="260"/>
      <c r="M121" s="234"/>
      <c r="O121" s="130"/>
      <c r="P121" s="232"/>
      <c r="Q121" s="232"/>
      <c r="S121" s="500" t="e">
        <f>ROUND(((B121+C121+D121+E121)*J121)/Universe!$C$2,2)</f>
        <v>#DIV/0!</v>
      </c>
    </row>
    <row r="122" spans="1:24" x14ac:dyDescent="0.2">
      <c r="A122" s="275" t="s">
        <v>610</v>
      </c>
      <c r="B122" s="92">
        <v>0</v>
      </c>
      <c r="C122" s="92">
        <v>0.5</v>
      </c>
      <c r="D122" s="92">
        <v>1</v>
      </c>
      <c r="E122" s="92">
        <v>0</v>
      </c>
      <c r="F122" s="32">
        <f>ROUND(Costs!$B$3*B122+Costs!$B$4*C122+Costs!$B$5*D122+Costs!$B$6*E122,2)</f>
        <v>121.34</v>
      </c>
      <c r="G122" s="32" t="str">
        <f>Costs!$B$62</f>
        <v xml:space="preserve"> </v>
      </c>
      <c r="H122" s="93">
        <f>Costs!$B$16</f>
        <v>0</v>
      </c>
      <c r="I122" s="113" t="s">
        <v>677</v>
      </c>
      <c r="J122" s="106">
        <f>ROUND((N122*Universe!$C$9),0)</f>
        <v>0</v>
      </c>
      <c r="K122" s="94">
        <f>ROUND((I122+J122)*(B122+C122+D122+E122),2)</f>
        <v>0</v>
      </c>
      <c r="L122" s="93">
        <f>(I122+J122)*(F122+G122+H122)</f>
        <v>0</v>
      </c>
      <c r="M122" s="233">
        <f>(B122*Costs!$B$3)+(C122*Costs!$B$4)+(D122*Costs!$B$5)+(E122*Costs!$B$6)+(G122+H122)</f>
        <v>121.33500000000001</v>
      </c>
      <c r="N122" s="235">
        <v>0.2</v>
      </c>
      <c r="O122" s="130">
        <f>F122*(I122+J122)</f>
        <v>0</v>
      </c>
      <c r="P122" s="130">
        <f>G122*(I122+J122)</f>
        <v>0</v>
      </c>
      <c r="Q122" s="130">
        <f>H122*(I122+J122)</f>
        <v>0</v>
      </c>
      <c r="R122" s="500" t="str">
        <f>I122</f>
        <v>N/A</v>
      </c>
      <c r="S122" s="500" t="e">
        <f>ROUND(((B122+C122+D122+E122)*J122)/Universe!$C$2,2)</f>
        <v>#DIV/0!</v>
      </c>
      <c r="T122" s="235">
        <v>2</v>
      </c>
      <c r="U122" s="162">
        <f>IF(T122=1,R122,0)</f>
        <v>0</v>
      </c>
      <c r="V122" s="162" t="str">
        <f>IF(T122=2,R122,0)</f>
        <v>N/A</v>
      </c>
      <c r="W122" s="162">
        <f>IF(T122=1,S122,0)</f>
        <v>0</v>
      </c>
      <c r="X122" s="162" t="e">
        <f>IF(T122=2,S122,0)</f>
        <v>#DIV/0!</v>
      </c>
    </row>
    <row r="123" spans="1:24" ht="20.399999999999999" x14ac:dyDescent="0.2">
      <c r="A123" s="275" t="s">
        <v>231</v>
      </c>
      <c r="B123" s="92">
        <v>0</v>
      </c>
      <c r="C123" s="92">
        <v>7</v>
      </c>
      <c r="D123" s="92">
        <v>55</v>
      </c>
      <c r="E123" s="92">
        <v>3</v>
      </c>
      <c r="F123" s="32">
        <f>ROUND(Costs!$B$3*B123+Costs!$B$4*C123+Costs!$B$5*D123+Costs!$B$6*E123,2)</f>
        <v>4806.71</v>
      </c>
      <c r="G123" s="32" t="str">
        <f>Costs!$B$62</f>
        <v xml:space="preserve"> </v>
      </c>
      <c r="H123" s="32">
        <f>Costs!$B$19</f>
        <v>4.4000000000000004</v>
      </c>
      <c r="I123" s="113" t="s">
        <v>677</v>
      </c>
      <c r="J123" s="106">
        <f>ROUND((N123*Universe!$C$9),0)</f>
        <v>0</v>
      </c>
      <c r="K123" s="94">
        <f>ROUND((I123+J123)*(B123+C123+D123+E123),2)</f>
        <v>0</v>
      </c>
      <c r="L123" s="93">
        <f>(I123+J123)*(F123+G123+H123)</f>
        <v>0</v>
      </c>
      <c r="M123" s="233">
        <f>(B123*Costs!$B$3)+(C123*Costs!$B$4)+(D123*Costs!$B$5)+(E123*Costs!$B$6)+(G123+H123)</f>
        <v>4811.1099999999997</v>
      </c>
      <c r="N123" s="235">
        <v>0.2</v>
      </c>
      <c r="O123" s="130">
        <f>F123*(I123+J123)</f>
        <v>0</v>
      </c>
      <c r="P123" s="130">
        <f>G123*(I123+J123)</f>
        <v>0</v>
      </c>
      <c r="Q123" s="130">
        <f>H123*(I123+J123)</f>
        <v>0</v>
      </c>
      <c r="R123" s="500" t="str">
        <f>I123</f>
        <v>N/A</v>
      </c>
      <c r="S123" s="500" t="e">
        <f>ROUND(((B123+C123+D123+E123)*J123)/Universe!$C$2,2)</f>
        <v>#DIV/0!</v>
      </c>
      <c r="T123" s="235">
        <v>1</v>
      </c>
      <c r="U123" s="162" t="str">
        <f>IF(T123=1,R123,0)</f>
        <v>N/A</v>
      </c>
      <c r="V123" s="162">
        <f>IF(T123=2,R123,0)</f>
        <v>0</v>
      </c>
      <c r="W123" s="162" t="e">
        <f>IF(T123=1,S123,0)</f>
        <v>#DIV/0!</v>
      </c>
      <c r="X123" s="162">
        <f>IF(T123=2,S123,0)</f>
        <v>0</v>
      </c>
    </row>
    <row r="124" spans="1:24" x14ac:dyDescent="0.2">
      <c r="A124" s="255" t="s">
        <v>404</v>
      </c>
      <c r="B124" s="263"/>
      <c r="C124" s="263"/>
      <c r="D124" s="263"/>
      <c r="E124" s="263"/>
      <c r="F124" s="264"/>
      <c r="G124" s="264"/>
      <c r="H124" s="264"/>
      <c r="I124" s="314"/>
      <c r="J124" s="312"/>
      <c r="K124" s="259"/>
      <c r="L124" s="260"/>
      <c r="M124" s="234"/>
      <c r="O124" s="130"/>
      <c r="P124" s="232"/>
      <c r="Q124" s="232"/>
      <c r="R124" s="500"/>
      <c r="S124" s="500" t="e">
        <f>ROUND(((B124+C124+D124+E124)*J124)/Universe!$C$2,2)</f>
        <v>#DIV/0!</v>
      </c>
    </row>
    <row r="125" spans="1:24" x14ac:dyDescent="0.2">
      <c r="A125" s="275" t="s">
        <v>610</v>
      </c>
      <c r="B125" s="92">
        <v>0</v>
      </c>
      <c r="C125" s="92">
        <v>0.5</v>
      </c>
      <c r="D125" s="92">
        <v>1</v>
      </c>
      <c r="E125" s="92">
        <v>0</v>
      </c>
      <c r="F125" s="32">
        <f>ROUND(Costs!$B$3*B125+Costs!$B$4*C125+Costs!$B$5*D125+Costs!$B$6*E125,2)</f>
        <v>121.34</v>
      </c>
      <c r="G125" s="32" t="str">
        <f>Costs!$B$62</f>
        <v xml:space="preserve"> </v>
      </c>
      <c r="H125" s="93">
        <f>Costs!$B$16</f>
        <v>0</v>
      </c>
      <c r="I125" s="113" t="s">
        <v>677</v>
      </c>
      <c r="J125" s="106">
        <f>ROUND((N125*Universe!$C$9),0)</f>
        <v>0</v>
      </c>
      <c r="K125" s="94">
        <f>ROUND((I125+J125)*(B125+C125+D125+E125),2)</f>
        <v>0</v>
      </c>
      <c r="L125" s="93">
        <f>(I125+J125)*(F125+G125+H125)</f>
        <v>0</v>
      </c>
      <c r="M125" s="233">
        <f>(B125*Costs!$B$3)+(C125*Costs!$B$4)+(D125*Costs!$B$5)+(E125*Costs!$B$6)+(G125+H125)</f>
        <v>121.33500000000001</v>
      </c>
      <c r="N125" s="235">
        <v>0.2</v>
      </c>
      <c r="O125" s="130">
        <f>F125*(I125+J125)</f>
        <v>0</v>
      </c>
      <c r="P125" s="130">
        <f>G125*(I125+J125)</f>
        <v>0</v>
      </c>
      <c r="Q125" s="130">
        <f>H125*(I125+J125)</f>
        <v>0</v>
      </c>
      <c r="R125" s="500" t="str">
        <f>I125</f>
        <v>N/A</v>
      </c>
      <c r="S125" s="500" t="e">
        <f>ROUND(((B125+C125+D125+E125)*J125)/Universe!$C$2,2)</f>
        <v>#DIV/0!</v>
      </c>
      <c r="T125" s="235">
        <v>2</v>
      </c>
      <c r="U125" s="162">
        <f>IF(T125=1,R125,0)</f>
        <v>0</v>
      </c>
      <c r="V125" s="162" t="str">
        <f>IF(T125=2,R125,0)</f>
        <v>N/A</v>
      </c>
      <c r="W125" s="162">
        <f>IF(T125=1,S125,0)</f>
        <v>0</v>
      </c>
      <c r="X125" s="162" t="e">
        <f>IF(T125=2,S125,0)</f>
        <v>#DIV/0!</v>
      </c>
    </row>
    <row r="126" spans="1:24" ht="30.6" x14ac:dyDescent="0.2">
      <c r="A126" s="275" t="s">
        <v>156</v>
      </c>
      <c r="B126" s="92">
        <v>0</v>
      </c>
      <c r="C126" s="92">
        <v>7</v>
      </c>
      <c r="D126" s="92">
        <v>55</v>
      </c>
      <c r="E126" s="92">
        <v>3</v>
      </c>
      <c r="F126" s="32">
        <f>ROUND(Costs!$B$3*B126+Costs!$B$4*C126+Costs!$B$5*D126+Costs!$B$6*E126,2)</f>
        <v>4806.71</v>
      </c>
      <c r="G126" s="32" t="str">
        <f>Costs!$B$62</f>
        <v xml:space="preserve"> </v>
      </c>
      <c r="H126" s="32">
        <f>Costs!$B$19</f>
        <v>4.4000000000000004</v>
      </c>
      <c r="I126" s="113" t="s">
        <v>677</v>
      </c>
      <c r="J126" s="106">
        <f>ROUND((N126*Universe!$C$9),0)</f>
        <v>0</v>
      </c>
      <c r="K126" s="94">
        <f>ROUND((I126+J126)*(B126+C126+D126+E126),2)</f>
        <v>0</v>
      </c>
      <c r="L126" s="93">
        <f>(I126+J126)*(F126+G126+H126)</f>
        <v>0</v>
      </c>
      <c r="M126" s="233">
        <f>(B126*Costs!$B$3)+(C126*Costs!$B$4)+(D126*Costs!$B$5)+(E126*Costs!$B$6)+(G126+H126)</f>
        <v>4811.1099999999997</v>
      </c>
      <c r="N126" s="235">
        <v>0.2</v>
      </c>
      <c r="O126" s="130">
        <f>F126*(I126+J126)</f>
        <v>0</v>
      </c>
      <c r="P126" s="130">
        <f>G126*(I126+J126)</f>
        <v>0</v>
      </c>
      <c r="Q126" s="130">
        <f>H126*(I126+J126)</f>
        <v>0</v>
      </c>
      <c r="R126" s="500" t="str">
        <f>I126</f>
        <v>N/A</v>
      </c>
      <c r="S126" s="500" t="e">
        <f>ROUND(((B126+C126+D126+E126)*J126)/Universe!$C$2,2)</f>
        <v>#DIV/0!</v>
      </c>
      <c r="T126" s="235">
        <v>1</v>
      </c>
      <c r="U126" s="162" t="str">
        <f>IF(T126=1,R126,0)</f>
        <v>N/A</v>
      </c>
      <c r="V126" s="162">
        <f>IF(T126=2,R126,0)</f>
        <v>0</v>
      </c>
      <c r="W126" s="162" t="e">
        <f>IF(T126=1,S126,0)</f>
        <v>#DIV/0!</v>
      </c>
      <c r="X126" s="162">
        <f>IF(T126=2,S126,0)</f>
        <v>0</v>
      </c>
    </row>
    <row r="127" spans="1:24" x14ac:dyDescent="0.2">
      <c r="A127" s="255" t="s">
        <v>405</v>
      </c>
      <c r="B127" s="263"/>
      <c r="C127" s="263"/>
      <c r="D127" s="263"/>
      <c r="E127" s="263"/>
      <c r="F127" s="264"/>
      <c r="G127" s="264"/>
      <c r="H127" s="264"/>
      <c r="I127" s="314"/>
      <c r="J127" s="312"/>
      <c r="K127" s="259"/>
      <c r="L127" s="318" t="s">
        <v>240</v>
      </c>
      <c r="M127" s="234"/>
      <c r="O127" s="130"/>
      <c r="P127" s="232"/>
      <c r="Q127" s="232"/>
      <c r="S127" s="500" t="e">
        <f>ROUND(((B127+C127+D127+E127)*J127)/Universe!$C$2,2)</f>
        <v>#DIV/0!</v>
      </c>
    </row>
    <row r="128" spans="1:24" x14ac:dyDescent="0.2">
      <c r="A128" s="275" t="s">
        <v>610</v>
      </c>
      <c r="B128" s="92">
        <v>0</v>
      </c>
      <c r="C128" s="92">
        <v>0.5</v>
      </c>
      <c r="D128" s="92">
        <v>1</v>
      </c>
      <c r="E128" s="92">
        <v>0</v>
      </c>
      <c r="F128" s="32">
        <f>ROUND(Costs!$B$3*B128+Costs!$B$4*C128+Costs!$B$5*D128+Costs!$B$6*E128,2)</f>
        <v>121.34</v>
      </c>
      <c r="G128" s="32" t="str">
        <f>Costs!$B$62</f>
        <v xml:space="preserve"> </v>
      </c>
      <c r="H128" s="93">
        <f>Costs!$B$16</f>
        <v>0</v>
      </c>
      <c r="I128" s="113" t="s">
        <v>677</v>
      </c>
      <c r="J128" s="106">
        <f>ROUND((N128*Universe!$C$9),0)</f>
        <v>0</v>
      </c>
      <c r="K128" s="94">
        <f>ROUND((I128+J128)*(B128+C128+D128+E128),2)</f>
        <v>0</v>
      </c>
      <c r="L128" s="93">
        <f>(I128+J128)*(F128+G128+H128)</f>
        <v>0</v>
      </c>
      <c r="M128" s="233">
        <f>(B128*Costs!$B$3)+(C128*Costs!$B$4)+(D128*Costs!$B$5)+(E128*Costs!$B$6)+(G128+H128)</f>
        <v>121.33500000000001</v>
      </c>
      <c r="N128" s="235">
        <v>0.3</v>
      </c>
      <c r="O128" s="130">
        <f>F128*(I128+J128)</f>
        <v>0</v>
      </c>
      <c r="P128" s="130">
        <f>G128*(I128+J128)</f>
        <v>0</v>
      </c>
      <c r="Q128" s="130">
        <f>H128*(I128+J128)</f>
        <v>0</v>
      </c>
      <c r="R128" s="500" t="str">
        <f>I128</f>
        <v>N/A</v>
      </c>
      <c r="S128" s="500" t="e">
        <f>ROUND(((B128+C128+D128+E128)*J128)/Universe!$C$2,2)</f>
        <v>#DIV/0!</v>
      </c>
      <c r="T128" s="235">
        <v>2</v>
      </c>
      <c r="U128" s="162">
        <f>IF(T128=1,R128,0)</f>
        <v>0</v>
      </c>
      <c r="V128" s="162" t="str">
        <f>IF(T128=2,R128,0)</f>
        <v>N/A</v>
      </c>
      <c r="W128" s="162">
        <f>IF(T128=1,S128,0)</f>
        <v>0</v>
      </c>
      <c r="X128" s="162" t="e">
        <f>IF(T128=2,S128,0)</f>
        <v>#DIV/0!</v>
      </c>
    </row>
    <row r="129" spans="1:28" ht="20.399999999999999" x14ac:dyDescent="0.2">
      <c r="A129" s="275" t="s">
        <v>157</v>
      </c>
      <c r="B129" s="92">
        <v>0</v>
      </c>
      <c r="C129" s="92">
        <v>7</v>
      </c>
      <c r="D129" s="92">
        <v>55</v>
      </c>
      <c r="E129" s="92">
        <v>3</v>
      </c>
      <c r="F129" s="32">
        <f>ROUND(Costs!$B$3*B129+Costs!$B$4*C129+Costs!$B$5*D129+Costs!$B$6*E129,2)</f>
        <v>4806.71</v>
      </c>
      <c r="G129" s="32" t="str">
        <f>Costs!$B$62</f>
        <v xml:space="preserve"> </v>
      </c>
      <c r="H129" s="32">
        <f>Costs!$B$19</f>
        <v>4.4000000000000004</v>
      </c>
      <c r="I129" s="113" t="s">
        <v>677</v>
      </c>
      <c r="J129" s="106">
        <f>ROUND((N129*Universe!$C$9),0)</f>
        <v>0</v>
      </c>
      <c r="K129" s="94">
        <f>ROUND((I129+J129)*(B129+C129+D129+E129),2)</f>
        <v>0</v>
      </c>
      <c r="L129" s="93">
        <f>(I129+J129)*(F129+G129+H129)</f>
        <v>0</v>
      </c>
      <c r="M129" s="233">
        <f>(B129*Costs!$B$3)+(C129*Costs!$B$4)+(D129*Costs!$B$5)+(E129*Costs!$B$6)+(G129+H129)</f>
        <v>4811.1099999999997</v>
      </c>
      <c r="N129" s="235">
        <v>0.3</v>
      </c>
      <c r="O129" s="130">
        <f>F129*(I129+J129)</f>
        <v>0</v>
      </c>
      <c r="P129" s="130">
        <f>G129*(I129+J129)</f>
        <v>0</v>
      </c>
      <c r="Q129" s="130">
        <f>H129*(I129+J129)</f>
        <v>0</v>
      </c>
      <c r="R129" s="500" t="str">
        <f>I129</f>
        <v>N/A</v>
      </c>
      <c r="S129" s="500" t="e">
        <f>ROUND(((B129+C129+D129+E129)*J129)/Universe!$C$2,2)</f>
        <v>#DIV/0!</v>
      </c>
      <c r="T129" s="235">
        <v>1</v>
      </c>
      <c r="U129" s="162" t="str">
        <f>IF(T129=1,R129,0)</f>
        <v>N/A</v>
      </c>
      <c r="V129" s="162">
        <f>IF(T129=2,R129,0)</f>
        <v>0</v>
      </c>
      <c r="W129" s="162" t="e">
        <f>IF(T129=1,S129,0)</f>
        <v>#DIV/0!</v>
      </c>
      <c r="X129" s="162">
        <f>IF(T129=2,S129,0)</f>
        <v>0</v>
      </c>
    </row>
    <row r="130" spans="1:28" x14ac:dyDescent="0.2">
      <c r="A130" s="255" t="s">
        <v>406</v>
      </c>
      <c r="B130" s="263"/>
      <c r="C130" s="263"/>
      <c r="D130" s="263"/>
      <c r="E130" s="263"/>
      <c r="F130" s="264"/>
      <c r="G130" s="264"/>
      <c r="H130" s="264"/>
      <c r="I130" s="314"/>
      <c r="J130" s="312"/>
      <c r="K130" s="259"/>
      <c r="L130" s="318" t="s">
        <v>240</v>
      </c>
      <c r="M130" s="234"/>
      <c r="O130" s="130"/>
      <c r="P130" s="232"/>
      <c r="Q130" s="232"/>
      <c r="S130" s="500" t="e">
        <f>ROUND(((B130+C130+D130+E130)*J130)/Universe!$C$2,2)</f>
        <v>#DIV/0!</v>
      </c>
    </row>
    <row r="131" spans="1:28" x14ac:dyDescent="0.2">
      <c r="A131" s="275" t="s">
        <v>610</v>
      </c>
      <c r="B131" s="92">
        <v>0</v>
      </c>
      <c r="C131" s="92">
        <v>0.5</v>
      </c>
      <c r="D131" s="92">
        <v>1</v>
      </c>
      <c r="E131" s="92">
        <v>0</v>
      </c>
      <c r="F131" s="32">
        <f>ROUND(Costs!$B$3*B131+Costs!$B$4*C131+Costs!$B$5*D131+Costs!$B$6*E131,2)</f>
        <v>121.34</v>
      </c>
      <c r="G131" s="32" t="str">
        <f>Costs!$B$62</f>
        <v xml:space="preserve"> </v>
      </c>
      <c r="H131" s="93">
        <f>Costs!$B$16</f>
        <v>0</v>
      </c>
      <c r="I131" s="113" t="s">
        <v>677</v>
      </c>
      <c r="J131" s="106">
        <f>ROUND((N131*Universe!$C$9),0)</f>
        <v>0</v>
      </c>
      <c r="K131" s="94">
        <f>ROUND((I131+J131)*(B131+C131+D131+E131),2)</f>
        <v>0</v>
      </c>
      <c r="L131" s="93">
        <f>(I131+J131)*(F131+G131+H131)</f>
        <v>0</v>
      </c>
      <c r="M131" s="233">
        <f>(B131*Costs!$B$3)+(C131*Costs!$B$4)+(D131*Costs!$B$5)+(E131*Costs!$B$6)+(G131+H131)</f>
        <v>121.33500000000001</v>
      </c>
      <c r="N131" s="235">
        <v>0.1</v>
      </c>
      <c r="O131" s="130">
        <f>F131*(I131+J131)</f>
        <v>0</v>
      </c>
      <c r="P131" s="130">
        <f>G131*(I131+J131)</f>
        <v>0</v>
      </c>
      <c r="Q131" s="130">
        <f>H131*(I131+J131)</f>
        <v>0</v>
      </c>
      <c r="R131" s="500" t="str">
        <f>I131</f>
        <v>N/A</v>
      </c>
      <c r="S131" s="500" t="e">
        <f>ROUND(((B131+C131+D131+E131)*J131)/Universe!$C$2,2)</f>
        <v>#DIV/0!</v>
      </c>
      <c r="T131" s="235">
        <v>2</v>
      </c>
      <c r="U131" s="162">
        <f>IF(T131=1,R131,0)</f>
        <v>0</v>
      </c>
      <c r="V131" s="162" t="str">
        <f>IF(T131=2,R131,0)</f>
        <v>N/A</v>
      </c>
      <c r="W131" s="162">
        <f>IF(T131=1,S131,0)</f>
        <v>0</v>
      </c>
      <c r="X131" s="162" t="e">
        <f>IF(T131=2,S131,0)</f>
        <v>#DIV/0!</v>
      </c>
    </row>
    <row r="132" spans="1:28" ht="30.6" x14ac:dyDescent="0.2">
      <c r="A132" s="275" t="s">
        <v>158</v>
      </c>
      <c r="B132" s="92">
        <v>0</v>
      </c>
      <c r="C132" s="92">
        <v>2</v>
      </c>
      <c r="D132" s="92">
        <v>40</v>
      </c>
      <c r="E132" s="92">
        <v>5</v>
      </c>
      <c r="F132" s="32">
        <f>ROUND(Costs!$B$3*B132+Costs!$B$4*C132+Costs!$B$5*D132+Costs!$B$6*E132,2)</f>
        <v>3317.65</v>
      </c>
      <c r="G132" s="32" t="str">
        <f>Costs!$B$62</f>
        <v xml:space="preserve"> </v>
      </c>
      <c r="H132" s="93">
        <f>Costs!$B$16</f>
        <v>0</v>
      </c>
      <c r="I132" s="113" t="s">
        <v>677</v>
      </c>
      <c r="J132" s="106">
        <f>ROUND((N132*Universe!$C$9),0)</f>
        <v>0</v>
      </c>
      <c r="K132" s="94">
        <f>ROUND((I132+J132)*(B132+C132+D132+E132),2)</f>
        <v>0</v>
      </c>
      <c r="L132" s="93">
        <f>(I132+J132)*(F132+G132+H132)</f>
        <v>0</v>
      </c>
      <c r="M132" s="233">
        <f>(B132*Costs!$B$3)+(C132*Costs!$B$4)+(D132*Costs!$B$5)+(E132*Costs!$B$6)+(G132+H132)</f>
        <v>3317.65</v>
      </c>
      <c r="N132" s="235">
        <v>0.1</v>
      </c>
      <c r="O132" s="130">
        <f>F132*(I132+J132)</f>
        <v>0</v>
      </c>
      <c r="P132" s="130">
        <f>G132*(I132+J132)</f>
        <v>0</v>
      </c>
      <c r="Q132" s="130">
        <f>H132*(I132+J132)</f>
        <v>0</v>
      </c>
      <c r="R132" s="500" t="str">
        <f>I132</f>
        <v>N/A</v>
      </c>
      <c r="S132" s="500" t="e">
        <f>ROUND(((B132+C132+D132+E132)*J132)/Universe!$C$2,2)</f>
        <v>#DIV/0!</v>
      </c>
      <c r="T132" s="235">
        <v>1</v>
      </c>
      <c r="U132" s="162" t="str">
        <f>IF(T132=1,R132,0)</f>
        <v>N/A</v>
      </c>
      <c r="V132" s="162">
        <f>IF(T132=2,R132,0)</f>
        <v>0</v>
      </c>
      <c r="W132" s="162" t="e">
        <f>IF(T132=1,S132,0)</f>
        <v>#DIV/0!</v>
      </c>
      <c r="X132" s="162">
        <f>IF(T132=2,S132,0)</f>
        <v>0</v>
      </c>
    </row>
    <row r="133" spans="1:28" ht="21" thickBot="1" x14ac:dyDescent="0.25">
      <c r="A133" s="281" t="s">
        <v>159</v>
      </c>
      <c r="B133" s="282">
        <v>0</v>
      </c>
      <c r="C133" s="282">
        <v>0.5</v>
      </c>
      <c r="D133" s="282">
        <v>1</v>
      </c>
      <c r="E133" s="282">
        <v>0.5</v>
      </c>
      <c r="F133" s="191">
        <f>ROUND(Costs!$B$3*B133+Costs!$B$4*C133+Costs!$B$5*D133+Costs!$B$6*E133,2)</f>
        <v>143.16999999999999</v>
      </c>
      <c r="G133" s="191" t="str">
        <f>Costs!$B$62</f>
        <v xml:space="preserve"> </v>
      </c>
      <c r="H133" s="191">
        <f>Costs!$B$19</f>
        <v>4.4000000000000004</v>
      </c>
      <c r="I133" s="320" t="s">
        <v>677</v>
      </c>
      <c r="J133" s="321">
        <f>ROUND((N133*Universe!$C$9),0)</f>
        <v>0</v>
      </c>
      <c r="K133" s="285">
        <f>ROUND((I133+J133)*(B133+C133+D133+E133),2)</f>
        <v>0</v>
      </c>
      <c r="L133" s="286">
        <f>(I133+J133)*(F133+G133+H133)</f>
        <v>0</v>
      </c>
      <c r="M133" s="233">
        <f>(B133*Costs!$B$3)+(C133*Costs!$B$4)+(D133*Costs!$B$5)+(E133*Costs!$B$6)+(G133+H133)</f>
        <v>147.57000000000002</v>
      </c>
      <c r="N133" s="235">
        <v>0.1</v>
      </c>
      <c r="O133" s="130">
        <f>F133*(I133+J133)</f>
        <v>0</v>
      </c>
      <c r="P133" s="130">
        <f>G133*(I133+J133)</f>
        <v>0</v>
      </c>
      <c r="Q133" s="130">
        <f>H133*(I133+J133)</f>
        <v>0</v>
      </c>
      <c r="R133" s="500" t="str">
        <f>I133</f>
        <v>N/A</v>
      </c>
      <c r="S133" s="500" t="e">
        <f>ROUND(((B133+C133+D133+E133)*J133)/Universe!$C$2,2)</f>
        <v>#DIV/0!</v>
      </c>
      <c r="T133" s="235">
        <v>1</v>
      </c>
      <c r="U133" s="162" t="str">
        <f>IF(T133=1,R133,0)</f>
        <v>N/A</v>
      </c>
      <c r="V133" s="162">
        <f>IF(T133=2,R133,0)</f>
        <v>0</v>
      </c>
      <c r="W133" s="162" t="e">
        <f>IF(T133=1,S133,0)</f>
        <v>#DIV/0!</v>
      </c>
      <c r="X133" s="162">
        <f>IF(T133=2,S133,0)</f>
        <v>0</v>
      </c>
      <c r="AA133" s="557" t="str">
        <f>I133</f>
        <v>N/A</v>
      </c>
      <c r="AB133" s="557">
        <f>J133</f>
        <v>0</v>
      </c>
    </row>
    <row r="134" spans="1:28" ht="10.8" thickBot="1" x14ac:dyDescent="0.25">
      <c r="A134" s="305" t="s">
        <v>596</v>
      </c>
      <c r="B134" s="324" t="s">
        <v>597</v>
      </c>
      <c r="C134" s="324" t="s">
        <v>597</v>
      </c>
      <c r="D134" s="324" t="s">
        <v>597</v>
      </c>
      <c r="E134" s="324" t="s">
        <v>597</v>
      </c>
      <c r="F134" s="324" t="s">
        <v>597</v>
      </c>
      <c r="G134" s="324" t="s">
        <v>597</v>
      </c>
      <c r="H134" s="324" t="s">
        <v>597</v>
      </c>
      <c r="I134" s="324" t="s">
        <v>597</v>
      </c>
      <c r="J134" s="324" t="s">
        <v>597</v>
      </c>
      <c r="K134" s="304">
        <f>SUM(K116:K133)</f>
        <v>0</v>
      </c>
      <c r="L134" s="294">
        <f>SUM(L116:L133)</f>
        <v>0</v>
      </c>
      <c r="M134" s="233">
        <f>SUM(M116:M133)</f>
        <v>23643.78</v>
      </c>
      <c r="N134" s="309" t="s">
        <v>597</v>
      </c>
      <c r="O134" s="304">
        <f>SUM(O116:O133)</f>
        <v>0</v>
      </c>
      <c r="P134" s="304">
        <f>SUM(P116:P133)</f>
        <v>0</v>
      </c>
      <c r="Q134" s="304">
        <f>SUM(Q116:Q133)</f>
        <v>0</v>
      </c>
      <c r="R134" s="498"/>
      <c r="U134" s="304">
        <f>SUM(U116:U133)</f>
        <v>0</v>
      </c>
      <c r="V134" s="304">
        <f>SUM(V116:V133)</f>
        <v>0</v>
      </c>
      <c r="W134" s="304" t="e">
        <f>SUM(W116:W133)</f>
        <v>#DIV/0!</v>
      </c>
      <c r="X134" s="304" t="e">
        <f>SUM(X116:X133)</f>
        <v>#DIV/0!</v>
      </c>
    </row>
    <row r="135" spans="1:28" x14ac:dyDescent="0.2">
      <c r="A135" s="297" t="s">
        <v>407</v>
      </c>
      <c r="B135" s="333"/>
      <c r="C135" s="333"/>
      <c r="D135" s="333"/>
      <c r="E135" s="333"/>
      <c r="F135" s="334"/>
      <c r="G135" s="334"/>
      <c r="H135" s="334"/>
      <c r="I135" s="335"/>
      <c r="J135" s="339"/>
      <c r="K135" s="337"/>
      <c r="L135" s="345" t="s">
        <v>240</v>
      </c>
      <c r="M135" s="234"/>
      <c r="O135" s="232"/>
      <c r="P135" s="232"/>
      <c r="Q135" s="232"/>
    </row>
    <row r="136" spans="1:28" x14ac:dyDescent="0.2">
      <c r="A136" s="275" t="s">
        <v>610</v>
      </c>
      <c r="B136" s="92">
        <v>0</v>
      </c>
      <c r="C136" s="92">
        <v>0.5</v>
      </c>
      <c r="D136" s="92">
        <v>1</v>
      </c>
      <c r="E136" s="92">
        <v>0</v>
      </c>
      <c r="F136" s="32">
        <f>ROUND(Costs!$B$3*B136+Costs!$B$4*C136+Costs!$B$5*D136+Costs!$B$6*E136,2)</f>
        <v>121.34</v>
      </c>
      <c r="G136" s="32" t="str">
        <f>Costs!$B$62</f>
        <v xml:space="preserve"> </v>
      </c>
      <c r="H136" s="93">
        <f>Costs!$B$16</f>
        <v>0</v>
      </c>
      <c r="I136" s="113">
        <f>ROUND((N136*Universe!C6),0)</f>
        <v>4</v>
      </c>
      <c r="J136" s="320" t="s">
        <v>677</v>
      </c>
      <c r="K136" s="94">
        <f>ROUND((I136+J136)*(B136+C136+D136+E136),2)</f>
        <v>6</v>
      </c>
      <c r="L136" s="93">
        <f>(I136+J136)*(F136+G136+H136)</f>
        <v>485.36</v>
      </c>
      <c r="M136" s="233">
        <f>(B136*Costs!$B$3)+(C136*Costs!$B$4)+(D136*Costs!$B$5)+(E136*Costs!$B$6)+(G136+H136)</f>
        <v>121.33500000000001</v>
      </c>
      <c r="N136" s="235">
        <v>0.1</v>
      </c>
      <c r="O136" s="130">
        <f>F136*(I136+J136)</f>
        <v>485.36</v>
      </c>
      <c r="P136" s="130">
        <f>G136*(I136+J136)</f>
        <v>0</v>
      </c>
      <c r="Q136" s="130">
        <f>H136*(I136+J136)</f>
        <v>0</v>
      </c>
      <c r="R136" s="500">
        <f>ROUND((((I136)*(B136+C136+D136+E136))/(Universe!$C$6)),2)</f>
        <v>0.17</v>
      </c>
      <c r="S136" s="500" t="str">
        <f>J136</f>
        <v>N/A</v>
      </c>
      <c r="T136" s="235">
        <v>2</v>
      </c>
      <c r="U136" s="162">
        <f>IF(T136=1,R136,0)</f>
        <v>0</v>
      </c>
      <c r="V136" s="162">
        <f>IF(T136=2,R136,0)</f>
        <v>0.17</v>
      </c>
      <c r="W136" s="162">
        <f>IF(T136=1,S136,0)</f>
        <v>0</v>
      </c>
      <c r="X136" s="162" t="str">
        <f>IF(T136=2,S136,0)</f>
        <v>N/A</v>
      </c>
    </row>
    <row r="137" spans="1:28" ht="31.2" thickBot="1" x14ac:dyDescent="0.25">
      <c r="A137" s="281" t="s">
        <v>452</v>
      </c>
      <c r="B137" s="282">
        <v>0</v>
      </c>
      <c r="C137" s="282">
        <f>0.25*10</f>
        <v>2.5</v>
      </c>
      <c r="D137" s="282">
        <f>0.25*100</f>
        <v>25</v>
      </c>
      <c r="E137" s="282">
        <f>0.25*10</f>
        <v>2.5</v>
      </c>
      <c r="F137" s="191">
        <f>ROUND(Costs!$B$3*B137+Costs!$B$4*C137+Costs!$B$5*D137+Costs!$B$6*E137,2)</f>
        <v>2168.0500000000002</v>
      </c>
      <c r="G137" s="191" t="str">
        <f>Costs!$B$62</f>
        <v xml:space="preserve"> </v>
      </c>
      <c r="H137" s="286">
        <f>Costs!B56</f>
        <v>3700</v>
      </c>
      <c r="I137" s="320">
        <f>ROUND((N137*Universe!$C$6),0)</f>
        <v>4</v>
      </c>
      <c r="J137" s="320" t="s">
        <v>677</v>
      </c>
      <c r="K137" s="285">
        <f>ROUND((I137+J137)*(B137+C137+D137+E137),2)</f>
        <v>120</v>
      </c>
      <c r="L137" s="286">
        <f>(I137+J137)*(F137+G137+H137)</f>
        <v>23472.2</v>
      </c>
      <c r="M137" s="233">
        <f>(B137*Costs!$B$3)+(C137*Costs!$B$4)+(D137*Costs!$B$5)+(E137*Costs!$B$6)+(G137+H137)</f>
        <v>5868.05</v>
      </c>
      <c r="N137" s="235">
        <v>0.1</v>
      </c>
      <c r="O137" s="130">
        <f>F137*(I137+J137)</f>
        <v>8672.2000000000007</v>
      </c>
      <c r="P137" s="130">
        <f>G137*(I137+J137)</f>
        <v>0</v>
      </c>
      <c r="Q137" s="130">
        <f>H137*(I137+J137)</f>
        <v>14800</v>
      </c>
      <c r="R137" s="500">
        <f>ROUND((((I137)*(B137+C137+D137+E137))/(Universe!$C$6)),2)</f>
        <v>3.33</v>
      </c>
      <c r="S137" s="500" t="str">
        <f>J137</f>
        <v>N/A</v>
      </c>
      <c r="T137" s="235">
        <v>1</v>
      </c>
      <c r="U137" s="162">
        <f>IF(T137=1,R137,0)</f>
        <v>3.33</v>
      </c>
      <c r="V137" s="162">
        <f>IF(T137=2,R137,0)</f>
        <v>0</v>
      </c>
      <c r="W137" s="162" t="str">
        <f>IF(T137=1,S137,0)</f>
        <v>N/A</v>
      </c>
      <c r="X137" s="162">
        <f>IF(T137=2,S137,0)</f>
        <v>0</v>
      </c>
      <c r="AA137" s="557">
        <f>I137</f>
        <v>4</v>
      </c>
      <c r="AB137" s="557" t="str">
        <f>J137</f>
        <v>N/A</v>
      </c>
    </row>
    <row r="138" spans="1:28" ht="10.8" thickBot="1" x14ac:dyDescent="0.25">
      <c r="A138" s="305" t="s">
        <v>596</v>
      </c>
      <c r="B138" s="324" t="s">
        <v>597</v>
      </c>
      <c r="C138" s="324" t="s">
        <v>597</v>
      </c>
      <c r="D138" s="324" t="s">
        <v>597</v>
      </c>
      <c r="E138" s="324" t="s">
        <v>597</v>
      </c>
      <c r="F138" s="324" t="s">
        <v>597</v>
      </c>
      <c r="G138" s="324" t="s">
        <v>597</v>
      </c>
      <c r="H138" s="324" t="s">
        <v>597</v>
      </c>
      <c r="I138" s="324" t="s">
        <v>597</v>
      </c>
      <c r="J138" s="324" t="s">
        <v>597</v>
      </c>
      <c r="K138" s="304">
        <f>SUM(K136:K137)</f>
        <v>126</v>
      </c>
      <c r="L138" s="294">
        <f>SUM(L136:L137)</f>
        <v>23957.56</v>
      </c>
      <c r="M138" s="233">
        <f>SUM(M136:M136)</f>
        <v>121.33500000000001</v>
      </c>
      <c r="O138" s="304">
        <f>SUM(O136:O137)</f>
        <v>9157.5600000000013</v>
      </c>
      <c r="P138" s="304">
        <f>SUM(P136:P137)</f>
        <v>0</v>
      </c>
      <c r="Q138" s="304">
        <f>SUM(Q136:Q137)</f>
        <v>14800</v>
      </c>
      <c r="R138" s="498"/>
      <c r="U138" s="304">
        <f>SUM(U136:U137)</f>
        <v>3.33</v>
      </c>
      <c r="V138" s="304">
        <f>SUM(V136:V137)</f>
        <v>0.17</v>
      </c>
      <c r="W138" s="304">
        <f>SUM(W136:W137)</f>
        <v>0</v>
      </c>
      <c r="X138" s="304">
        <f>SUM(X136:X137)</f>
        <v>0</v>
      </c>
    </row>
    <row r="139" spans="1:28" x14ac:dyDescent="0.2">
      <c r="A139" s="297" t="s">
        <v>408</v>
      </c>
      <c r="B139" s="333"/>
      <c r="C139" s="333"/>
      <c r="D139" s="333"/>
      <c r="E139" s="333"/>
      <c r="F139" s="334"/>
      <c r="G139" s="334"/>
      <c r="H139" s="334"/>
      <c r="I139" s="335"/>
      <c r="J139" s="339"/>
      <c r="K139" s="337"/>
      <c r="L139" s="338"/>
      <c r="M139" s="234"/>
      <c r="O139" s="232"/>
      <c r="P139" s="232"/>
      <c r="Q139" s="232"/>
    </row>
    <row r="140" spans="1:28" x14ac:dyDescent="0.2">
      <c r="A140" s="275" t="s">
        <v>610</v>
      </c>
      <c r="B140" s="92">
        <v>0</v>
      </c>
      <c r="C140" s="92">
        <v>0.5</v>
      </c>
      <c r="D140" s="92">
        <v>1</v>
      </c>
      <c r="E140" s="92">
        <v>0</v>
      </c>
      <c r="F140" s="32">
        <f>ROUND(Costs!$B$3*B140+Costs!$B$4*C140+Costs!$B$5*D140+Costs!$B$6*E140,2)</f>
        <v>121.34</v>
      </c>
      <c r="G140" s="32" t="str">
        <f>Costs!$B$62</f>
        <v xml:space="preserve"> </v>
      </c>
      <c r="H140" s="93">
        <f>Costs!$B$16</f>
        <v>0</v>
      </c>
      <c r="I140" s="113" t="s">
        <v>677</v>
      </c>
      <c r="J140" s="106">
        <f>ROUND((N140*Universe!$C$8),0)</f>
        <v>0</v>
      </c>
      <c r="K140" s="94">
        <f>ROUND((I140+J140)*(B140+C140+D140+E140),2)</f>
        <v>0</v>
      </c>
      <c r="L140" s="93">
        <f>(I140+J140)*(F140+G140+H140)</f>
        <v>0</v>
      </c>
      <c r="M140" s="233">
        <f>(B140*Costs!$B$3)+(C140*Costs!$B$4)+(D140*Costs!$B$5)+(E140*Costs!$B$6)+(G140+H140)</f>
        <v>121.33500000000001</v>
      </c>
      <c r="N140" s="235">
        <v>0.2</v>
      </c>
      <c r="O140" s="130">
        <f>F140*(I140+J140)</f>
        <v>0</v>
      </c>
      <c r="P140" s="130">
        <f>G140*(I140+J140)</f>
        <v>0</v>
      </c>
      <c r="Q140" s="130">
        <f>H140*(I140+J140)</f>
        <v>0</v>
      </c>
      <c r="R140" s="500" t="str">
        <f>I140</f>
        <v>N/A</v>
      </c>
      <c r="S140" s="500">
        <f>ROUND(((B140+C140+D140+E140)*J140)/Universe!$C$8,2)</f>
        <v>0</v>
      </c>
      <c r="T140" s="235">
        <v>2</v>
      </c>
      <c r="U140" s="162">
        <f>IF(T140=1,R140,0)</f>
        <v>0</v>
      </c>
      <c r="V140" s="162" t="str">
        <f>IF(T140=2,R140,0)</f>
        <v>N/A</v>
      </c>
      <c r="W140" s="162">
        <f>IF(T140=1,S140,0)</f>
        <v>0</v>
      </c>
      <c r="X140" s="162">
        <f>IF(T140=2,S140,0)</f>
        <v>0</v>
      </c>
    </row>
    <row r="141" spans="1:28" ht="31.2" thickBot="1" x14ac:dyDescent="0.25">
      <c r="A141" s="281" t="s">
        <v>160</v>
      </c>
      <c r="B141" s="282">
        <v>0</v>
      </c>
      <c r="C141" s="282">
        <f>0.25*10</f>
        <v>2.5</v>
      </c>
      <c r="D141" s="282">
        <f>0.25*100</f>
        <v>25</v>
      </c>
      <c r="E141" s="282">
        <f>0.25*10</f>
        <v>2.5</v>
      </c>
      <c r="F141" s="191">
        <f>ROUND(Costs!$B$3*B141+Costs!$B$4*C141+Costs!$B$5*D141+Costs!$B$6*E141,2)</f>
        <v>2168.0500000000002</v>
      </c>
      <c r="G141" s="191" t="str">
        <f>Costs!$B$62</f>
        <v xml:space="preserve"> </v>
      </c>
      <c r="H141" s="286">
        <f>Costs!B57</f>
        <v>3700</v>
      </c>
      <c r="I141" s="320" t="s">
        <v>677</v>
      </c>
      <c r="J141" s="321">
        <f>ROUND((N141*Universe!$C$8),0)</f>
        <v>0</v>
      </c>
      <c r="K141" s="285">
        <f>ROUND((I141+J141)*(B141+C141+D141+E141),2)</f>
        <v>0</v>
      </c>
      <c r="L141" s="286">
        <f>(I141+J141)*(F141+G141+H141)</f>
        <v>0</v>
      </c>
      <c r="M141" s="233">
        <f>(B141*Costs!$B$3)+(C141*Costs!$B$4)+(D141*Costs!$B$5)+(E141*Costs!$B$6)+(G141+H141)</f>
        <v>5868.05</v>
      </c>
      <c r="N141" s="235">
        <v>0.2</v>
      </c>
      <c r="O141" s="130">
        <f>F141*(I141+J141)</f>
        <v>0</v>
      </c>
      <c r="P141" s="130">
        <f>G141*(I141+J141)</f>
        <v>0</v>
      </c>
      <c r="Q141" s="130">
        <f>H141*(I141+J141)</f>
        <v>0</v>
      </c>
      <c r="R141" s="500" t="str">
        <f>I141</f>
        <v>N/A</v>
      </c>
      <c r="S141" s="500">
        <f>ROUND(((B141+C141+D141+E141)*J141)/Universe!$C$8,2)</f>
        <v>0</v>
      </c>
      <c r="T141" s="235">
        <v>1</v>
      </c>
      <c r="U141" s="162" t="str">
        <f>IF(T141=1,R141,0)</f>
        <v>N/A</v>
      </c>
      <c r="V141" s="162">
        <f>IF(T141=2,R141,0)</f>
        <v>0</v>
      </c>
      <c r="W141" s="162">
        <f>IF(T141=1,S141,0)</f>
        <v>0</v>
      </c>
      <c r="X141" s="162">
        <f>IF(T141=2,S141,0)</f>
        <v>0</v>
      </c>
      <c r="AA141" s="557" t="str">
        <f>I141</f>
        <v>N/A</v>
      </c>
      <c r="AB141" s="557">
        <f>J141</f>
        <v>0</v>
      </c>
    </row>
    <row r="142" spans="1:28" ht="10.8" thickBot="1" x14ac:dyDescent="0.25">
      <c r="A142" s="305" t="s">
        <v>596</v>
      </c>
      <c r="B142" s="324" t="s">
        <v>597</v>
      </c>
      <c r="C142" s="324" t="s">
        <v>597</v>
      </c>
      <c r="D142" s="324" t="s">
        <v>597</v>
      </c>
      <c r="E142" s="324" t="s">
        <v>597</v>
      </c>
      <c r="F142" s="324" t="s">
        <v>597</v>
      </c>
      <c r="G142" s="324" t="s">
        <v>597</v>
      </c>
      <c r="H142" s="324" t="s">
        <v>597</v>
      </c>
      <c r="I142" s="324" t="s">
        <v>597</v>
      </c>
      <c r="J142" s="324" t="s">
        <v>597</v>
      </c>
      <c r="K142" s="304">
        <f>SUM(K140:K141)</f>
        <v>0</v>
      </c>
      <c r="L142" s="294">
        <f>SUM(L140:L141)</f>
        <v>0</v>
      </c>
      <c r="M142" s="233">
        <f>SUM(M140:M141)</f>
        <v>5989.3850000000002</v>
      </c>
      <c r="O142" s="304">
        <f>SUM(O140:O141)</f>
        <v>0</v>
      </c>
      <c r="P142" s="304">
        <f>SUM(P140:P141)</f>
        <v>0</v>
      </c>
      <c r="Q142" s="304">
        <f>SUM(Q140:Q141)</f>
        <v>0</v>
      </c>
      <c r="R142" s="498"/>
      <c r="U142" s="304">
        <f>SUM(U140:U141)</f>
        <v>0</v>
      </c>
      <c r="V142" s="304">
        <f>SUM(V140:V141)</f>
        <v>0</v>
      </c>
      <c r="W142" s="304">
        <f>SUM(W140:W141)</f>
        <v>0</v>
      </c>
      <c r="X142" s="304">
        <f>SUM(X140:X141)</f>
        <v>0</v>
      </c>
    </row>
    <row r="143" spans="1:28" x14ac:dyDescent="0.2">
      <c r="A143" s="297" t="s">
        <v>409</v>
      </c>
      <c r="B143" s="333"/>
      <c r="C143" s="333"/>
      <c r="D143" s="333"/>
      <c r="E143" s="333"/>
      <c r="F143" s="334"/>
      <c r="G143" s="334"/>
      <c r="H143" s="334"/>
      <c r="I143" s="335"/>
      <c r="J143" s="339"/>
      <c r="K143" s="337"/>
      <c r="L143" s="338"/>
      <c r="M143" s="234"/>
      <c r="O143" s="232"/>
      <c r="P143" s="232"/>
      <c r="Q143" s="232"/>
      <c r="R143" s="500">
        <f>I143</f>
        <v>0</v>
      </c>
    </row>
    <row r="144" spans="1:28" x14ac:dyDescent="0.2">
      <c r="A144" s="275" t="s">
        <v>610</v>
      </c>
      <c r="B144" s="92">
        <v>0</v>
      </c>
      <c r="C144" s="92">
        <v>0.1</v>
      </c>
      <c r="D144" s="92">
        <v>0.25</v>
      </c>
      <c r="E144" s="92">
        <v>0</v>
      </c>
      <c r="F144" s="32">
        <f>ROUND(Costs!$B$3*B144+Costs!$B$4*C144+Costs!$B$5*D144+Costs!$B$6*E144,2)</f>
        <v>27.9</v>
      </c>
      <c r="G144" s="32" t="str">
        <f>Costs!$B$62</f>
        <v xml:space="preserve"> </v>
      </c>
      <c r="H144" s="93">
        <f>Costs!$B$16</f>
        <v>0</v>
      </c>
      <c r="I144" s="113" t="s">
        <v>677</v>
      </c>
      <c r="J144" s="106">
        <v>0</v>
      </c>
      <c r="K144" s="94">
        <f>ROUND((I144+J144)*(B144+C144+D144+E144),2)</f>
        <v>0</v>
      </c>
      <c r="L144" s="93">
        <f>(I144+J144)*(F144+G144+H144)</f>
        <v>0</v>
      </c>
      <c r="M144" s="233">
        <f>(B144*Costs!$B$3)+(C144*Costs!$B$4)+(D144*Costs!$B$5)+(E144*Costs!$B$6)+(G144+H144)</f>
        <v>27.897500000000001</v>
      </c>
      <c r="N144" s="235">
        <v>1</v>
      </c>
      <c r="O144" s="130">
        <f>F144*(I144+J144)</f>
        <v>0</v>
      </c>
      <c r="P144" s="130">
        <f>G144*(I144+J144)</f>
        <v>0</v>
      </c>
      <c r="Q144" s="130">
        <f>H144*(I144+J144)</f>
        <v>0</v>
      </c>
      <c r="R144" s="500" t="str">
        <f>I144</f>
        <v>N/A</v>
      </c>
      <c r="S144" s="500" t="e">
        <f>ROUND(((B144+C144+D144+E144)*J144)/Universe!$C$2,2)</f>
        <v>#DIV/0!</v>
      </c>
      <c r="T144" s="235">
        <v>2</v>
      </c>
      <c r="U144" s="162">
        <f>IF(T144=1,R144,0)</f>
        <v>0</v>
      </c>
      <c r="V144" s="162" t="str">
        <f>IF(T144=2,R144,0)</f>
        <v>N/A</v>
      </c>
      <c r="W144" s="162">
        <f>IF(T144=1,S144,0)</f>
        <v>0</v>
      </c>
      <c r="X144" s="162" t="e">
        <f>IF(T144=2,S144,0)</f>
        <v>#DIV/0!</v>
      </c>
    </row>
    <row r="145" spans="1:28" ht="21" thickBot="1" x14ac:dyDescent="0.25">
      <c r="A145" s="281" t="s">
        <v>161</v>
      </c>
      <c r="B145" s="282">
        <v>0</v>
      </c>
      <c r="C145" s="282">
        <v>0.5</v>
      </c>
      <c r="D145" s="282">
        <v>2</v>
      </c>
      <c r="E145" s="282">
        <v>0.5</v>
      </c>
      <c r="F145" s="191">
        <f>ROUND(Costs!$B$3*B145+Costs!$B$4*C145+Costs!$B$5*D145+Costs!$B$6*E145,2)</f>
        <v>215.78</v>
      </c>
      <c r="G145" s="191" t="str">
        <f>Costs!$B$62</f>
        <v xml:space="preserve"> </v>
      </c>
      <c r="H145" s="286">
        <f>Costs!$B$16</f>
        <v>0</v>
      </c>
      <c r="I145" s="320" t="s">
        <v>677</v>
      </c>
      <c r="J145" s="321">
        <v>0</v>
      </c>
      <c r="K145" s="285">
        <f>ROUND((I145+J145)*(B145+C145+D145+E145),2)</f>
        <v>0</v>
      </c>
      <c r="L145" s="286">
        <f>(I145+J145)*(F145+G145+H145)</f>
        <v>0</v>
      </c>
      <c r="M145" s="233">
        <f>(B145*Costs!$B$3)+(C145*Costs!$B$4)+(D145*Costs!$B$5)+(E145*Costs!$B$6)+(G145+H145)</f>
        <v>215.78</v>
      </c>
      <c r="N145" s="235">
        <v>1</v>
      </c>
      <c r="O145" s="130">
        <f>F145*(I145+J145)</f>
        <v>0</v>
      </c>
      <c r="P145" s="130">
        <f>G145*(I145+J145)</f>
        <v>0</v>
      </c>
      <c r="Q145" s="130">
        <f>H145*(I145+J145)</f>
        <v>0</v>
      </c>
      <c r="R145" s="500" t="str">
        <f>I145</f>
        <v>N/A</v>
      </c>
      <c r="S145" s="500" t="e">
        <f>ROUND(((B145+C145+D145+E145)*J145)/Universe!$C$2,2)</f>
        <v>#DIV/0!</v>
      </c>
      <c r="T145" s="235">
        <v>1</v>
      </c>
      <c r="U145" s="162" t="str">
        <f>IF(T145=1,R145,0)</f>
        <v>N/A</v>
      </c>
      <c r="V145" s="162">
        <f>IF(T145=2,R145,0)</f>
        <v>0</v>
      </c>
      <c r="W145" s="162" t="e">
        <f>IF(T145=1,S145,0)</f>
        <v>#DIV/0!</v>
      </c>
      <c r="X145" s="162">
        <f>IF(T145=2,S145,0)</f>
        <v>0</v>
      </c>
      <c r="AA145" s="557" t="str">
        <f>I145</f>
        <v>N/A</v>
      </c>
      <c r="AB145" s="557">
        <f>J145</f>
        <v>0</v>
      </c>
    </row>
    <row r="146" spans="1:28" ht="10.8" thickBot="1" x14ac:dyDescent="0.25">
      <c r="A146" s="305" t="s">
        <v>596</v>
      </c>
      <c r="B146" s="324" t="s">
        <v>597</v>
      </c>
      <c r="C146" s="324" t="s">
        <v>597</v>
      </c>
      <c r="D146" s="324" t="s">
        <v>597</v>
      </c>
      <c r="E146" s="324" t="s">
        <v>597</v>
      </c>
      <c r="F146" s="324" t="s">
        <v>597</v>
      </c>
      <c r="G146" s="324" t="s">
        <v>597</v>
      </c>
      <c r="H146" s="324" t="s">
        <v>597</v>
      </c>
      <c r="I146" s="324" t="s">
        <v>597</v>
      </c>
      <c r="J146" s="324" t="s">
        <v>597</v>
      </c>
      <c r="K146" s="304">
        <f>SUM(K144:K145)</f>
        <v>0</v>
      </c>
      <c r="L146" s="294">
        <f>SUM(L144:L145)</f>
        <v>0</v>
      </c>
      <c r="M146" s="233">
        <f>SUM(M144:M145)</f>
        <v>243.67750000000001</v>
      </c>
      <c r="O146" s="304">
        <f>SUM(O144:O145)</f>
        <v>0</v>
      </c>
      <c r="P146" s="304">
        <f>SUM(P144:P145)</f>
        <v>0</v>
      </c>
      <c r="Q146" s="304">
        <f>SUM(Q144:Q145)</f>
        <v>0</v>
      </c>
      <c r="R146" s="498"/>
      <c r="U146" s="304">
        <f>SUM(U144:U145)</f>
        <v>0</v>
      </c>
      <c r="V146" s="304">
        <f>SUM(V144:V145)</f>
        <v>0</v>
      </c>
      <c r="W146" s="304" t="e">
        <f>SUM(W144:W145)</f>
        <v>#DIV/0!</v>
      </c>
      <c r="X146" s="304" t="e">
        <f>SUM(X144:X145)</f>
        <v>#DIV/0!</v>
      </c>
    </row>
    <row r="147" spans="1:28" x14ac:dyDescent="0.2">
      <c r="A147" s="297" t="s">
        <v>410</v>
      </c>
      <c r="B147" s="333"/>
      <c r="C147" s="333"/>
      <c r="D147" s="333"/>
      <c r="E147" s="333"/>
      <c r="F147" s="334"/>
      <c r="G147" s="334"/>
      <c r="H147" s="334"/>
      <c r="I147" s="335"/>
      <c r="J147" s="339"/>
      <c r="K147" s="337"/>
      <c r="L147" s="338"/>
      <c r="M147" s="234"/>
      <c r="O147" s="232"/>
      <c r="P147" s="232"/>
      <c r="Q147" s="232"/>
    </row>
    <row r="148" spans="1:28" x14ac:dyDescent="0.2">
      <c r="A148" s="275" t="s">
        <v>610</v>
      </c>
      <c r="B148" s="92">
        <v>0</v>
      </c>
      <c r="C148" s="92">
        <v>0.5</v>
      </c>
      <c r="D148" s="92">
        <v>1</v>
      </c>
      <c r="E148" s="92">
        <v>0</v>
      </c>
      <c r="F148" s="32">
        <f>ROUND(Costs!$B$3*B148+Costs!$B$4*C148+Costs!$B$5*D148+Costs!$B$6*E148,2)</f>
        <v>121.34</v>
      </c>
      <c r="G148" s="32" t="str">
        <f>Costs!$B$62</f>
        <v xml:space="preserve"> </v>
      </c>
      <c r="H148" s="93">
        <f>Costs!$B$16</f>
        <v>0</v>
      </c>
      <c r="I148" s="113" t="s">
        <v>677</v>
      </c>
      <c r="J148" s="106">
        <f>ROUND((N148*Universe!$C$8),0)</f>
        <v>0</v>
      </c>
      <c r="K148" s="94">
        <f>ROUND((I148+J148)*(B148+C148+D148+E148),2)</f>
        <v>0</v>
      </c>
      <c r="L148" s="93">
        <f>(I148+J148)*(F148+G148+H148)</f>
        <v>0</v>
      </c>
      <c r="M148" s="233">
        <f>(B148*Costs!$B$3)+(C148*Costs!$B$4)+(D148*Costs!$B$5)+(E148*Costs!$B$6)+(G148+H148)</f>
        <v>121.33500000000001</v>
      </c>
      <c r="N148" s="235">
        <v>0.1</v>
      </c>
      <c r="O148" s="130">
        <f>F148*(I148+J148)</f>
        <v>0</v>
      </c>
      <c r="P148" s="130">
        <f>G148*(I148+J148)</f>
        <v>0</v>
      </c>
      <c r="Q148" s="130">
        <f>H148*(I148+J148)</f>
        <v>0</v>
      </c>
      <c r="R148" s="500" t="str">
        <f>I148</f>
        <v>N/A</v>
      </c>
      <c r="S148" s="500">
        <f>ROUND(((B148+C148+D148+E148)*J148)/Universe!$C$8,2)</f>
        <v>0</v>
      </c>
      <c r="T148" s="235">
        <v>2</v>
      </c>
      <c r="U148" s="162">
        <f>IF(T148=1,R148,0)</f>
        <v>0</v>
      </c>
      <c r="V148" s="162" t="str">
        <f>IF(T148=2,R148,0)</f>
        <v>N/A</v>
      </c>
      <c r="W148" s="162">
        <f>IF(T148=1,S148,0)</f>
        <v>0</v>
      </c>
      <c r="X148" s="162">
        <f>IF(T148=2,S148,0)</f>
        <v>0</v>
      </c>
    </row>
    <row r="149" spans="1:28" ht="20.399999999999999" x14ac:dyDescent="0.2">
      <c r="A149" s="275" t="s">
        <v>34</v>
      </c>
      <c r="B149" s="92">
        <v>0</v>
      </c>
      <c r="C149" s="92">
        <v>2</v>
      </c>
      <c r="D149" s="92">
        <v>8</v>
      </c>
      <c r="E149" s="92">
        <v>0</v>
      </c>
      <c r="F149" s="32">
        <f>ROUND(Costs!$B$3*B149+Costs!$B$4*C149+Costs!$B$5*D149+Costs!$B$6*E149,2)</f>
        <v>775.78</v>
      </c>
      <c r="G149" s="32" t="str">
        <f>Costs!$B$62</f>
        <v xml:space="preserve"> </v>
      </c>
      <c r="H149" s="93">
        <f>Costs!$B$16</f>
        <v>0</v>
      </c>
      <c r="I149" s="113" t="s">
        <v>677</v>
      </c>
      <c r="J149" s="106">
        <f>ROUND((N149*Universe!$C$8),0)</f>
        <v>0</v>
      </c>
      <c r="K149" s="94">
        <f>ROUND((I149+J149)*(B149+C149+D149+E149),2)</f>
        <v>0</v>
      </c>
      <c r="L149" s="93">
        <f>(I149+J149)*(F149+G149+H149)</f>
        <v>0</v>
      </c>
      <c r="M149" s="233">
        <f>(B149*Costs!$B$3)+(C149*Costs!$B$4)+(D149*Costs!$B$5)+(E149*Costs!$B$6)+(G149+H149)</f>
        <v>775.78</v>
      </c>
      <c r="N149" s="235">
        <v>0.1</v>
      </c>
      <c r="O149" s="130">
        <f>F149*(I149+J149)</f>
        <v>0</v>
      </c>
      <c r="P149" s="130">
        <f>G149*(I149+J149)</f>
        <v>0</v>
      </c>
      <c r="Q149" s="130">
        <f>H149*(I149+J149)</f>
        <v>0</v>
      </c>
      <c r="R149" s="500" t="str">
        <f>I149</f>
        <v>N/A</v>
      </c>
      <c r="S149" s="500">
        <f>ROUND(((B149+C149+D149+E149)*J149)/Universe!$C$8,2)</f>
        <v>0</v>
      </c>
      <c r="T149" s="235">
        <v>2</v>
      </c>
      <c r="U149" s="162">
        <f>IF(T149=1,R149,0)</f>
        <v>0</v>
      </c>
      <c r="V149" s="162" t="str">
        <f>IF(T149=2,R149,0)</f>
        <v>N/A</v>
      </c>
      <c r="W149" s="162">
        <f>IF(T149=1,S149,0)</f>
        <v>0</v>
      </c>
      <c r="X149" s="162">
        <f>IF(T149=2,S149,0)</f>
        <v>0</v>
      </c>
    </row>
    <row r="150" spans="1:28" ht="20.399999999999999" x14ac:dyDescent="0.2">
      <c r="A150" s="275" t="s">
        <v>35</v>
      </c>
      <c r="B150" s="92">
        <v>0</v>
      </c>
      <c r="C150" s="92">
        <v>0.25</v>
      </c>
      <c r="D150" s="92">
        <v>0.5</v>
      </c>
      <c r="E150" s="92">
        <v>0.25</v>
      </c>
      <c r="F150" s="32">
        <f>ROUND(Costs!$B$3*B150+Costs!$B$4*C150+Costs!$B$5*D150+Costs!$B$6*E150,2)</f>
        <v>71.59</v>
      </c>
      <c r="G150" s="32" t="str">
        <f>Costs!$B$62</f>
        <v xml:space="preserve"> </v>
      </c>
      <c r="H150" s="32">
        <f>Costs!$B$19</f>
        <v>4.4000000000000004</v>
      </c>
      <c r="I150" s="113" t="s">
        <v>677</v>
      </c>
      <c r="J150" s="106">
        <f>ROUND((N150*Universe!$C$8),0)</f>
        <v>0</v>
      </c>
      <c r="K150" s="94">
        <f>ROUND((I150+J150)*(B150+C150+D150+E150),2)</f>
        <v>0</v>
      </c>
      <c r="L150" s="93">
        <f>(I150+J150)*(F150+G150+H150)</f>
        <v>0</v>
      </c>
      <c r="M150" s="233">
        <f>(B150*Costs!$B$3)+(C150*Costs!$B$4)+(D150*Costs!$B$5)+(E150*Costs!$B$6)+(G150+H150)</f>
        <v>75.985000000000014</v>
      </c>
      <c r="N150" s="235">
        <v>0.1</v>
      </c>
      <c r="O150" s="130">
        <f>F150*(I150+J150)</f>
        <v>0</v>
      </c>
      <c r="P150" s="130">
        <f>G150*(I150+J150)</f>
        <v>0</v>
      </c>
      <c r="Q150" s="130">
        <f>H150*(I150+J150)</f>
        <v>0</v>
      </c>
      <c r="R150" s="500" t="str">
        <f>I150</f>
        <v>N/A</v>
      </c>
      <c r="S150" s="500">
        <f>ROUND(((B150+C150+D150+E150)*J150)/Universe!$C$8,2)</f>
        <v>0</v>
      </c>
      <c r="T150" s="235">
        <v>2</v>
      </c>
      <c r="U150" s="162">
        <f>IF(T150=1,R150,0)</f>
        <v>0</v>
      </c>
      <c r="V150" s="162" t="str">
        <f>IF(T150=2,R150,0)</f>
        <v>N/A</v>
      </c>
      <c r="W150" s="162">
        <f>IF(T150=1,S150,0)</f>
        <v>0</v>
      </c>
      <c r="X150" s="162">
        <f>IF(T150=2,S150,0)</f>
        <v>0</v>
      </c>
    </row>
    <row r="151" spans="1:28" ht="20.399999999999999" x14ac:dyDescent="0.2">
      <c r="A151" s="275" t="s">
        <v>36</v>
      </c>
      <c r="B151" s="92">
        <v>0</v>
      </c>
      <c r="C151" s="92">
        <v>2</v>
      </c>
      <c r="D151" s="92">
        <v>8</v>
      </c>
      <c r="E151" s="92">
        <v>0</v>
      </c>
      <c r="F151" s="32">
        <f>ROUND(Costs!$B$3*B151+Costs!$B$4*C151+Costs!$B$5*D151+Costs!$B$6*E151,2)</f>
        <v>775.78</v>
      </c>
      <c r="G151" s="32" t="str">
        <f>Costs!$B$62</f>
        <v xml:space="preserve"> </v>
      </c>
      <c r="H151" s="93">
        <f>Costs!$B$16</f>
        <v>0</v>
      </c>
      <c r="I151" s="113" t="s">
        <v>677</v>
      </c>
      <c r="J151" s="106">
        <f>ROUND((N151*Universe!$C$9)/3,0)</f>
        <v>0</v>
      </c>
      <c r="K151" s="94">
        <f>ROUND((I151+J151)*(B151+C151+D151+E151),2)</f>
        <v>0</v>
      </c>
      <c r="L151" s="93">
        <f>(I151+J151)*(F151+G151+H151)</f>
        <v>0</v>
      </c>
      <c r="M151" s="233">
        <f>(B151*Costs!$B$3)+(C151*Costs!$B$4)+(D151*Costs!$B$5)+(E151*Costs!$B$6)+(G151+H151)</f>
        <v>775.78</v>
      </c>
      <c r="N151" s="235">
        <v>0.06</v>
      </c>
      <c r="O151" s="130">
        <f>F151*(I151+J151)</f>
        <v>0</v>
      </c>
      <c r="P151" s="130">
        <f>G151*(I151+J151)</f>
        <v>0</v>
      </c>
      <c r="Q151" s="130">
        <f>H151*(I151+J151)</f>
        <v>0</v>
      </c>
      <c r="R151" s="500" t="str">
        <f>I151</f>
        <v>N/A</v>
      </c>
      <c r="S151" s="500" t="e">
        <f>ROUND(((B151+C151+D151+E151)*J151)/Universe!$C$2,2)</f>
        <v>#DIV/0!</v>
      </c>
      <c r="T151" s="235">
        <v>2</v>
      </c>
      <c r="U151" s="162">
        <f>IF(T151=1,R151,0)</f>
        <v>0</v>
      </c>
      <c r="V151" s="162" t="str">
        <f>IF(T151=2,R151,0)</f>
        <v>N/A</v>
      </c>
      <c r="W151" s="162">
        <f>IF(T151=1,S151,0)</f>
        <v>0</v>
      </c>
      <c r="X151" s="162" t="e">
        <f>IF(T151=2,S151,0)</f>
        <v>#DIV/0!</v>
      </c>
    </row>
    <row r="152" spans="1:28" ht="21" thickBot="1" x14ac:dyDescent="0.25">
      <c r="A152" s="281" t="s">
        <v>37</v>
      </c>
      <c r="B152" s="282">
        <v>0</v>
      </c>
      <c r="C152" s="282">
        <v>0</v>
      </c>
      <c r="D152" s="282">
        <v>4</v>
      </c>
      <c r="E152" s="282">
        <v>0.25</v>
      </c>
      <c r="F152" s="191">
        <f>ROUND(Costs!$B$3*B152+Costs!$B$4*C152+Costs!$B$5*D152+Costs!$B$6*E152,2)</f>
        <v>301.36</v>
      </c>
      <c r="G152" s="191" t="str">
        <f>Costs!$B$62</f>
        <v xml:space="preserve"> </v>
      </c>
      <c r="H152" s="191">
        <f>Costs!$B$19</f>
        <v>4.4000000000000004</v>
      </c>
      <c r="I152" s="320" t="s">
        <v>677</v>
      </c>
      <c r="J152" s="321">
        <f>ROUND((N152*Universe!$C$9)/3,0)</f>
        <v>0</v>
      </c>
      <c r="K152" s="285">
        <f>ROUND((I152+J152)*(B152+C152+D152+E152),2)</f>
        <v>0</v>
      </c>
      <c r="L152" s="286">
        <f>(I152+J152)*(F152+G152+H152)</f>
        <v>0</v>
      </c>
      <c r="M152" s="233">
        <f>(B152*Costs!$B$3)+(C152*Costs!$B$4)+(D152*Costs!$B$5)+(E152*Costs!$B$6)+(G152+H152)</f>
        <v>305.75749999999999</v>
      </c>
      <c r="N152" s="235">
        <v>0.06</v>
      </c>
      <c r="O152" s="130">
        <f>F152*(I152+J152)</f>
        <v>0</v>
      </c>
      <c r="P152" s="130">
        <f>G152*(I152+J152)</f>
        <v>0</v>
      </c>
      <c r="Q152" s="130">
        <f>H152*(I152+J152)</f>
        <v>0</v>
      </c>
      <c r="R152" s="500" t="str">
        <f>I152</f>
        <v>N/A</v>
      </c>
      <c r="S152" s="500" t="e">
        <f>ROUND(((B152+C152+D152+E152)*J152)/Universe!$C$2,2)</f>
        <v>#DIV/0!</v>
      </c>
      <c r="T152" s="235">
        <v>2</v>
      </c>
      <c r="U152" s="162">
        <f>IF(T152=1,R152,0)</f>
        <v>0</v>
      </c>
      <c r="V152" s="162" t="str">
        <f>IF(T152=2,R152,0)</f>
        <v>N/A</v>
      </c>
      <c r="W152" s="162">
        <f>IF(T152=1,S152,0)</f>
        <v>0</v>
      </c>
      <c r="X152" s="162" t="e">
        <f>IF(T152=2,S152,0)</f>
        <v>#DIV/0!</v>
      </c>
    </row>
    <row r="153" spans="1:28" ht="10.8" thickBot="1" x14ac:dyDescent="0.25">
      <c r="A153" s="305" t="s">
        <v>596</v>
      </c>
      <c r="B153" s="324" t="s">
        <v>597</v>
      </c>
      <c r="C153" s="324" t="s">
        <v>597</v>
      </c>
      <c r="D153" s="324" t="s">
        <v>597</v>
      </c>
      <c r="E153" s="324" t="s">
        <v>597</v>
      </c>
      <c r="F153" s="324" t="s">
        <v>597</v>
      </c>
      <c r="G153" s="324" t="s">
        <v>597</v>
      </c>
      <c r="H153" s="324" t="s">
        <v>597</v>
      </c>
      <c r="I153" s="324" t="s">
        <v>597</v>
      </c>
      <c r="J153" s="324" t="s">
        <v>597</v>
      </c>
      <c r="K153" s="304">
        <f>SUM(K148:K152)</f>
        <v>0</v>
      </c>
      <c r="L153" s="294">
        <f>SUM(L148:L152)</f>
        <v>0</v>
      </c>
      <c r="M153" s="233">
        <f>SUM(M148:M152)</f>
        <v>2054.6375000000003</v>
      </c>
      <c r="O153" s="304">
        <f>SUM(O148:O152)</f>
        <v>0</v>
      </c>
      <c r="P153" s="304">
        <f>SUM(P148:P152)</f>
        <v>0</v>
      </c>
      <c r="Q153" s="304">
        <f>SUM(Q148:Q152)</f>
        <v>0</v>
      </c>
      <c r="R153" s="498"/>
      <c r="U153" s="304">
        <f>SUM(U148:U152)</f>
        <v>0</v>
      </c>
      <c r="V153" s="304">
        <f>SUM(V148:V152)</f>
        <v>0</v>
      </c>
      <c r="W153" s="304">
        <f>SUM(W148:W152)</f>
        <v>0</v>
      </c>
      <c r="X153" s="304" t="e">
        <f>SUM(X148:X152)</f>
        <v>#DIV/0!</v>
      </c>
    </row>
    <row r="154" spans="1:28" x14ac:dyDescent="0.2">
      <c r="A154" s="297" t="s">
        <v>411</v>
      </c>
      <c r="B154" s="333"/>
      <c r="C154" s="333"/>
      <c r="D154" s="333"/>
      <c r="E154" s="333"/>
      <c r="F154" s="334"/>
      <c r="G154" s="334"/>
      <c r="H154" s="334"/>
      <c r="I154" s="335"/>
      <c r="J154" s="339"/>
      <c r="K154" s="337"/>
      <c r="L154" s="338"/>
      <c r="M154" s="234"/>
      <c r="O154" s="232"/>
      <c r="P154" s="232"/>
      <c r="Q154" s="232"/>
    </row>
    <row r="155" spans="1:28" x14ac:dyDescent="0.2">
      <c r="A155" s="275" t="s">
        <v>610</v>
      </c>
      <c r="B155" s="92">
        <v>0</v>
      </c>
      <c r="C155" s="92">
        <v>0.5</v>
      </c>
      <c r="D155" s="92">
        <v>1</v>
      </c>
      <c r="E155" s="92">
        <v>0</v>
      </c>
      <c r="F155" s="32">
        <f>ROUND(Costs!$B$3*B155+Costs!$B$4*C155+Costs!$B$5*D155+Costs!$B$6*E155,2)</f>
        <v>121.34</v>
      </c>
      <c r="G155" s="32" t="str">
        <f>Costs!$B$62</f>
        <v xml:space="preserve"> </v>
      </c>
      <c r="H155" s="93">
        <f>Costs!$B$16</f>
        <v>0</v>
      </c>
      <c r="I155" s="113" t="s">
        <v>677</v>
      </c>
      <c r="J155" s="106">
        <f>ROUND((N155*Universe!$C$8)/3,0)</f>
        <v>0</v>
      </c>
      <c r="K155" s="94">
        <f>ROUND((I155+J155)*(B155+C155+D155+E155),2)</f>
        <v>0</v>
      </c>
      <c r="L155" s="93">
        <f>(I155+J155)*(F155+G155+H155)</f>
        <v>0</v>
      </c>
      <c r="M155" s="233">
        <f>(B155*Costs!$B$3)+(C155*Costs!$B$4)+(D155*Costs!$B$5)+(E155*Costs!$B$6)+(G155+H155)</f>
        <v>121.33500000000001</v>
      </c>
      <c r="N155" s="235">
        <v>1</v>
      </c>
      <c r="O155" s="130">
        <f>F155*(I155+J155)</f>
        <v>0</v>
      </c>
      <c r="P155" s="130">
        <f>G155*(I155+J155)</f>
        <v>0</v>
      </c>
      <c r="Q155" s="130">
        <f>H155*(I155+J155)</f>
        <v>0</v>
      </c>
      <c r="R155" s="500" t="str">
        <f>I155</f>
        <v>N/A</v>
      </c>
      <c r="S155" s="500">
        <f>ROUND(((B155+C155+D155+E155)*J155)/Universe!$C$8,2)</f>
        <v>0</v>
      </c>
      <c r="T155" s="235">
        <v>2</v>
      </c>
      <c r="U155" s="162">
        <f>IF(T155=1,R155,0)</f>
        <v>0</v>
      </c>
      <c r="V155" s="162" t="str">
        <f>IF(T155=2,R155,0)</f>
        <v>N/A</v>
      </c>
      <c r="W155" s="162">
        <f>IF(T155=1,S155,0)</f>
        <v>0</v>
      </c>
      <c r="X155" s="162">
        <f>IF(T155=2,S155,0)</f>
        <v>0</v>
      </c>
    </row>
    <row r="156" spans="1:28" ht="30.6" x14ac:dyDescent="0.2">
      <c r="A156" s="275" t="s">
        <v>41</v>
      </c>
      <c r="B156" s="92">
        <v>0</v>
      </c>
      <c r="C156" s="92">
        <v>1</v>
      </c>
      <c r="D156" s="92">
        <v>4</v>
      </c>
      <c r="E156" s="92">
        <v>1</v>
      </c>
      <c r="F156" s="32">
        <f>ROUND(Costs!$B$3*B156+Costs!$B$4*C156+Costs!$B$5*D156+Costs!$B$6*E156,2)</f>
        <v>431.56</v>
      </c>
      <c r="G156" s="32" t="str">
        <f>Costs!$B$62</f>
        <v xml:space="preserve"> </v>
      </c>
      <c r="H156" s="108">
        <f>Costs!$B$17</f>
        <v>1.5</v>
      </c>
      <c r="I156" s="113" t="s">
        <v>677</v>
      </c>
      <c r="J156" s="106">
        <f>ROUND((N156*J155),1)</f>
        <v>0</v>
      </c>
      <c r="K156" s="94">
        <f>ROUND((I156+J156)*(B156+C156+D156+E156),2)</f>
        <v>0</v>
      </c>
      <c r="L156" s="93">
        <f>(I156+J156)*(F156+G156+H156)</f>
        <v>0</v>
      </c>
      <c r="M156" s="233">
        <f>(B156*Costs!$B$3)+(C156*Costs!$B$4)+(D156*Costs!$B$5)+(E156*Costs!$B$6)+(G156+H156)</f>
        <v>433.06</v>
      </c>
      <c r="N156" s="235">
        <v>0.1</v>
      </c>
      <c r="O156" s="130">
        <f>F156*(I156+J156)</f>
        <v>0</v>
      </c>
      <c r="P156" s="130">
        <f>G156*(I156+J156)</f>
        <v>0</v>
      </c>
      <c r="Q156" s="130">
        <f>H156*(I156+J156)</f>
        <v>0</v>
      </c>
      <c r="R156" s="500" t="str">
        <f>I156</f>
        <v>N/A</v>
      </c>
      <c r="S156" s="500">
        <f>ROUND(((B156+C156+D156+E156)*J156)/Universe!$C$8,2)</f>
        <v>0</v>
      </c>
      <c r="T156" s="235">
        <v>2</v>
      </c>
      <c r="U156" s="162">
        <f>IF(T156=1,R156,0)</f>
        <v>0</v>
      </c>
      <c r="V156" s="162" t="str">
        <f>IF(T156=2,R156,0)</f>
        <v>N/A</v>
      </c>
      <c r="W156" s="162">
        <f>IF(T156=1,S156,0)</f>
        <v>0</v>
      </c>
      <c r="X156" s="162">
        <f>IF(T156=2,S156,0)</f>
        <v>0</v>
      </c>
    </row>
    <row r="157" spans="1:28" ht="31.2" thickBot="1" x14ac:dyDescent="0.25">
      <c r="A157" s="281" t="s">
        <v>162</v>
      </c>
      <c r="B157" s="282">
        <v>0</v>
      </c>
      <c r="C157" s="282">
        <v>1</v>
      </c>
      <c r="D157" s="282">
        <v>4</v>
      </c>
      <c r="E157" s="282">
        <v>1</v>
      </c>
      <c r="F157" s="191">
        <f>ROUND(Costs!$B$3*B157+Costs!$B$4*C157+Costs!$B$5*D157+Costs!$B$6*E157,2)</f>
        <v>431.56</v>
      </c>
      <c r="G157" s="191" t="str">
        <f>Costs!$B$62</f>
        <v xml:space="preserve"> </v>
      </c>
      <c r="H157" s="325">
        <f>Costs!$B$17</f>
        <v>1.5</v>
      </c>
      <c r="I157" s="320" t="s">
        <v>677</v>
      </c>
      <c r="J157" s="321">
        <f>ROUND(((N157*Universe!$C$8)/3),0)</f>
        <v>0</v>
      </c>
      <c r="K157" s="285">
        <f>ROUND((I157+J157)*(B157+C157+D157+E157),2)</f>
        <v>0</v>
      </c>
      <c r="L157" s="286">
        <f>(I157+J157)*(F157+G157+H157)</f>
        <v>0</v>
      </c>
      <c r="M157" s="233">
        <f>(B157*Costs!$B$3)+(C157*Costs!$B$4)+(D157*Costs!$B$5)+(E157*Costs!$B$6)+(G157+H157)</f>
        <v>433.06</v>
      </c>
      <c r="N157" s="235">
        <v>1</v>
      </c>
      <c r="O157" s="130">
        <f>F157*(I157+J157)</f>
        <v>0</v>
      </c>
      <c r="P157" s="130">
        <f>G157*(I157+J157)</f>
        <v>0</v>
      </c>
      <c r="Q157" s="130">
        <f>H157*(I157+J157)</f>
        <v>0</v>
      </c>
      <c r="R157" s="500" t="str">
        <f>I157</f>
        <v>N/A</v>
      </c>
      <c r="S157" s="500">
        <f>ROUND(((B157+C157+D157+E157)*J157)/Universe!$C$8,2)</f>
        <v>0</v>
      </c>
      <c r="T157" s="235">
        <v>2</v>
      </c>
      <c r="U157" s="162">
        <f>IF(T157=1,R157,0)</f>
        <v>0</v>
      </c>
      <c r="V157" s="162" t="str">
        <f>IF(T157=2,R157,0)</f>
        <v>N/A</v>
      </c>
      <c r="W157" s="162">
        <f>IF(T157=1,S157,0)</f>
        <v>0</v>
      </c>
      <c r="X157" s="162">
        <f>IF(T157=2,S157,0)</f>
        <v>0</v>
      </c>
    </row>
    <row r="158" spans="1:28" ht="10.8" thickBot="1" x14ac:dyDescent="0.25">
      <c r="A158" s="305" t="s">
        <v>596</v>
      </c>
      <c r="B158" s="324" t="s">
        <v>597</v>
      </c>
      <c r="C158" s="324" t="s">
        <v>597</v>
      </c>
      <c r="D158" s="324" t="s">
        <v>597</v>
      </c>
      <c r="E158" s="324" t="s">
        <v>597</v>
      </c>
      <c r="F158" s="324" t="s">
        <v>597</v>
      </c>
      <c r="G158" s="324" t="s">
        <v>597</v>
      </c>
      <c r="H158" s="324" t="s">
        <v>597</v>
      </c>
      <c r="I158" s="324" t="s">
        <v>597</v>
      </c>
      <c r="J158" s="324" t="s">
        <v>597</v>
      </c>
      <c r="K158" s="304">
        <f>SUM(K155:K157)</f>
        <v>0</v>
      </c>
      <c r="L158" s="294">
        <f>SUM(L155:L157)</f>
        <v>0</v>
      </c>
      <c r="M158" s="233">
        <f>SUM(M155:M157)</f>
        <v>987.45499999999993</v>
      </c>
      <c r="O158" s="304">
        <f>SUM(O155:O157)</f>
        <v>0</v>
      </c>
      <c r="P158" s="304">
        <f>SUM(P155:P157)</f>
        <v>0</v>
      </c>
      <c r="Q158" s="304">
        <f>SUM(Q155:Q157)</f>
        <v>0</v>
      </c>
      <c r="U158" s="304">
        <f>SUM(U155:U157)</f>
        <v>0</v>
      </c>
      <c r="V158" s="304">
        <f>SUM(V155:V157)</f>
        <v>0</v>
      </c>
      <c r="W158" s="304">
        <f>SUM(W155:W157)</f>
        <v>0</v>
      </c>
      <c r="X158" s="304">
        <f>SUM(X155:X157)</f>
        <v>0</v>
      </c>
    </row>
    <row r="159" spans="1:28" ht="10.8" thickBot="1" x14ac:dyDescent="0.25">
      <c r="A159" s="305" t="s">
        <v>567</v>
      </c>
      <c r="B159" s="324" t="s">
        <v>597</v>
      </c>
      <c r="C159" s="324" t="s">
        <v>597</v>
      </c>
      <c r="D159" s="324" t="s">
        <v>597</v>
      </c>
      <c r="E159" s="324" t="s">
        <v>597</v>
      </c>
      <c r="F159" s="324" t="s">
        <v>597</v>
      </c>
      <c r="G159" s="324" t="s">
        <v>597</v>
      </c>
      <c r="H159" s="324" t="s">
        <v>597</v>
      </c>
      <c r="I159" s="324" t="s">
        <v>597</v>
      </c>
      <c r="J159" s="324" t="s">
        <v>597</v>
      </c>
      <c r="K159" s="304">
        <f>K104+K113+K134+K138+K142+K146+K153+K158</f>
        <v>126</v>
      </c>
      <c r="L159" s="294">
        <f>L104+L113+L134+L138+L142+L146+L153+L158</f>
        <v>23957.56</v>
      </c>
      <c r="M159" s="233">
        <f>M104+M113+M134+M138+M142+M146+M153+M158</f>
        <v>77614.037499999991</v>
      </c>
      <c r="O159" s="304">
        <f>O104+O113+O134+O138+O142+O146+O153+O158</f>
        <v>9157.5600000000013</v>
      </c>
      <c r="P159" s="304">
        <f>P104+P113+P134+P138+P142+P146+P153+P158</f>
        <v>0</v>
      </c>
      <c r="Q159" s="304">
        <f>Q104+Q113+Q134+Q138+Q142+Q146+Q153+Q158</f>
        <v>14800</v>
      </c>
      <c r="R159" s="498"/>
      <c r="U159" s="304">
        <f>U104+U113+U134+U138+U142+U146+U153+U158</f>
        <v>3.33</v>
      </c>
      <c r="V159" s="304">
        <f>V104+V113+V134+V138+V142+V146+V153+V158</f>
        <v>0.17</v>
      </c>
      <c r="W159" s="304" t="e">
        <f>W104+W113+W134+W138+W142+W146+W153+W158</f>
        <v>#DIV/0!</v>
      </c>
      <c r="X159" s="304" t="e">
        <f>X104+X113+X134+X138+X142+X146+X153+X158</f>
        <v>#DIV/0!</v>
      </c>
    </row>
    <row r="160" spans="1:28" x14ac:dyDescent="0.2">
      <c r="B160" s="39"/>
      <c r="C160" s="39"/>
      <c r="D160" s="39"/>
      <c r="E160" s="39"/>
      <c r="F160" s="31"/>
      <c r="G160" s="31"/>
      <c r="H160" s="31"/>
      <c r="L160" s="31"/>
      <c r="M160" s="232"/>
      <c r="O160" s="232"/>
      <c r="P160" s="232"/>
      <c r="Q160" s="232"/>
      <c r="U160" s="242"/>
      <c r="V160" s="242"/>
    </row>
    <row r="161" spans="1:28" x14ac:dyDescent="0.2">
      <c r="A161" s="3" t="s">
        <v>699</v>
      </c>
      <c r="B161" s="39"/>
      <c r="C161" s="39"/>
      <c r="D161" s="39"/>
      <c r="E161" s="39"/>
      <c r="F161" s="31"/>
      <c r="G161" s="31"/>
      <c r="H161" s="31"/>
      <c r="L161" s="31"/>
      <c r="M161" s="232"/>
      <c r="O161" s="232"/>
      <c r="P161" s="232"/>
      <c r="Q161" s="232"/>
    </row>
    <row r="162" spans="1:28" x14ac:dyDescent="0.2">
      <c r="A162" s="3" t="s">
        <v>382</v>
      </c>
      <c r="B162" s="38"/>
      <c r="C162" s="39"/>
      <c r="D162" s="39"/>
      <c r="E162" s="39"/>
      <c r="F162" s="31"/>
      <c r="G162" s="31"/>
      <c r="H162" s="31"/>
      <c r="J162" s="47"/>
      <c r="L162" s="31"/>
      <c r="M162" s="232"/>
      <c r="O162" s="232"/>
      <c r="P162" s="232"/>
      <c r="Q162" s="232"/>
      <c r="R162" s="498"/>
      <c r="U162" s="242"/>
      <c r="V162" s="242"/>
    </row>
    <row r="163" spans="1:28" x14ac:dyDescent="0.2">
      <c r="A163" s="3" t="s">
        <v>479</v>
      </c>
      <c r="B163" s="39"/>
      <c r="C163" s="39"/>
      <c r="D163" s="39"/>
      <c r="E163" s="39"/>
      <c r="F163" s="31"/>
      <c r="G163" s="31"/>
      <c r="H163" s="31"/>
      <c r="L163" s="31"/>
      <c r="M163" s="232"/>
      <c r="O163" s="232"/>
      <c r="P163" s="232"/>
      <c r="Q163" s="232"/>
    </row>
    <row r="164" spans="1:28" x14ac:dyDescent="0.2">
      <c r="A164" s="20" t="s">
        <v>601</v>
      </c>
      <c r="B164" s="38"/>
      <c r="C164" s="39"/>
      <c r="D164" s="39"/>
      <c r="E164" s="39"/>
      <c r="F164" s="31"/>
      <c r="G164" s="31"/>
      <c r="H164" s="31"/>
      <c r="J164" s="47"/>
      <c r="L164" s="31"/>
      <c r="M164" s="232"/>
      <c r="O164" s="232"/>
      <c r="P164" s="232"/>
      <c r="Q164" s="232"/>
      <c r="R164" s="498"/>
    </row>
    <row r="165" spans="1:28" x14ac:dyDescent="0.2">
      <c r="B165" s="38"/>
      <c r="C165" s="39"/>
      <c r="D165" s="39"/>
      <c r="E165" s="39"/>
      <c r="F165" s="31"/>
      <c r="G165" s="31"/>
      <c r="H165" s="31"/>
      <c r="J165" s="47"/>
      <c r="L165" s="31"/>
      <c r="M165" s="232"/>
      <c r="O165" s="232"/>
      <c r="P165" s="232"/>
      <c r="Q165" s="232"/>
      <c r="R165" s="498"/>
    </row>
    <row r="166" spans="1:28" x14ac:dyDescent="0.2">
      <c r="B166" s="14"/>
      <c r="C166" s="14"/>
      <c r="D166" s="14"/>
      <c r="E166" s="14"/>
      <c r="F166" s="27"/>
      <c r="G166" s="14"/>
      <c r="H166" s="34"/>
      <c r="I166" s="57" t="s">
        <v>602</v>
      </c>
      <c r="J166" s="58"/>
      <c r="K166" s="64"/>
      <c r="L166" s="34"/>
      <c r="M166" s="232"/>
      <c r="O166" s="237"/>
      <c r="P166" s="232"/>
      <c r="Q166" s="232"/>
      <c r="R166" s="498"/>
    </row>
    <row r="167" spans="1:28" x14ac:dyDescent="0.2">
      <c r="B167" s="57" t="s">
        <v>576</v>
      </c>
      <c r="C167" s="58"/>
      <c r="D167" s="58"/>
      <c r="E167" s="58"/>
      <c r="F167" s="61"/>
      <c r="G167" s="58"/>
      <c r="H167" s="60"/>
      <c r="I167" s="57" t="s">
        <v>593</v>
      </c>
      <c r="J167" s="58"/>
      <c r="K167" s="66" t="s">
        <v>577</v>
      </c>
      <c r="L167" s="60"/>
      <c r="M167" s="232"/>
      <c r="O167" s="238"/>
      <c r="P167" s="232"/>
      <c r="Q167" s="232"/>
      <c r="R167" s="498"/>
    </row>
    <row r="168" spans="1:28" x14ac:dyDescent="0.2">
      <c r="B168" s="54"/>
      <c r="C168" s="51"/>
      <c r="D168" s="51"/>
      <c r="E168" s="51"/>
      <c r="F168" s="52"/>
      <c r="G168" s="51"/>
      <c r="H168" s="53"/>
      <c r="I168" s="55"/>
      <c r="J168" s="56"/>
      <c r="K168" s="67"/>
      <c r="L168" s="56"/>
      <c r="M168" s="163" t="s">
        <v>592</v>
      </c>
      <c r="O168" s="237"/>
      <c r="P168" s="163"/>
      <c r="Q168" s="163"/>
      <c r="R168" s="498"/>
    </row>
    <row r="169" spans="1:28" x14ac:dyDescent="0.2">
      <c r="B169" s="19" t="s">
        <v>569</v>
      </c>
      <c r="C169" s="19" t="s">
        <v>570</v>
      </c>
      <c r="D169" s="19" t="s">
        <v>571</v>
      </c>
      <c r="E169" s="19" t="s">
        <v>572</v>
      </c>
      <c r="F169" s="28" t="s">
        <v>578</v>
      </c>
      <c r="G169" s="19" t="s">
        <v>579</v>
      </c>
      <c r="H169" s="34"/>
      <c r="I169" s="14"/>
      <c r="J169" s="14"/>
      <c r="K169" s="68" t="s">
        <v>580</v>
      </c>
      <c r="L169" s="35" t="s">
        <v>580</v>
      </c>
      <c r="M169" s="163" t="s">
        <v>603</v>
      </c>
      <c r="O169" s="239"/>
      <c r="P169" s="163"/>
      <c r="Q169" s="163"/>
      <c r="R169" s="498"/>
      <c r="T169" s="239" t="s">
        <v>242</v>
      </c>
    </row>
    <row r="170" spans="1:28" x14ac:dyDescent="0.2">
      <c r="B170" s="10">
        <f>Costs!$B$3</f>
        <v>164.9</v>
      </c>
      <c r="C170" s="10">
        <f>Costs!$B$4</f>
        <v>97.45</v>
      </c>
      <c r="D170" s="10">
        <f>Costs!$B$5</f>
        <v>72.61</v>
      </c>
      <c r="E170" s="10">
        <f>Costs!$B$6</f>
        <v>43.67</v>
      </c>
      <c r="F170" s="28" t="s">
        <v>583</v>
      </c>
      <c r="G170" s="19" t="s">
        <v>584</v>
      </c>
      <c r="H170" s="35" t="s">
        <v>585</v>
      </c>
      <c r="I170" s="14"/>
      <c r="J170" s="19" t="s">
        <v>604</v>
      </c>
      <c r="K170" s="68" t="s">
        <v>582</v>
      </c>
      <c r="L170" s="35" t="s">
        <v>583</v>
      </c>
      <c r="M170" s="163" t="s">
        <v>605</v>
      </c>
      <c r="O170" s="239"/>
      <c r="P170" s="163"/>
      <c r="Q170" s="163"/>
      <c r="R170" s="498" t="s">
        <v>581</v>
      </c>
      <c r="T170" s="239" t="s">
        <v>397</v>
      </c>
    </row>
    <row r="171" spans="1:28" x14ac:dyDescent="0.2">
      <c r="A171" s="3" t="s">
        <v>588</v>
      </c>
      <c r="B171" s="19" t="s">
        <v>590</v>
      </c>
      <c r="C171" s="19" t="s">
        <v>590</v>
      </c>
      <c r="D171" s="19" t="s">
        <v>590</v>
      </c>
      <c r="E171" s="19" t="s">
        <v>590</v>
      </c>
      <c r="F171" s="28" t="s">
        <v>607</v>
      </c>
      <c r="G171" s="19" t="s">
        <v>592</v>
      </c>
      <c r="H171" s="35" t="s">
        <v>592</v>
      </c>
      <c r="I171" s="19" t="s">
        <v>574</v>
      </c>
      <c r="J171" s="19" t="s">
        <v>606</v>
      </c>
      <c r="K171" s="68" t="s">
        <v>591</v>
      </c>
      <c r="L171" s="35" t="s">
        <v>591</v>
      </c>
      <c r="M171" s="163" t="s">
        <v>607</v>
      </c>
      <c r="N171" s="242" t="s">
        <v>589</v>
      </c>
      <c r="O171" s="239"/>
      <c r="P171" s="163"/>
      <c r="Q171" s="163"/>
      <c r="R171" s="498"/>
    </row>
    <row r="172" spans="1:28" x14ac:dyDescent="0.2">
      <c r="A172" s="90" t="s">
        <v>480</v>
      </c>
      <c r="B172" s="109"/>
      <c r="C172" s="97"/>
      <c r="D172" s="97"/>
      <c r="E172" s="97"/>
      <c r="F172" s="98"/>
      <c r="G172" s="98"/>
      <c r="H172" s="98"/>
      <c r="I172" s="91"/>
      <c r="J172" s="106"/>
      <c r="K172" s="99"/>
      <c r="L172" s="98"/>
      <c r="M172" s="234"/>
      <c r="O172" s="232"/>
      <c r="P172" s="232"/>
      <c r="Q172" s="232"/>
      <c r="R172" s="498"/>
    </row>
    <row r="173" spans="1:28" x14ac:dyDescent="0.2">
      <c r="A173" s="255" t="s">
        <v>481</v>
      </c>
      <c r="B173" s="256"/>
      <c r="C173" s="263"/>
      <c r="D173" s="263"/>
      <c r="E173" s="263"/>
      <c r="F173" s="264"/>
      <c r="G173" s="264"/>
      <c r="H173" s="264"/>
      <c r="I173" s="310"/>
      <c r="J173" s="315"/>
      <c r="K173" s="265"/>
      <c r="L173" s="260"/>
      <c r="M173" s="234"/>
      <c r="O173" s="232"/>
      <c r="P173" s="232"/>
      <c r="Q173" s="232"/>
      <c r="R173" s="498" t="s">
        <v>399</v>
      </c>
      <c r="S173" s="500" t="s">
        <v>385</v>
      </c>
      <c r="T173" s="242" t="s">
        <v>573</v>
      </c>
    </row>
    <row r="174" spans="1:28" x14ac:dyDescent="0.2">
      <c r="A174" s="275" t="s">
        <v>610</v>
      </c>
      <c r="B174" s="92">
        <v>0.5</v>
      </c>
      <c r="C174" s="92">
        <v>0.1</v>
      </c>
      <c r="D174" s="92">
        <v>0.15</v>
      </c>
      <c r="E174" s="92">
        <v>0</v>
      </c>
      <c r="F174" s="32">
        <f>ROUND(Costs!$B$3*B174+Costs!$B$4*C174+Costs!$B$5*D174+Costs!$B$6*E174,2)</f>
        <v>103.09</v>
      </c>
      <c r="G174" s="32" t="str">
        <f>Costs!$B$62</f>
        <v xml:space="preserve"> </v>
      </c>
      <c r="H174" s="93">
        <f>Costs!$B$16</f>
        <v>0</v>
      </c>
      <c r="I174" s="106">
        <f>ROUND((N174*Universe!$C$6),0)</f>
        <v>0</v>
      </c>
      <c r="J174" s="113" t="s">
        <v>677</v>
      </c>
      <c r="K174" s="94">
        <f>ROUND((I174+J174)*(B174+C174+D174+E174),2)</f>
        <v>0</v>
      </c>
      <c r="L174" s="93">
        <f>(I174+J174)*(F174+G174+H174)</f>
        <v>0</v>
      </c>
      <c r="M174" s="233">
        <f>(B174*Costs!$B$3)+(C174*Costs!$B$4)+(D174*Costs!$B$5)+(E174*Costs!$B$6)+(G174+H174)</f>
        <v>103.0865</v>
      </c>
      <c r="N174" s="235">
        <v>0.01</v>
      </c>
      <c r="O174" s="130">
        <f>F174*(I174+J174)</f>
        <v>0</v>
      </c>
      <c r="P174" s="130">
        <f>G174*(I174+J174)</f>
        <v>0</v>
      </c>
      <c r="Q174" s="130">
        <f>H174*(I174+J174)</f>
        <v>0</v>
      </c>
      <c r="R174" s="500">
        <f>ROUND((((I174)*(B174+C174+D174+E174))/(Universe!$C$6)),2)</f>
        <v>0</v>
      </c>
      <c r="S174" s="500" t="str">
        <f>J174</f>
        <v>N/A</v>
      </c>
      <c r="T174" s="235">
        <v>2</v>
      </c>
      <c r="U174" s="162">
        <f>IF(T174=1,R174,0)</f>
        <v>0</v>
      </c>
      <c r="V174" s="162">
        <f>IF(T174=2,R174,0)</f>
        <v>0</v>
      </c>
      <c r="W174" s="162">
        <f>IF(T174=1,S174,0)</f>
        <v>0</v>
      </c>
      <c r="X174" s="162" t="str">
        <f>IF(T174=2,S174,0)</f>
        <v>N/A</v>
      </c>
    </row>
    <row r="175" spans="1:28" x14ac:dyDescent="0.2">
      <c r="A175" s="275" t="s">
        <v>108</v>
      </c>
      <c r="B175" s="92">
        <v>1</v>
      </c>
      <c r="C175" s="92">
        <v>1</v>
      </c>
      <c r="D175" s="92">
        <v>0.5</v>
      </c>
      <c r="E175" s="92">
        <v>0.5</v>
      </c>
      <c r="F175" s="32">
        <f>ROUND(Costs!$B$3*B175+Costs!$B$4*C175+Costs!$B$5*D175+Costs!$B$6*E175,2)</f>
        <v>320.49</v>
      </c>
      <c r="G175" s="32" t="str">
        <f>Costs!$B$62</f>
        <v xml:space="preserve"> </v>
      </c>
      <c r="H175" s="32">
        <f>Costs!$B$19</f>
        <v>4.4000000000000004</v>
      </c>
      <c r="I175" s="106">
        <f>ROUND((N175*Universe!$C$6),0)</f>
        <v>0</v>
      </c>
      <c r="J175" s="113" t="s">
        <v>677</v>
      </c>
      <c r="K175" s="94">
        <f>ROUND((I175+J175)*(B175+C175+D175+E175),2)</f>
        <v>0</v>
      </c>
      <c r="L175" s="93">
        <f>(I175+J175)*(F175+G175+H175)</f>
        <v>0</v>
      </c>
      <c r="M175" s="233">
        <f>(B175*Costs!$B$3)+(C175*Costs!$B$4)+(D175*Costs!$B$5)+(E175*Costs!$B$6)+(G175+H175)</f>
        <v>324.89</v>
      </c>
      <c r="N175" s="235">
        <v>0.01</v>
      </c>
      <c r="O175" s="130">
        <f>F175*(I175+J175)</f>
        <v>0</v>
      </c>
      <c r="P175" s="130">
        <f>G175*(I175+J175)</f>
        <v>0</v>
      </c>
      <c r="Q175" s="130">
        <f>H175*(I175+J175)</f>
        <v>0</v>
      </c>
      <c r="R175" s="500">
        <f>ROUND((((I175)*(B175+C175+D175+E175))/(Universe!$C$6)),2)</f>
        <v>0</v>
      </c>
      <c r="S175" s="500" t="str">
        <f>J175</f>
        <v>N/A</v>
      </c>
      <c r="T175" s="235">
        <v>1</v>
      </c>
      <c r="U175" s="162">
        <f>IF(T175=1,R175,0)</f>
        <v>0</v>
      </c>
      <c r="V175" s="162">
        <f>IF(T175=2,R175,0)</f>
        <v>0</v>
      </c>
      <c r="W175" s="162" t="str">
        <f>IF(T175=1,S175,0)</f>
        <v>N/A</v>
      </c>
      <c r="X175" s="162">
        <f>IF(T175=2,S175,0)</f>
        <v>0</v>
      </c>
      <c r="AA175" s="557">
        <f>I175</f>
        <v>0</v>
      </c>
      <c r="AB175" s="557" t="str">
        <f>J175</f>
        <v>N/A</v>
      </c>
    </row>
    <row r="176" spans="1:28" x14ac:dyDescent="0.2">
      <c r="A176" s="255" t="s">
        <v>482</v>
      </c>
      <c r="B176" s="256"/>
      <c r="C176" s="263"/>
      <c r="D176" s="263"/>
      <c r="E176" s="263"/>
      <c r="F176" s="264"/>
      <c r="G176" s="264"/>
      <c r="H176" s="264"/>
      <c r="I176" s="314"/>
      <c r="J176" s="315"/>
      <c r="K176" s="259"/>
      <c r="L176" s="260"/>
      <c r="M176" s="234"/>
      <c r="O176" s="130"/>
      <c r="P176" s="232"/>
      <c r="Q176" s="232"/>
      <c r="R176" s="500">
        <f>ROUND((((I176)*(B176+C176+D176+E176))/(Universe!$C$6)),2)</f>
        <v>0</v>
      </c>
    </row>
    <row r="177" spans="1:28" x14ac:dyDescent="0.2">
      <c r="A177" s="275" t="s">
        <v>610</v>
      </c>
      <c r="B177" s="92">
        <v>0.5</v>
      </c>
      <c r="C177" s="92">
        <v>0.5</v>
      </c>
      <c r="D177" s="92">
        <v>0.5</v>
      </c>
      <c r="E177" s="92">
        <v>0</v>
      </c>
      <c r="F177" s="32">
        <f>ROUND(Costs!$B$3*B177+Costs!$B$4*C177+Costs!$B$5*D177+Costs!$B$6*E177,2)</f>
        <v>167.48</v>
      </c>
      <c r="G177" s="32" t="str">
        <f>Costs!$B$62</f>
        <v xml:space="preserve"> </v>
      </c>
      <c r="H177" s="93">
        <f>Costs!$B$16</f>
        <v>0</v>
      </c>
      <c r="I177" s="113">
        <f>ROUND((((Universe!$C$6)*0.6)+((Universe!$C$6)*0.3))/3/3,0)</f>
        <v>4</v>
      </c>
      <c r="J177" s="113" t="s">
        <v>677</v>
      </c>
      <c r="K177" s="94">
        <f>ROUND((I177+J177)*(B177+C177+D177+E177),2)</f>
        <v>6</v>
      </c>
      <c r="L177" s="93">
        <f>(I177+J177)*(F177+G177+H177)</f>
        <v>669.92</v>
      </c>
      <c r="M177" s="233">
        <f>(B177*Costs!$B$3)+(C177*Costs!$B$4)+(D177*Costs!$B$5)+(E177*Costs!$B$6)+(G177+H177)</f>
        <v>167.48000000000002</v>
      </c>
      <c r="N177" s="235">
        <v>0.33</v>
      </c>
      <c r="O177" s="130">
        <f>F177*(I177+J177)</f>
        <v>669.92</v>
      </c>
      <c r="P177" s="130">
        <f>G177*(I177+J177)</f>
        <v>0</v>
      </c>
      <c r="Q177" s="130">
        <f>H177*(I177+J177)</f>
        <v>0</v>
      </c>
      <c r="R177" s="500">
        <f>ROUND((((I177)*(B177+C177+D177+E177))/(Universe!$C$6)),2)</f>
        <v>0.17</v>
      </c>
      <c r="S177" s="500" t="str">
        <f>J177</f>
        <v>N/A</v>
      </c>
      <c r="T177" s="235">
        <v>2</v>
      </c>
      <c r="U177" s="162">
        <f>IF(T177=1,R177,0)</f>
        <v>0</v>
      </c>
      <c r="V177" s="162">
        <f>IF(T177=2,R177,0)</f>
        <v>0.17</v>
      </c>
      <c r="W177" s="162">
        <f>IF(T177=1,S177,0)</f>
        <v>0</v>
      </c>
      <c r="X177" s="162" t="str">
        <f>IF(T177=2,S177,0)</f>
        <v>N/A</v>
      </c>
    </row>
    <row r="178" spans="1:28" ht="20.399999999999999" x14ac:dyDescent="0.2">
      <c r="A178" s="275" t="s">
        <v>163</v>
      </c>
      <c r="B178" s="92">
        <v>1</v>
      </c>
      <c r="C178" s="92">
        <v>1</v>
      </c>
      <c r="D178" s="92">
        <v>16</v>
      </c>
      <c r="E178" s="92">
        <v>2</v>
      </c>
      <c r="F178" s="32">
        <f>ROUND(Costs!$B$3*B178+Costs!$B$4*C178+Costs!$B$5*D178+Costs!$B$6*E178,2)</f>
        <v>1511.45</v>
      </c>
      <c r="G178" s="32" t="str">
        <f>Costs!$B$62</f>
        <v xml:space="preserve"> </v>
      </c>
      <c r="H178" s="32">
        <f>Costs!$B$19</f>
        <v>4.4000000000000004</v>
      </c>
      <c r="I178" s="113">
        <f>I177</f>
        <v>4</v>
      </c>
      <c r="J178" s="113" t="s">
        <v>677</v>
      </c>
      <c r="K178" s="94">
        <f>ROUND((I178+J178)*(B178+C178+D178+E178),2)</f>
        <v>80</v>
      </c>
      <c r="L178" s="93">
        <f>(I178+J178)*(F178+G178+H178)</f>
        <v>6063.4000000000005</v>
      </c>
      <c r="M178" s="233">
        <f>(B178*Costs!$B$3)+(C178*Costs!$B$4)+(D178*Costs!$B$5)+(E178*Costs!$B$6)+(G178+H178)</f>
        <v>1515.8500000000001</v>
      </c>
      <c r="N178" s="235">
        <f>N177</f>
        <v>0.33</v>
      </c>
      <c r="O178" s="130">
        <f>F178*(I178+J178)</f>
        <v>6045.8</v>
      </c>
      <c r="P178" s="130">
        <f>G178*(I178+J178)</f>
        <v>0</v>
      </c>
      <c r="Q178" s="130">
        <f>H178*(I178+J178)</f>
        <v>17.600000000000001</v>
      </c>
      <c r="R178" s="500">
        <f>ROUND((((I178)*(B178+C178+D178+E178))/(Universe!$C$6)),2)</f>
        <v>2.2200000000000002</v>
      </c>
      <c r="S178" s="500" t="str">
        <f>J178</f>
        <v>N/A</v>
      </c>
      <c r="T178" s="235">
        <v>1</v>
      </c>
      <c r="U178" s="162">
        <f>IF(T178=1,R178,0)</f>
        <v>2.2200000000000002</v>
      </c>
      <c r="V178" s="162">
        <f>IF(T178=2,R178,0)</f>
        <v>0</v>
      </c>
      <c r="W178" s="162" t="str">
        <f>IF(T178=1,S178,0)</f>
        <v>N/A</v>
      </c>
      <c r="X178" s="162">
        <f>IF(T178=2,S178,0)</f>
        <v>0</v>
      </c>
      <c r="AA178" s="557">
        <f>I178</f>
        <v>4</v>
      </c>
      <c r="AB178" s="557" t="str">
        <f>J178</f>
        <v>N/A</v>
      </c>
    </row>
    <row r="179" spans="1:28" x14ac:dyDescent="0.2">
      <c r="A179" s="275" t="s">
        <v>109</v>
      </c>
      <c r="B179" s="92">
        <v>0</v>
      </c>
      <c r="C179" s="92">
        <v>0.25</v>
      </c>
      <c r="D179" s="92">
        <v>1</v>
      </c>
      <c r="E179" s="92">
        <v>0.25</v>
      </c>
      <c r="F179" s="32">
        <f>ROUND(Costs!$B$3*B179+Costs!$B$4*C179+Costs!$B$5*D179+Costs!$B$6*E179,2)</f>
        <v>107.89</v>
      </c>
      <c r="G179" s="32" t="str">
        <f>Costs!$B$62</f>
        <v xml:space="preserve"> </v>
      </c>
      <c r="H179" s="32">
        <f>Costs!$B$19</f>
        <v>4.4000000000000004</v>
      </c>
      <c r="I179" s="113">
        <f>I177</f>
        <v>4</v>
      </c>
      <c r="J179" s="113" t="s">
        <v>677</v>
      </c>
      <c r="K179" s="94">
        <f>ROUND((I179+J179)*(B179+C179+D179+E179),2)</f>
        <v>6</v>
      </c>
      <c r="L179" s="93">
        <f>(I179+J179)*(F179+G179+H179)</f>
        <v>449.16</v>
      </c>
      <c r="M179" s="233">
        <f>(B179*Costs!$B$3)+(C179*Costs!$B$4)+(D179*Costs!$B$5)+(E179*Costs!$B$6)+(G179+H179)</f>
        <v>112.29</v>
      </c>
      <c r="N179" s="235">
        <f>N177</f>
        <v>0.33</v>
      </c>
      <c r="O179" s="130">
        <f>F179*(I179+J179)</f>
        <v>431.56</v>
      </c>
      <c r="P179" s="130">
        <f>G179*(I179+J179)</f>
        <v>0</v>
      </c>
      <c r="Q179" s="130">
        <f>H179*(I179+J179)</f>
        <v>17.600000000000001</v>
      </c>
      <c r="R179" s="500">
        <f>ROUND((((I179)*(B179+C179+D179+E179))/(Universe!$C$6)),2)</f>
        <v>0.17</v>
      </c>
      <c r="S179" s="500" t="str">
        <f>J179</f>
        <v>N/A</v>
      </c>
      <c r="T179" s="235">
        <v>1</v>
      </c>
      <c r="U179" s="162">
        <f>IF(T179=1,R179,0)</f>
        <v>0.17</v>
      </c>
      <c r="V179" s="162">
        <f>IF(T179=2,R179,0)</f>
        <v>0</v>
      </c>
      <c r="W179" s="162" t="str">
        <f>IF(T179=1,S179,0)</f>
        <v>N/A</v>
      </c>
      <c r="X179" s="162">
        <f>IF(T179=2,S179,0)</f>
        <v>0</v>
      </c>
      <c r="AA179" s="557">
        <f>I179</f>
        <v>4</v>
      </c>
      <c r="AB179" s="557" t="str">
        <f>J179</f>
        <v>N/A</v>
      </c>
    </row>
    <row r="180" spans="1:28" x14ac:dyDescent="0.2">
      <c r="A180" s="275" t="s">
        <v>110</v>
      </c>
      <c r="B180" s="92">
        <v>0</v>
      </c>
      <c r="C180" s="92">
        <v>0</v>
      </c>
      <c r="D180" s="92">
        <v>0</v>
      </c>
      <c r="E180" s="92">
        <v>0.1</v>
      </c>
      <c r="F180" s="32">
        <f>ROUND(Costs!$B$3*B180+Costs!$B$4*C180+Costs!$B$5*D180+Costs!$B$6*E180,2)</f>
        <v>4.37</v>
      </c>
      <c r="G180" s="32" t="str">
        <f>Costs!$B$62</f>
        <v xml:space="preserve"> </v>
      </c>
      <c r="H180" s="32">
        <f>Costs!$B$19</f>
        <v>4.4000000000000004</v>
      </c>
      <c r="I180" s="113">
        <f>I177</f>
        <v>4</v>
      </c>
      <c r="J180" s="113" t="s">
        <v>677</v>
      </c>
      <c r="K180" s="94">
        <f>ROUND((I180+J180)*(B180+C180+D180+E180),2)</f>
        <v>0.4</v>
      </c>
      <c r="L180" s="93">
        <f>(I180+J180)*(F180+G180+H180)</f>
        <v>35.08</v>
      </c>
      <c r="M180" s="233">
        <f>(B180*Costs!$B$3)+(C180*Costs!$B$4)+(D180*Costs!$B$5)+(E180*Costs!$B$6)+(G180+H180)</f>
        <v>8.7669999999999995</v>
      </c>
      <c r="N180" s="235">
        <f>N177</f>
        <v>0.33</v>
      </c>
      <c r="O180" s="130">
        <f>F180*(I180+J180)</f>
        <v>17.48</v>
      </c>
      <c r="P180" s="130">
        <f>G180*(I180+J180)</f>
        <v>0</v>
      </c>
      <c r="Q180" s="130">
        <f>H180*(I180+J180)</f>
        <v>17.600000000000001</v>
      </c>
      <c r="R180" s="500">
        <f>ROUND((((I180)*(B180+C180+D180+E180))/(Universe!$C$6)),2)</f>
        <v>0.01</v>
      </c>
      <c r="S180" s="500" t="str">
        <f>J180</f>
        <v>N/A</v>
      </c>
      <c r="T180" s="235">
        <v>2</v>
      </c>
      <c r="U180" s="162">
        <f>IF(T180=1,R180,0)</f>
        <v>0</v>
      </c>
      <c r="V180" s="162">
        <f>IF(T180=2,R180,0)</f>
        <v>0.01</v>
      </c>
      <c r="W180" s="162">
        <f>IF(T180=1,S180,0)</f>
        <v>0</v>
      </c>
      <c r="X180" s="162" t="str">
        <f>IF(T180=2,S180,0)</f>
        <v>N/A</v>
      </c>
    </row>
    <row r="181" spans="1:28" x14ac:dyDescent="0.2">
      <c r="A181" s="255" t="s">
        <v>483</v>
      </c>
      <c r="B181" s="256"/>
      <c r="C181" s="263"/>
      <c r="D181" s="263"/>
      <c r="E181" s="263"/>
      <c r="F181" s="264"/>
      <c r="G181" s="264"/>
      <c r="H181" s="264"/>
      <c r="I181" s="314"/>
      <c r="J181" s="315"/>
      <c r="K181" s="259"/>
      <c r="L181" s="260"/>
      <c r="M181" s="234"/>
      <c r="O181" s="130"/>
      <c r="P181" s="232"/>
      <c r="Q181" s="232"/>
      <c r="R181" s="500">
        <f>ROUND((((I181)*(B181+C181+D181+E181))/(Universe!$C$6)),2)</f>
        <v>0</v>
      </c>
    </row>
    <row r="182" spans="1:28" ht="20.399999999999999" x14ac:dyDescent="0.2">
      <c r="A182" s="275" t="s">
        <v>164</v>
      </c>
      <c r="B182" s="92">
        <v>2</v>
      </c>
      <c r="C182" s="92">
        <v>1</v>
      </c>
      <c r="D182" s="92">
        <v>1</v>
      </c>
      <c r="E182" s="92">
        <v>0</v>
      </c>
      <c r="F182" s="32">
        <f>ROUND(Costs!$B$3*B182+Costs!$B$4*C182+Costs!$B$5*D182+Costs!$B$6*E182,2)</f>
        <v>499.86</v>
      </c>
      <c r="G182" s="32" t="str">
        <f>Costs!$B$62</f>
        <v xml:space="preserve"> </v>
      </c>
      <c r="H182" s="93">
        <f>Costs!$B$16</f>
        <v>0</v>
      </c>
      <c r="I182" s="113">
        <v>17</v>
      </c>
      <c r="J182" s="113" t="s">
        <v>677</v>
      </c>
      <c r="K182" s="94">
        <f t="shared" ref="K182:K191" si="26">ROUND((I182+J182)*(B182+C182+D182+E182),2)</f>
        <v>68</v>
      </c>
      <c r="L182" s="93">
        <f t="shared" ref="L182:L191" si="27">(I182+J182)*(F182+G182+H182)</f>
        <v>8497.6200000000008</v>
      </c>
      <c r="M182" s="233">
        <f>(B182*Costs!$B$3)+(C182*Costs!$B$4)+(D182*Costs!$B$5)+(E182*Costs!$B$6)+(G182+H182)</f>
        <v>499.86</v>
      </c>
      <c r="O182" s="130">
        <f t="shared" ref="O182:O191" si="28">F182*(I182+J182)</f>
        <v>8497.6200000000008</v>
      </c>
      <c r="P182" s="130">
        <f t="shared" ref="P182:P191" si="29">G182*(I182+J182)</f>
        <v>0</v>
      </c>
      <c r="Q182" s="130">
        <f t="shared" ref="Q182:Q191" si="30">H182*(I182+J182)</f>
        <v>0</v>
      </c>
      <c r="R182" s="500">
        <f>ROUND((((I182)*(B182+C182+D182+E182))/(Universe!$C$6)),2)</f>
        <v>1.89</v>
      </c>
      <c r="S182" s="500" t="str">
        <f t="shared" ref="S182:S191" si="31">J182</f>
        <v>N/A</v>
      </c>
      <c r="T182" s="235">
        <v>2</v>
      </c>
      <c r="U182" s="162">
        <f t="shared" ref="U182:U191" si="32">IF(T182=1,R182,0)</f>
        <v>0</v>
      </c>
      <c r="V182" s="162">
        <f t="shared" ref="V182:V191" si="33">IF(T182=2,R182,0)</f>
        <v>1.89</v>
      </c>
      <c r="W182" s="162">
        <f t="shared" ref="W182:W191" si="34">IF(T182=1,S182,0)</f>
        <v>0</v>
      </c>
      <c r="X182" s="162" t="str">
        <f t="shared" ref="X182:X191" si="35">IF(T182=2,S182,0)</f>
        <v>N/A</v>
      </c>
    </row>
    <row r="183" spans="1:28" x14ac:dyDescent="0.2">
      <c r="A183" s="275" t="s">
        <v>111</v>
      </c>
      <c r="B183" s="92">
        <v>0</v>
      </c>
      <c r="C183" s="92">
        <v>0.25</v>
      </c>
      <c r="D183" s="92">
        <v>1</v>
      </c>
      <c r="E183" s="92">
        <v>0.25</v>
      </c>
      <c r="F183" s="32">
        <f>ROUND(Costs!$B$3*B183+Costs!$B$4*C183+Costs!$B$5*D183+Costs!$B$6*E183,2)</f>
        <v>107.89</v>
      </c>
      <c r="G183" s="32" t="str">
        <f>Costs!$B$62</f>
        <v xml:space="preserve"> </v>
      </c>
      <c r="H183" s="32">
        <f>Costs!$B$19</f>
        <v>4.4000000000000004</v>
      </c>
      <c r="I183" s="106">
        <v>17</v>
      </c>
      <c r="J183" s="113" t="s">
        <v>677</v>
      </c>
      <c r="K183" s="94">
        <f t="shared" si="26"/>
        <v>25.5</v>
      </c>
      <c r="L183" s="93">
        <f t="shared" si="27"/>
        <v>1908.93</v>
      </c>
      <c r="M183" s="233">
        <f>(B183*Costs!$B$3)+(C183*Costs!$B$4)+(D183*Costs!$B$5)+(E183*Costs!$B$6)+(G183+H183)</f>
        <v>112.29</v>
      </c>
      <c r="O183" s="130">
        <f t="shared" si="28"/>
        <v>1834.13</v>
      </c>
      <c r="P183" s="130">
        <f t="shared" si="29"/>
        <v>0</v>
      </c>
      <c r="Q183" s="130">
        <f t="shared" si="30"/>
        <v>74.800000000000011</v>
      </c>
      <c r="R183" s="500">
        <f>ROUND((((I183)*(B183+C183+D183+E183))/(Universe!$C$6)),2)</f>
        <v>0.71</v>
      </c>
      <c r="S183" s="500" t="str">
        <f t="shared" si="31"/>
        <v>N/A</v>
      </c>
      <c r="T183" s="235">
        <v>1</v>
      </c>
      <c r="U183" s="162">
        <f t="shared" si="32"/>
        <v>0.71</v>
      </c>
      <c r="V183" s="162">
        <f t="shared" si="33"/>
        <v>0</v>
      </c>
      <c r="W183" s="162" t="str">
        <f t="shared" si="34"/>
        <v>N/A</v>
      </c>
      <c r="X183" s="162">
        <f t="shared" si="35"/>
        <v>0</v>
      </c>
      <c r="AA183" s="557">
        <f t="shared" ref="AA183:AB187" si="36">I183</f>
        <v>17</v>
      </c>
      <c r="AB183" s="557" t="str">
        <f t="shared" si="36"/>
        <v>N/A</v>
      </c>
    </row>
    <row r="184" spans="1:28" ht="30.6" x14ac:dyDescent="0.2">
      <c r="A184" s="275" t="s">
        <v>165</v>
      </c>
      <c r="B184" s="92">
        <v>1</v>
      </c>
      <c r="C184" s="92">
        <v>1</v>
      </c>
      <c r="D184" s="92">
        <v>8</v>
      </c>
      <c r="E184" s="92">
        <v>2</v>
      </c>
      <c r="F184" s="32">
        <f>ROUND(Costs!$B$3*B184+Costs!$B$4*C184+Costs!$B$5*D184+Costs!$B$6*E184,2)</f>
        <v>930.57</v>
      </c>
      <c r="G184" s="32" t="str">
        <f>Costs!$B$62</f>
        <v xml:space="preserve"> </v>
      </c>
      <c r="H184" s="32">
        <f>Costs!$B$19</f>
        <v>4.4000000000000004</v>
      </c>
      <c r="I184" s="113">
        <f>ROUND((N184*(Universe!$C$6)/3),0)</f>
        <v>3</v>
      </c>
      <c r="J184" s="113" t="s">
        <v>677</v>
      </c>
      <c r="K184" s="94">
        <f t="shared" si="26"/>
        <v>36</v>
      </c>
      <c r="L184" s="93">
        <f t="shared" si="27"/>
        <v>2804.91</v>
      </c>
      <c r="M184" s="233">
        <f>(B184*Costs!$B$3)+(C184*Costs!$B$4)+(D184*Costs!$B$5)+(E184*Costs!$B$6)+(G184+H184)</f>
        <v>934.97</v>
      </c>
      <c r="N184" s="235">
        <v>0.25</v>
      </c>
      <c r="O184" s="130">
        <f t="shared" si="28"/>
        <v>2791.71</v>
      </c>
      <c r="P184" s="130">
        <f t="shared" si="29"/>
        <v>0</v>
      </c>
      <c r="Q184" s="130">
        <f t="shared" si="30"/>
        <v>13.200000000000001</v>
      </c>
      <c r="R184" s="500">
        <f>ROUND((((I184)*(B184+C184+D184+E184))/(Universe!$C$6)),2)</f>
        <v>1</v>
      </c>
      <c r="S184" s="500" t="str">
        <f t="shared" si="31"/>
        <v>N/A</v>
      </c>
      <c r="T184" s="235">
        <v>1</v>
      </c>
      <c r="U184" s="162">
        <f t="shared" si="32"/>
        <v>1</v>
      </c>
      <c r="V184" s="162">
        <f t="shared" si="33"/>
        <v>0</v>
      </c>
      <c r="W184" s="162" t="str">
        <f t="shared" si="34"/>
        <v>N/A</v>
      </c>
      <c r="X184" s="162">
        <f t="shared" si="35"/>
        <v>0</v>
      </c>
      <c r="AA184" s="557">
        <f t="shared" si="36"/>
        <v>3</v>
      </c>
      <c r="AB184" s="557" t="str">
        <f t="shared" si="36"/>
        <v>N/A</v>
      </c>
    </row>
    <row r="185" spans="1:28" ht="20.399999999999999" x14ac:dyDescent="0.2">
      <c r="A185" s="275" t="s">
        <v>166</v>
      </c>
      <c r="B185" s="92">
        <v>0</v>
      </c>
      <c r="C185" s="92">
        <v>0.25</v>
      </c>
      <c r="D185" s="92">
        <v>1</v>
      </c>
      <c r="E185" s="92">
        <v>0.25</v>
      </c>
      <c r="F185" s="32">
        <f>ROUND(Costs!$B$3*B185+Costs!$B$4*C185+Costs!$B$5*D185+Costs!$B$6*E185,2)</f>
        <v>107.89</v>
      </c>
      <c r="G185" s="32" t="str">
        <f>Costs!$B$62</f>
        <v xml:space="preserve"> </v>
      </c>
      <c r="H185" s="32">
        <f>Costs!$B$19</f>
        <v>4.4000000000000004</v>
      </c>
      <c r="I185" s="106">
        <v>12</v>
      </c>
      <c r="J185" s="113" t="s">
        <v>677</v>
      </c>
      <c r="K185" s="94">
        <f t="shared" si="26"/>
        <v>18</v>
      </c>
      <c r="L185" s="93">
        <f t="shared" si="27"/>
        <v>1347.48</v>
      </c>
      <c r="M185" s="233">
        <f>(B185*Costs!$B$3)+(C185*Costs!$B$4)+(D185*Costs!$B$5)+(E185*Costs!$B$6)+(G185+H185)</f>
        <v>112.29</v>
      </c>
      <c r="N185" s="235">
        <v>0.25</v>
      </c>
      <c r="O185" s="130">
        <f t="shared" si="28"/>
        <v>1294.68</v>
      </c>
      <c r="P185" s="130">
        <f t="shared" si="29"/>
        <v>0</v>
      </c>
      <c r="Q185" s="130">
        <f t="shared" si="30"/>
        <v>52.800000000000004</v>
      </c>
      <c r="R185" s="500">
        <f>ROUND((((I185)*(B185+C185+D185+E185))/(Universe!$C$6)),2)</f>
        <v>0.5</v>
      </c>
      <c r="S185" s="500" t="str">
        <f t="shared" si="31"/>
        <v>N/A</v>
      </c>
      <c r="T185" s="235">
        <v>1</v>
      </c>
      <c r="U185" s="162">
        <f t="shared" si="32"/>
        <v>0.5</v>
      </c>
      <c r="V185" s="162">
        <f t="shared" si="33"/>
        <v>0</v>
      </c>
      <c r="W185" s="162" t="str">
        <f t="shared" si="34"/>
        <v>N/A</v>
      </c>
      <c r="X185" s="162">
        <f t="shared" si="35"/>
        <v>0</v>
      </c>
      <c r="AA185" s="557">
        <f t="shared" si="36"/>
        <v>12</v>
      </c>
      <c r="AB185" s="557" t="str">
        <f t="shared" si="36"/>
        <v>N/A</v>
      </c>
    </row>
    <row r="186" spans="1:28" x14ac:dyDescent="0.2">
      <c r="A186" s="275" t="s">
        <v>112</v>
      </c>
      <c r="B186" s="92">
        <v>5</v>
      </c>
      <c r="C186" s="92">
        <v>15</v>
      </c>
      <c r="D186" s="92">
        <v>80</v>
      </c>
      <c r="E186" s="92">
        <v>12</v>
      </c>
      <c r="F186" s="32">
        <f>ROUND(Costs!$B$3*B186+Costs!$B$4*C186+Costs!$B$5*D186+Costs!$B$6*E186,2)</f>
        <v>8619.09</v>
      </c>
      <c r="G186" s="32" t="str">
        <f>Costs!$B$62</f>
        <v xml:space="preserve"> </v>
      </c>
      <c r="H186" s="93">
        <f>Costs!B58</f>
        <v>30800</v>
      </c>
      <c r="I186" s="113">
        <v>12</v>
      </c>
      <c r="J186" s="113" t="s">
        <v>677</v>
      </c>
      <c r="K186" s="94">
        <f t="shared" si="26"/>
        <v>1344</v>
      </c>
      <c r="L186" s="93">
        <f t="shared" si="27"/>
        <v>473029.07999999996</v>
      </c>
      <c r="M186" s="233">
        <f>(B186*Costs!$B$3)+(C186*Costs!$B$4)+(D186*Costs!$B$5)+(E186*Costs!$B$6)+(G186+H186)</f>
        <v>39419.089999999997</v>
      </c>
      <c r="O186" s="130">
        <f t="shared" si="28"/>
        <v>103429.08</v>
      </c>
      <c r="P186" s="130">
        <f t="shared" si="29"/>
        <v>0</v>
      </c>
      <c r="Q186" s="130">
        <f t="shared" si="30"/>
        <v>369600</v>
      </c>
      <c r="R186" s="500">
        <f>ROUND((((I186)*(B186+C186+D186+E186))/(Universe!$C$6)),2)</f>
        <v>37.33</v>
      </c>
      <c r="S186" s="500" t="str">
        <f t="shared" si="31"/>
        <v>N/A</v>
      </c>
      <c r="T186" s="235">
        <v>1</v>
      </c>
      <c r="U186" s="162">
        <f t="shared" si="32"/>
        <v>37.33</v>
      </c>
      <c r="V186" s="162">
        <f t="shared" si="33"/>
        <v>0</v>
      </c>
      <c r="W186" s="162" t="str">
        <f t="shared" si="34"/>
        <v>N/A</v>
      </c>
      <c r="X186" s="162">
        <f t="shared" si="35"/>
        <v>0</v>
      </c>
      <c r="AA186" s="557">
        <f t="shared" si="36"/>
        <v>12</v>
      </c>
      <c r="AB186" s="557" t="str">
        <f t="shared" si="36"/>
        <v>N/A</v>
      </c>
    </row>
    <row r="187" spans="1:28" ht="20.399999999999999" x14ac:dyDescent="0.2">
      <c r="A187" s="275" t="s">
        <v>167</v>
      </c>
      <c r="B187" s="92">
        <v>0</v>
      </c>
      <c r="C187" s="92">
        <v>0.25</v>
      </c>
      <c r="D187" s="92">
        <v>1</v>
      </c>
      <c r="E187" s="92">
        <v>0.25</v>
      </c>
      <c r="F187" s="32">
        <f>ROUND(Costs!$B$3*B187+Costs!$B$4*C187+Costs!$B$5*D187+Costs!$B$6*E187,2)</f>
        <v>107.89</v>
      </c>
      <c r="G187" s="32" t="str">
        <f>Costs!$B$62</f>
        <v xml:space="preserve"> </v>
      </c>
      <c r="H187" s="93">
        <f>Costs!$B$16</f>
        <v>0</v>
      </c>
      <c r="I187" s="106">
        <f>I186</f>
        <v>12</v>
      </c>
      <c r="J187" s="113" t="s">
        <v>677</v>
      </c>
      <c r="K187" s="94">
        <f t="shared" si="26"/>
        <v>18</v>
      </c>
      <c r="L187" s="93">
        <f t="shared" si="27"/>
        <v>1294.68</v>
      </c>
      <c r="M187" s="233">
        <f>(B187*Costs!$B$3)+(C187*Costs!$B$4)+(D187*Costs!$B$5)+(E187*Costs!$B$6)+(G187+H187)</f>
        <v>107.89</v>
      </c>
      <c r="O187" s="130">
        <f t="shared" si="28"/>
        <v>1294.68</v>
      </c>
      <c r="P187" s="130">
        <f t="shared" si="29"/>
        <v>0</v>
      </c>
      <c r="Q187" s="130">
        <f t="shared" si="30"/>
        <v>0</v>
      </c>
      <c r="R187" s="500">
        <f>ROUND((((I187)*(B187+C187+D187+E187))/(Universe!$C$6)),2)</f>
        <v>0.5</v>
      </c>
      <c r="S187" s="500" t="str">
        <f t="shared" si="31"/>
        <v>N/A</v>
      </c>
      <c r="T187" s="235">
        <v>1</v>
      </c>
      <c r="U187" s="162">
        <f t="shared" si="32"/>
        <v>0.5</v>
      </c>
      <c r="V187" s="162">
        <f t="shared" si="33"/>
        <v>0</v>
      </c>
      <c r="W187" s="162" t="str">
        <f t="shared" si="34"/>
        <v>N/A</v>
      </c>
      <c r="X187" s="162">
        <f t="shared" si="35"/>
        <v>0</v>
      </c>
      <c r="AA187" s="557">
        <f t="shared" si="36"/>
        <v>12</v>
      </c>
      <c r="AB187" s="557" t="str">
        <f t="shared" si="36"/>
        <v>N/A</v>
      </c>
    </row>
    <row r="188" spans="1:28" x14ac:dyDescent="0.2">
      <c r="A188" s="275" t="s">
        <v>113</v>
      </c>
      <c r="B188" s="92">
        <v>0</v>
      </c>
      <c r="C188" s="92">
        <v>0</v>
      </c>
      <c r="D188" s="92">
        <v>1</v>
      </c>
      <c r="E188" s="92">
        <v>0.5</v>
      </c>
      <c r="F188" s="32">
        <f>ROUND(Costs!$B$3*B188+Costs!$B$4*C188+Costs!$B$5*D188+Costs!$B$6*E188,2)</f>
        <v>94.45</v>
      </c>
      <c r="G188" s="32" t="str">
        <f>Costs!$B$62</f>
        <v xml:space="preserve"> </v>
      </c>
      <c r="H188" s="93">
        <f>Costs!$B$16</f>
        <v>0</v>
      </c>
      <c r="I188" s="106">
        <f>I186</f>
        <v>12</v>
      </c>
      <c r="J188" s="113" t="s">
        <v>677</v>
      </c>
      <c r="K188" s="94">
        <f t="shared" si="26"/>
        <v>18</v>
      </c>
      <c r="L188" s="93">
        <f t="shared" si="27"/>
        <v>1133.4000000000001</v>
      </c>
      <c r="M188" s="233">
        <f>(B188*Costs!$B$3)+(C188*Costs!$B$4)+(D188*Costs!$B$5)+(E188*Costs!$B$6)+(G188+H188)</f>
        <v>94.444999999999993</v>
      </c>
      <c r="O188" s="130">
        <f t="shared" si="28"/>
        <v>1133.4000000000001</v>
      </c>
      <c r="P188" s="130">
        <f t="shared" si="29"/>
        <v>0</v>
      </c>
      <c r="Q188" s="130">
        <f t="shared" si="30"/>
        <v>0</v>
      </c>
      <c r="R188" s="500">
        <f>ROUND((((I188)*(B188+C188+D188+E188))/(Universe!$C$6)),2)</f>
        <v>0.5</v>
      </c>
      <c r="S188" s="500" t="str">
        <f t="shared" si="31"/>
        <v>N/A</v>
      </c>
      <c r="T188" s="235">
        <v>1</v>
      </c>
      <c r="U188" s="162">
        <f t="shared" si="32"/>
        <v>0.5</v>
      </c>
      <c r="V188" s="162">
        <f t="shared" si="33"/>
        <v>0</v>
      </c>
      <c r="W188" s="162" t="str">
        <f t="shared" si="34"/>
        <v>N/A</v>
      </c>
      <c r="X188" s="162">
        <f t="shared" si="35"/>
        <v>0</v>
      </c>
    </row>
    <row r="189" spans="1:28" x14ac:dyDescent="0.2">
      <c r="A189" s="275" t="s">
        <v>109</v>
      </c>
      <c r="B189" s="92">
        <v>0</v>
      </c>
      <c r="C189" s="92">
        <v>0.25</v>
      </c>
      <c r="D189" s="92">
        <v>1</v>
      </c>
      <c r="E189" s="92">
        <v>0.25</v>
      </c>
      <c r="F189" s="32">
        <f>ROUND(Costs!$B$3*B189+Costs!$B$4*C189+Costs!$B$5*D189+Costs!$B$6*E189,2)</f>
        <v>107.89</v>
      </c>
      <c r="G189" s="32" t="str">
        <f>Costs!$B$62</f>
        <v xml:space="preserve"> </v>
      </c>
      <c r="H189" s="32">
        <f>Costs!$B$19</f>
        <v>4.4000000000000004</v>
      </c>
      <c r="I189" s="106">
        <f>I186</f>
        <v>12</v>
      </c>
      <c r="J189" s="113" t="s">
        <v>677</v>
      </c>
      <c r="K189" s="94">
        <f t="shared" si="26"/>
        <v>18</v>
      </c>
      <c r="L189" s="93">
        <f t="shared" si="27"/>
        <v>1347.48</v>
      </c>
      <c r="M189" s="233">
        <f>(B189*Costs!$B$3)+(C189*Costs!$B$4)+(D189*Costs!$B$5)+(E189*Costs!$B$6)+(G189+H189)</f>
        <v>112.29</v>
      </c>
      <c r="O189" s="130">
        <f t="shared" si="28"/>
        <v>1294.68</v>
      </c>
      <c r="P189" s="130">
        <f t="shared" si="29"/>
        <v>0</v>
      </c>
      <c r="Q189" s="130">
        <f t="shared" si="30"/>
        <v>52.800000000000004</v>
      </c>
      <c r="R189" s="500">
        <f>ROUND((((I189)*(B189+C189+D189+E189))/(Universe!$C$6)),2)</f>
        <v>0.5</v>
      </c>
      <c r="S189" s="500" t="str">
        <f t="shared" si="31"/>
        <v>N/A</v>
      </c>
      <c r="T189" s="235">
        <v>1</v>
      </c>
      <c r="U189" s="162">
        <f t="shared" si="32"/>
        <v>0.5</v>
      </c>
      <c r="V189" s="162">
        <f t="shared" si="33"/>
        <v>0</v>
      </c>
      <c r="W189" s="162" t="str">
        <f t="shared" si="34"/>
        <v>N/A</v>
      </c>
      <c r="X189" s="162">
        <f t="shared" si="35"/>
        <v>0</v>
      </c>
      <c r="AA189" s="557">
        <f>I189</f>
        <v>12</v>
      </c>
      <c r="AB189" s="557" t="str">
        <f>J189</f>
        <v>N/A</v>
      </c>
    </row>
    <row r="190" spans="1:28" x14ac:dyDescent="0.2">
      <c r="A190" s="275" t="s">
        <v>114</v>
      </c>
      <c r="B190" s="92">
        <v>0</v>
      </c>
      <c r="C190" s="92">
        <v>0</v>
      </c>
      <c r="D190" s="92">
        <v>0</v>
      </c>
      <c r="E190" s="92">
        <v>0.1</v>
      </c>
      <c r="F190" s="32">
        <f>ROUND(Costs!$B$3*B190+Costs!$B$4*C190+Costs!$B$5*D190+Costs!$B$6*E190,2)</f>
        <v>4.37</v>
      </c>
      <c r="G190" s="32" t="str">
        <f>Costs!$B$62</f>
        <v xml:space="preserve"> </v>
      </c>
      <c r="H190" s="32">
        <f>Costs!$B$19</f>
        <v>4.4000000000000004</v>
      </c>
      <c r="I190" s="106">
        <f>I182</f>
        <v>17</v>
      </c>
      <c r="J190" s="113" t="s">
        <v>677</v>
      </c>
      <c r="K190" s="94">
        <f t="shared" si="26"/>
        <v>1.7</v>
      </c>
      <c r="L190" s="93">
        <f t="shared" si="27"/>
        <v>149.09</v>
      </c>
      <c r="M190" s="233">
        <f>(B190*Costs!$B$3)+(C190*Costs!$B$4)+(D190*Costs!$B$5)+(E190*Costs!$B$6)+(G190+H190)</f>
        <v>8.7669999999999995</v>
      </c>
      <c r="O190" s="130">
        <f t="shared" si="28"/>
        <v>74.290000000000006</v>
      </c>
      <c r="P190" s="130">
        <f t="shared" si="29"/>
        <v>0</v>
      </c>
      <c r="Q190" s="130">
        <f t="shared" si="30"/>
        <v>74.800000000000011</v>
      </c>
      <c r="R190" s="500">
        <f>ROUND((((I190)*(B190+C190+D190+E190))/(Universe!$C$6)),2)</f>
        <v>0.05</v>
      </c>
      <c r="S190" s="500" t="str">
        <f t="shared" si="31"/>
        <v>N/A</v>
      </c>
      <c r="T190" s="235">
        <v>2</v>
      </c>
      <c r="U190" s="162">
        <f t="shared" si="32"/>
        <v>0</v>
      </c>
      <c r="V190" s="162">
        <f t="shared" si="33"/>
        <v>0.05</v>
      </c>
      <c r="W190" s="162">
        <f t="shared" si="34"/>
        <v>0</v>
      </c>
      <c r="X190" s="162" t="str">
        <f t="shared" si="35"/>
        <v>N/A</v>
      </c>
    </row>
    <row r="191" spans="1:28" ht="20.399999999999999" x14ac:dyDescent="0.2">
      <c r="A191" s="275" t="s">
        <v>168</v>
      </c>
      <c r="B191" s="92">
        <v>0</v>
      </c>
      <c r="C191" s="92">
        <v>0</v>
      </c>
      <c r="D191" s="92">
        <v>2</v>
      </c>
      <c r="E191" s="92">
        <v>0</v>
      </c>
      <c r="F191" s="32">
        <f>ROUND(Costs!$B$3*B191+Costs!$B$4*C191+Costs!$B$5*D191+Costs!$B$6*E191,2)</f>
        <v>145.22</v>
      </c>
      <c r="G191" s="32" t="str">
        <f>Costs!$B$62</f>
        <v xml:space="preserve"> </v>
      </c>
      <c r="H191" s="32">
        <f>Costs!$B$19</f>
        <v>4.4000000000000004</v>
      </c>
      <c r="I191" s="387">
        <v>1</v>
      </c>
      <c r="J191" s="113" t="s">
        <v>677</v>
      </c>
      <c r="K191" s="94">
        <f t="shared" si="26"/>
        <v>2</v>
      </c>
      <c r="L191" s="93">
        <f t="shared" si="27"/>
        <v>149.62</v>
      </c>
      <c r="M191" s="233">
        <f>(B191*Costs!$B$3)+(C191*Costs!$B$4)+(D191*Costs!$B$5)+(E191*Costs!$B$6)+(G191+H191)</f>
        <v>149.62</v>
      </c>
      <c r="O191" s="130">
        <f t="shared" si="28"/>
        <v>145.22</v>
      </c>
      <c r="P191" s="130">
        <f t="shared" si="29"/>
        <v>0</v>
      </c>
      <c r="Q191" s="130">
        <f t="shared" si="30"/>
        <v>4.4000000000000004</v>
      </c>
      <c r="R191" s="500">
        <f>ROUND((((I191)*(B191+C191+D191+E191))/(Universe!$C$6)),2)</f>
        <v>0.06</v>
      </c>
      <c r="S191" s="500" t="str">
        <f t="shared" si="31"/>
        <v>N/A</v>
      </c>
      <c r="T191" s="235">
        <v>1</v>
      </c>
      <c r="U191" s="162">
        <f t="shared" si="32"/>
        <v>0.06</v>
      </c>
      <c r="V191" s="162">
        <f t="shared" si="33"/>
        <v>0</v>
      </c>
      <c r="W191" s="162" t="str">
        <f t="shared" si="34"/>
        <v>N/A</v>
      </c>
      <c r="X191" s="162">
        <f t="shared" si="35"/>
        <v>0</v>
      </c>
    </row>
    <row r="192" spans="1:28" x14ac:dyDescent="0.2">
      <c r="A192" s="255" t="s">
        <v>484</v>
      </c>
      <c r="B192" s="256"/>
      <c r="C192" s="263"/>
      <c r="D192" s="263"/>
      <c r="E192" s="263"/>
      <c r="F192" s="264"/>
      <c r="G192" s="264"/>
      <c r="H192" s="264"/>
      <c r="I192" s="314"/>
      <c r="J192" s="315"/>
      <c r="K192" s="259"/>
      <c r="L192" s="260"/>
      <c r="M192" s="234"/>
      <c r="O192" s="130"/>
      <c r="P192" s="232"/>
      <c r="Q192" s="232"/>
      <c r="R192" s="500">
        <f>ROUND((((I192)*(B192+C192+D192+E192))/(Universe!$C$6)),2)</f>
        <v>0</v>
      </c>
    </row>
    <row r="193" spans="1:29" x14ac:dyDescent="0.2">
      <c r="A193" s="275" t="s">
        <v>610</v>
      </c>
      <c r="B193" s="92">
        <v>0.5</v>
      </c>
      <c r="C193" s="92">
        <v>0.1</v>
      </c>
      <c r="D193" s="92">
        <v>0.15</v>
      </c>
      <c r="E193" s="92">
        <v>0</v>
      </c>
      <c r="F193" s="32">
        <f>ROUND(Costs!$B$3*B193+Costs!$B$4*C193+Costs!$B$5*D193+Costs!$B$6*E193,2)</f>
        <v>103.09</v>
      </c>
      <c r="G193" s="32" t="str">
        <f>Costs!$B$62</f>
        <v xml:space="preserve"> </v>
      </c>
      <c r="H193" s="93">
        <f>Costs!$B$16</f>
        <v>0</v>
      </c>
      <c r="I193" s="106">
        <f>(N193*I186)</f>
        <v>3</v>
      </c>
      <c r="J193" s="113" t="s">
        <v>677</v>
      </c>
      <c r="K193" s="94">
        <f>ROUND((I193+J193)*(B193+C193+D193+E193),2)</f>
        <v>2.25</v>
      </c>
      <c r="L193" s="93">
        <f>(I193+J193)*(F193+G193+H193)</f>
        <v>309.27</v>
      </c>
      <c r="M193" s="233">
        <f>(B193*Costs!$B$3)+(C193*Costs!$B$4)+(D193*Costs!$B$5)+(E193*Costs!$B$6)+(G193+H193)</f>
        <v>103.0865</v>
      </c>
      <c r="N193" s="235">
        <v>0.25</v>
      </c>
      <c r="O193" s="130">
        <f>F193*(I193+J193)</f>
        <v>309.27</v>
      </c>
      <c r="P193" s="130">
        <f>G193*(I193+J193)</f>
        <v>0</v>
      </c>
      <c r="Q193" s="130">
        <f>H193*(I193+J193)</f>
        <v>0</v>
      </c>
      <c r="R193" s="500">
        <f>ROUND((((I193)*(B193+C193+D193+E193))/(Universe!$C$6)),2)</f>
        <v>0.06</v>
      </c>
      <c r="S193" s="500" t="str">
        <f>J193</f>
        <v>N/A</v>
      </c>
      <c r="T193" s="235">
        <v>2</v>
      </c>
      <c r="U193" s="162">
        <f>IF(T193=1,R193,0)</f>
        <v>0</v>
      </c>
      <c r="V193" s="162">
        <f>IF(T193=2,R193,0)</f>
        <v>0.06</v>
      </c>
      <c r="W193" s="162">
        <f>IF(T193=1,S193,0)</f>
        <v>0</v>
      </c>
      <c r="X193" s="162" t="str">
        <f>IF(T193=2,S193,0)</f>
        <v>N/A</v>
      </c>
    </row>
    <row r="194" spans="1:29" x14ac:dyDescent="0.2">
      <c r="A194" s="275" t="s">
        <v>115</v>
      </c>
      <c r="B194" s="92">
        <v>1</v>
      </c>
      <c r="C194" s="92">
        <v>0.5</v>
      </c>
      <c r="D194" s="92">
        <v>6</v>
      </c>
      <c r="E194" s="92">
        <v>1</v>
      </c>
      <c r="F194" s="32">
        <f>ROUND(Costs!$B$3*B194+Costs!$B$4*C194+Costs!$B$5*D194+Costs!$B$6*E194,2)</f>
        <v>692.96</v>
      </c>
      <c r="G194" s="32" t="str">
        <f>Costs!$B$62</f>
        <v xml:space="preserve"> </v>
      </c>
      <c r="H194" s="32">
        <f>Costs!$B$19</f>
        <v>4.4000000000000004</v>
      </c>
      <c r="I194" s="106">
        <f>(N194*I186)</f>
        <v>3</v>
      </c>
      <c r="J194" s="113" t="s">
        <v>677</v>
      </c>
      <c r="K194" s="94">
        <f>ROUND((I194+J194)*(B194+C194+D194+E194),2)</f>
        <v>25.5</v>
      </c>
      <c r="L194" s="93">
        <f>(I194+J194)*(F194+G194+H194)</f>
        <v>2092.08</v>
      </c>
      <c r="M194" s="233">
        <f>(B194*Costs!$B$3)+(C194*Costs!$B$4)+(D194*Costs!$B$5)+(E194*Costs!$B$6)+(G194+H194)</f>
        <v>697.3549999999999</v>
      </c>
      <c r="N194" s="235">
        <v>0.25</v>
      </c>
      <c r="O194" s="130">
        <f>F194*(I194+J194)</f>
        <v>2078.88</v>
      </c>
      <c r="P194" s="130">
        <f>G194*(I194+J194)</f>
        <v>0</v>
      </c>
      <c r="Q194" s="130">
        <f>H194*(I194+J194)</f>
        <v>13.200000000000001</v>
      </c>
      <c r="R194" s="500">
        <f>ROUND((((I194)*(B194+C194+D194+E194))/(Universe!$C$6)),2)</f>
        <v>0.71</v>
      </c>
      <c r="S194" s="500" t="str">
        <f>J194</f>
        <v>N/A</v>
      </c>
      <c r="T194" s="235">
        <v>1</v>
      </c>
      <c r="U194" s="162">
        <f>IF(T194=1,R194,0)</f>
        <v>0.71</v>
      </c>
      <c r="V194" s="162">
        <f>IF(T194=2,R194,0)</f>
        <v>0</v>
      </c>
      <c r="W194" s="162" t="str">
        <f>IF(T194=1,S194,0)</f>
        <v>N/A</v>
      </c>
      <c r="X194" s="162">
        <f>IF(T194=2,S194,0)</f>
        <v>0</v>
      </c>
      <c r="AA194" s="557">
        <f>I194</f>
        <v>3</v>
      </c>
      <c r="AB194" s="557" t="str">
        <f>J194</f>
        <v>N/A</v>
      </c>
    </row>
    <row r="195" spans="1:29" ht="10.8" thickBot="1" x14ac:dyDescent="0.25">
      <c r="A195" s="281" t="s">
        <v>116</v>
      </c>
      <c r="B195" s="282">
        <v>0</v>
      </c>
      <c r="C195" s="282">
        <v>0.25</v>
      </c>
      <c r="D195" s="282">
        <v>1</v>
      </c>
      <c r="E195" s="282">
        <v>0.25</v>
      </c>
      <c r="F195" s="191">
        <f>ROUND(Costs!$B$3*B195+Costs!$B$4*C195+Costs!$B$5*D195+Costs!$B$6*E195,2)</f>
        <v>107.89</v>
      </c>
      <c r="G195" s="191" t="str">
        <f>Costs!$B$62</f>
        <v xml:space="preserve"> </v>
      </c>
      <c r="H195" s="286">
        <f>Costs!$B$16</f>
        <v>0</v>
      </c>
      <c r="I195" s="106">
        <f>(N195*I186)</f>
        <v>3</v>
      </c>
      <c r="J195" s="113" t="s">
        <v>677</v>
      </c>
      <c r="K195" s="285">
        <f>ROUND((I195+J195)*(B195+C195+D195+E195),2)</f>
        <v>4.5</v>
      </c>
      <c r="L195" s="286">
        <f>(I195+J195)*(F195+G195+H195)</f>
        <v>323.67</v>
      </c>
      <c r="M195" s="233">
        <f>(B195*Costs!$B$3)+(C195*Costs!$B$4)+(D195*Costs!$B$5)+(E195*Costs!$B$6)+(G195+H195)</f>
        <v>107.89</v>
      </c>
      <c r="N195" s="235">
        <v>0.25</v>
      </c>
      <c r="O195" s="130">
        <f>F195*(I195+J195)</f>
        <v>323.67</v>
      </c>
      <c r="P195" s="130">
        <f>G195*(I195+J195)</f>
        <v>0</v>
      </c>
      <c r="Q195" s="130">
        <f>H195*(I195+J195)</f>
        <v>0</v>
      </c>
      <c r="R195" s="500">
        <f>ROUND((((I195)*(B195+C195+D195+E195))/(Universe!$C$6)),2)</f>
        <v>0.13</v>
      </c>
      <c r="S195" s="500" t="str">
        <f>J195</f>
        <v>N/A</v>
      </c>
      <c r="T195" s="235">
        <v>1</v>
      </c>
      <c r="U195" s="162">
        <f>IF(T195=1,R195,0)</f>
        <v>0.13</v>
      </c>
      <c r="V195" s="162">
        <f>IF(T195=2,R195,0)</f>
        <v>0</v>
      </c>
      <c r="W195" s="162" t="str">
        <f>IF(T195=1,S195,0)</f>
        <v>N/A</v>
      </c>
      <c r="X195" s="162">
        <f>IF(T195=2,S195,0)</f>
        <v>0</v>
      </c>
      <c r="AA195" s="557">
        <f>I195</f>
        <v>3</v>
      </c>
      <c r="AB195" s="557" t="str">
        <f>J195</f>
        <v>N/A</v>
      </c>
    </row>
    <row r="196" spans="1:29" ht="10.8" thickBot="1" x14ac:dyDescent="0.25">
      <c r="A196" s="305" t="s">
        <v>596</v>
      </c>
      <c r="B196" s="324" t="s">
        <v>597</v>
      </c>
      <c r="C196" s="324" t="s">
        <v>597</v>
      </c>
      <c r="D196" s="324" t="s">
        <v>597</v>
      </c>
      <c r="E196" s="324" t="s">
        <v>597</v>
      </c>
      <c r="F196" s="324" t="s">
        <v>597</v>
      </c>
      <c r="G196" s="324" t="s">
        <v>597</v>
      </c>
      <c r="H196" s="324" t="s">
        <v>597</v>
      </c>
      <c r="I196" s="324" t="s">
        <v>597</v>
      </c>
      <c r="J196" s="324" t="s">
        <v>597</v>
      </c>
      <c r="K196" s="304">
        <f>SUM(K174:K195)</f>
        <v>1673.8500000000001</v>
      </c>
      <c r="L196" s="294">
        <f>SUM(L174:L195)</f>
        <v>501604.87</v>
      </c>
      <c r="M196" s="233">
        <f>SUM(M174:M195)</f>
        <v>44692.207000000002</v>
      </c>
      <c r="O196" s="304">
        <f>SUM(O174:O195)</f>
        <v>131666.07</v>
      </c>
      <c r="P196" s="304">
        <f>SUM(P174:P195)</f>
        <v>0</v>
      </c>
      <c r="Q196" s="304">
        <f>SUM(Q174:Q195)</f>
        <v>369938.8</v>
      </c>
      <c r="R196" s="498"/>
      <c r="U196" s="304">
        <f>SUM(U174:U195)</f>
        <v>44.330000000000005</v>
      </c>
      <c r="V196" s="304">
        <f>SUM(V174:V195)</f>
        <v>2.1799999999999997</v>
      </c>
      <c r="W196" s="304">
        <f>SUM(W174:W195)</f>
        <v>0</v>
      </c>
      <c r="X196" s="304">
        <f>SUM(X174:X195)</f>
        <v>0</v>
      </c>
    </row>
    <row r="197" spans="1:29" x14ac:dyDescent="0.2">
      <c r="A197" s="297" t="s">
        <v>485</v>
      </c>
      <c r="B197" s="298"/>
      <c r="C197" s="333"/>
      <c r="D197" s="333"/>
      <c r="E197" s="333"/>
      <c r="F197" s="334"/>
      <c r="G197" s="334"/>
      <c r="H197" s="334"/>
      <c r="I197" s="346"/>
      <c r="J197" s="336"/>
      <c r="K197" s="337"/>
      <c r="L197" s="338"/>
      <c r="M197" s="234"/>
      <c r="O197" s="232"/>
      <c r="P197" s="232"/>
      <c r="Q197" s="232"/>
      <c r="R197" s="498"/>
    </row>
    <row r="198" spans="1:29" x14ac:dyDescent="0.2">
      <c r="A198" s="275" t="s">
        <v>610</v>
      </c>
      <c r="B198" s="92">
        <v>0.5</v>
      </c>
      <c r="C198" s="92">
        <v>0.1</v>
      </c>
      <c r="D198" s="92">
        <v>0.15</v>
      </c>
      <c r="E198" s="92">
        <v>0</v>
      </c>
      <c r="F198" s="32">
        <f>ROUND(Costs!$B$3*B198+Costs!$B$4*C198+Costs!$B$5*D198+Costs!$B$6*E198,2)</f>
        <v>103.09</v>
      </c>
      <c r="G198" s="32" t="str">
        <f>Costs!$B$62</f>
        <v xml:space="preserve"> </v>
      </c>
      <c r="H198" s="93">
        <f>Costs!$B$16</f>
        <v>0</v>
      </c>
      <c r="I198" s="106">
        <f>ROUND((N198*Universe!$C$9),0)</f>
        <v>0</v>
      </c>
      <c r="J198" s="113" t="s">
        <v>677</v>
      </c>
      <c r="K198" s="94">
        <f>ROUND((I198+J198)*(B198+C198+D198+E198),2)</f>
        <v>0</v>
      </c>
      <c r="L198" s="93">
        <f>(I198+J198)*(F198+G198+H198)</f>
        <v>0</v>
      </c>
      <c r="M198" s="233">
        <f>(B198*Costs!$B$3)+(C198*Costs!$B$4)+(D198*Costs!$B$5)+(E198*Costs!$B$6)+(G198+H198)</f>
        <v>103.0865</v>
      </c>
      <c r="N198" s="235">
        <v>0</v>
      </c>
      <c r="O198" s="130">
        <f>F198*(I198+J198)</f>
        <v>0</v>
      </c>
      <c r="P198" s="130">
        <f>G198*(I198+J198)</f>
        <v>0</v>
      </c>
      <c r="Q198" s="130">
        <f>H198*(I198+J198)</f>
        <v>0</v>
      </c>
      <c r="R198" s="500">
        <f>ROUND((((I198)*(B198+C198+D198+E198))/(Universe!$C$6)),2)</f>
        <v>0</v>
      </c>
      <c r="S198" s="500" t="str">
        <f>J198</f>
        <v>N/A</v>
      </c>
      <c r="T198" s="235">
        <v>2</v>
      </c>
      <c r="U198" s="162">
        <f>IF(T198=1,R198,0)</f>
        <v>0</v>
      </c>
      <c r="V198" s="162">
        <f>IF(T198=2,R198,0)</f>
        <v>0</v>
      </c>
      <c r="W198" s="162">
        <f>IF(T198=1,S198,0)</f>
        <v>0</v>
      </c>
      <c r="X198" s="162" t="str">
        <f>IF(T198=2,S198,0)</f>
        <v>N/A</v>
      </c>
    </row>
    <row r="199" spans="1:29" ht="10.8" thickBot="1" x14ac:dyDescent="0.25">
      <c r="A199" s="281" t="s">
        <v>117</v>
      </c>
      <c r="B199" s="282">
        <v>5</v>
      </c>
      <c r="C199" s="282">
        <v>15</v>
      </c>
      <c r="D199" s="282">
        <v>80</v>
      </c>
      <c r="E199" s="282">
        <v>12</v>
      </c>
      <c r="F199" s="191">
        <f>ROUND(Costs!$B$3*B199+Costs!$B$4*C199+Costs!$B$5*D199+Costs!$B$6*E199,2)</f>
        <v>8619.09</v>
      </c>
      <c r="G199" s="191" t="str">
        <f>Costs!$B$62</f>
        <v xml:space="preserve"> </v>
      </c>
      <c r="H199" s="286">
        <f>H15+SUM(H22:H47)+SUM(H51:H72)+SUM(H75:H77)+SUM(H80:H84)</f>
        <v>63696</v>
      </c>
      <c r="I199" s="106">
        <f>ROUND((N199*Universe!$C$9),0)</f>
        <v>0</v>
      </c>
      <c r="J199" s="113" t="s">
        <v>677</v>
      </c>
      <c r="K199" s="285">
        <f>ROUND((I199+J199)*(B199+C199+D199+E199),2)</f>
        <v>0</v>
      </c>
      <c r="L199" s="286">
        <f>(I199+J199)*(F199+G199+H199)</f>
        <v>0</v>
      </c>
      <c r="M199" s="233">
        <f>(B199*Costs!$B$3)+(C199*Costs!$B$4)+(D199*Costs!$B$5)+(E199*Costs!$B$6)+(G199+H199)</f>
        <v>72315.09</v>
      </c>
      <c r="N199" s="235">
        <v>0</v>
      </c>
      <c r="O199" s="130">
        <f>F199*(I199+J199)</f>
        <v>0</v>
      </c>
      <c r="P199" s="130">
        <f>G199*(I199+J199)</f>
        <v>0</v>
      </c>
      <c r="Q199" s="130">
        <f>H199*(I199+J199)</f>
        <v>0</v>
      </c>
      <c r="R199" s="500">
        <f>ROUND((((I199)*(B199+C199+D199+E199))/(Universe!$C$6)),2)</f>
        <v>0</v>
      </c>
      <c r="S199" s="500" t="str">
        <f>J199</f>
        <v>N/A</v>
      </c>
      <c r="T199" s="235">
        <v>1</v>
      </c>
      <c r="U199" s="162">
        <f>IF(T199=1,R199,0)</f>
        <v>0</v>
      </c>
      <c r="V199" s="162">
        <f>IF(T199=2,R199,0)</f>
        <v>0</v>
      </c>
      <c r="W199" s="162" t="str">
        <f>IF(T199=1,S199,0)</f>
        <v>N/A</v>
      </c>
      <c r="X199" s="162">
        <f>IF(T199=2,S199,0)</f>
        <v>0</v>
      </c>
      <c r="AA199" s="557">
        <f>I199</f>
        <v>0</v>
      </c>
      <c r="AB199" s="557" t="str">
        <f>J199</f>
        <v>N/A</v>
      </c>
    </row>
    <row r="200" spans="1:29" ht="10.8" thickBot="1" x14ac:dyDescent="0.25">
      <c r="A200" s="305" t="s">
        <v>596</v>
      </c>
      <c r="B200" s="324" t="s">
        <v>597</v>
      </c>
      <c r="C200" s="324" t="s">
        <v>597</v>
      </c>
      <c r="D200" s="324" t="s">
        <v>597</v>
      </c>
      <c r="E200" s="324" t="s">
        <v>597</v>
      </c>
      <c r="F200" s="324" t="s">
        <v>597</v>
      </c>
      <c r="G200" s="324" t="s">
        <v>597</v>
      </c>
      <c r="H200" s="324" t="s">
        <v>597</v>
      </c>
      <c r="I200" s="324" t="s">
        <v>597</v>
      </c>
      <c r="J200" s="324" t="s">
        <v>597</v>
      </c>
      <c r="K200" s="304">
        <f>SUM(K198:K199)</f>
        <v>0</v>
      </c>
      <c r="L200" s="294">
        <f>SUM(L198:L199)</f>
        <v>0</v>
      </c>
      <c r="M200" s="233">
        <f>SUM(M198:M199)</f>
        <v>72418.176500000001</v>
      </c>
      <c r="O200" s="304">
        <f>SUM(O198:O199)</f>
        <v>0</v>
      </c>
      <c r="P200" s="304">
        <f>SUM(P198:P199)</f>
        <v>0</v>
      </c>
      <c r="Q200" s="304">
        <f>SUM(Q198:Q199)</f>
        <v>0</v>
      </c>
      <c r="U200" s="304">
        <f>SUM(U198:U199)</f>
        <v>0</v>
      </c>
      <c r="V200" s="304">
        <f>SUM(V198:V199)</f>
        <v>0</v>
      </c>
      <c r="W200" s="304">
        <f>SUM(W198:W199)</f>
        <v>0</v>
      </c>
      <c r="X200" s="304">
        <f>SUM(X198:X199)</f>
        <v>0</v>
      </c>
    </row>
    <row r="201" spans="1:29" ht="10.8" thickBot="1" x14ac:dyDescent="0.25">
      <c r="A201" s="305" t="s">
        <v>567</v>
      </c>
      <c r="B201" s="324" t="s">
        <v>597</v>
      </c>
      <c r="C201" s="324" t="s">
        <v>597</v>
      </c>
      <c r="D201" s="324" t="s">
        <v>597</v>
      </c>
      <c r="E201" s="324" t="s">
        <v>597</v>
      </c>
      <c r="F201" s="324" t="s">
        <v>597</v>
      </c>
      <c r="G201" s="324" t="s">
        <v>597</v>
      </c>
      <c r="H201" s="324" t="s">
        <v>597</v>
      </c>
      <c r="I201" s="324" t="s">
        <v>597</v>
      </c>
      <c r="J201" s="324" t="s">
        <v>597</v>
      </c>
      <c r="K201" s="304">
        <f>K196+K200</f>
        <v>1673.8500000000001</v>
      </c>
      <c r="L201" s="294">
        <f>L196+L200</f>
        <v>501604.87</v>
      </c>
      <c r="M201" s="236" t="s">
        <v>597</v>
      </c>
      <c r="O201" s="304">
        <f>O196+O200</f>
        <v>131666.07</v>
      </c>
      <c r="P201" s="304">
        <f>P196+P200</f>
        <v>0</v>
      </c>
      <c r="Q201" s="304">
        <f>Q196+Q200</f>
        <v>369938.8</v>
      </c>
      <c r="R201" s="498"/>
      <c r="U201" s="304">
        <f>U196+U200</f>
        <v>44.330000000000005</v>
      </c>
      <c r="V201" s="304">
        <f>V196+V200</f>
        <v>2.1799999999999997</v>
      </c>
      <c r="W201" s="304">
        <f>W196+W200</f>
        <v>0</v>
      </c>
      <c r="X201" s="304">
        <f>X196+X200</f>
        <v>0</v>
      </c>
    </row>
    <row r="202" spans="1:29" x14ac:dyDescent="0.2">
      <c r="B202" s="39"/>
      <c r="C202" s="39"/>
      <c r="D202" s="39"/>
      <c r="E202" s="39"/>
      <c r="F202" s="31"/>
      <c r="G202" s="31"/>
      <c r="H202" s="31"/>
      <c r="J202" s="47"/>
      <c r="L202" s="31"/>
      <c r="M202" s="232"/>
      <c r="O202" s="232"/>
      <c r="P202" s="232"/>
      <c r="Q202" s="232"/>
      <c r="R202" s="498"/>
      <c r="U202" s="242"/>
      <c r="V202" s="242"/>
      <c r="AA202" s="557">
        <f>SUM(AA70:AA201)</f>
        <v>86</v>
      </c>
      <c r="AB202" s="557">
        <f>SUM(AB70:AB201)</f>
        <v>0</v>
      </c>
      <c r="AC202" s="162">
        <f>SUM(AA202:AB202)</f>
        <v>86</v>
      </c>
    </row>
    <row r="203" spans="1:29" x14ac:dyDescent="0.2">
      <c r="B203" s="39"/>
      <c r="C203" s="39"/>
      <c r="D203" s="39"/>
      <c r="E203" s="39"/>
      <c r="F203" s="31"/>
      <c r="G203" s="31"/>
      <c r="H203" s="31"/>
      <c r="J203" s="47"/>
      <c r="L203" s="31"/>
      <c r="M203" s="232"/>
      <c r="O203" s="232"/>
      <c r="P203" s="232"/>
      <c r="Q203" s="232"/>
      <c r="R203" s="498"/>
    </row>
    <row r="204" spans="1:29" x14ac:dyDescent="0.2">
      <c r="B204" s="39"/>
      <c r="C204" s="39"/>
      <c r="D204" s="39"/>
      <c r="E204" s="39"/>
      <c r="F204" s="31"/>
      <c r="G204" s="31"/>
      <c r="H204" s="31"/>
      <c r="L204" s="31"/>
      <c r="M204" s="232"/>
      <c r="O204" s="232"/>
      <c r="P204" s="232"/>
      <c r="Q204" s="232"/>
      <c r="U204" s="242"/>
      <c r="V204" s="242"/>
    </row>
    <row r="205" spans="1:29" x14ac:dyDescent="0.2">
      <c r="B205" s="39"/>
      <c r="C205" s="39"/>
      <c r="D205" s="39"/>
      <c r="E205" s="39"/>
      <c r="F205" s="31"/>
      <c r="G205" s="31"/>
      <c r="H205" s="31"/>
      <c r="L205" s="31"/>
      <c r="M205" s="232"/>
      <c r="O205" s="232"/>
      <c r="P205" s="232"/>
      <c r="Q205" s="232"/>
    </row>
    <row r="206" spans="1:29" x14ac:dyDescent="0.2">
      <c r="B206" s="39"/>
      <c r="C206" s="39"/>
      <c r="D206" s="39"/>
      <c r="E206" s="39"/>
      <c r="F206" s="31"/>
      <c r="G206" s="31"/>
      <c r="H206" s="31"/>
      <c r="L206" s="31"/>
      <c r="M206" s="232"/>
      <c r="O206" s="232"/>
      <c r="P206" s="232"/>
      <c r="Q206" s="232"/>
    </row>
    <row r="207" spans="1:29" x14ac:dyDescent="0.2">
      <c r="B207" s="39"/>
      <c r="C207" s="39"/>
      <c r="D207" s="39"/>
      <c r="E207" s="39"/>
      <c r="F207" s="31"/>
      <c r="G207" s="31"/>
      <c r="H207" s="31"/>
      <c r="L207" s="31"/>
      <c r="M207" s="232"/>
      <c r="O207" s="232"/>
      <c r="P207" s="232"/>
      <c r="Q207" s="232"/>
    </row>
    <row r="208" spans="1:29" x14ac:dyDescent="0.2">
      <c r="B208" s="39"/>
      <c r="C208" s="39"/>
      <c r="D208" s="39"/>
      <c r="E208" s="39"/>
      <c r="F208" s="31"/>
      <c r="G208" s="31"/>
      <c r="H208" s="31"/>
      <c r="L208" s="31"/>
      <c r="M208" s="232"/>
      <c r="O208" s="232"/>
      <c r="P208" s="232"/>
      <c r="Q208" s="232"/>
    </row>
    <row r="209" spans="2:19" x14ac:dyDescent="0.2">
      <c r="B209" s="39"/>
      <c r="C209" s="39"/>
      <c r="D209" s="39"/>
      <c r="E209" s="39"/>
      <c r="F209" s="31"/>
      <c r="G209" s="31"/>
      <c r="H209" s="31"/>
      <c r="L209" s="31"/>
      <c r="M209" s="232"/>
      <c r="O209" s="232"/>
      <c r="P209" s="232"/>
      <c r="Q209" s="232"/>
    </row>
    <row r="210" spans="2:19" x14ac:dyDescent="0.2">
      <c r="B210" s="39"/>
      <c r="C210" s="39"/>
      <c r="D210" s="39"/>
      <c r="E210" s="39"/>
      <c r="F210" s="31"/>
      <c r="G210" s="31"/>
      <c r="H210" s="31"/>
      <c r="L210" s="31"/>
      <c r="M210" s="232"/>
      <c r="O210" s="232"/>
      <c r="P210" s="232"/>
      <c r="Q210" s="232"/>
    </row>
    <row r="211" spans="2:19" x14ac:dyDescent="0.2">
      <c r="B211" s="39"/>
      <c r="C211" s="39"/>
      <c r="D211" s="39"/>
      <c r="E211" s="39"/>
      <c r="F211" s="31"/>
      <c r="G211" s="31"/>
      <c r="H211" s="31"/>
      <c r="L211" s="31"/>
      <c r="M211" s="232"/>
      <c r="O211" s="232"/>
      <c r="P211" s="232"/>
      <c r="Q211" s="232"/>
    </row>
    <row r="212" spans="2:19" x14ac:dyDescent="0.2">
      <c r="B212" s="39"/>
      <c r="C212" s="39"/>
      <c r="D212" s="39"/>
      <c r="E212" s="39"/>
      <c r="F212" s="31"/>
      <c r="G212" s="31"/>
      <c r="H212" s="31"/>
      <c r="L212" s="31"/>
      <c r="M212" s="232"/>
      <c r="O212" s="232"/>
      <c r="P212" s="232"/>
      <c r="Q212" s="232"/>
    </row>
    <row r="213" spans="2:19" x14ac:dyDescent="0.2">
      <c r="B213" s="39"/>
      <c r="C213" s="39"/>
      <c r="D213" s="39"/>
      <c r="E213" s="39"/>
      <c r="F213" s="31"/>
      <c r="G213" s="31"/>
      <c r="H213" s="31"/>
      <c r="L213" s="31"/>
      <c r="M213" s="232"/>
      <c r="O213" s="232"/>
      <c r="P213" s="232"/>
      <c r="Q213" s="232"/>
    </row>
    <row r="214" spans="2:19" x14ac:dyDescent="0.2">
      <c r="B214" s="39"/>
      <c r="C214" s="39"/>
      <c r="D214" s="39"/>
      <c r="E214" s="39"/>
      <c r="F214" s="31"/>
      <c r="G214" s="31"/>
      <c r="H214" s="31"/>
      <c r="L214" s="31"/>
      <c r="M214" s="232"/>
      <c r="O214" s="232"/>
      <c r="P214" s="232"/>
      <c r="Q214" s="232"/>
    </row>
    <row r="215" spans="2:19" x14ac:dyDescent="0.2">
      <c r="B215" s="39"/>
      <c r="C215" s="39"/>
      <c r="D215" s="39"/>
      <c r="E215" s="39"/>
      <c r="F215" s="31"/>
      <c r="G215" s="31"/>
      <c r="H215" s="31"/>
      <c r="L215" s="31"/>
      <c r="M215" s="232"/>
      <c r="O215" s="232"/>
      <c r="P215" s="232"/>
      <c r="Q215" s="232"/>
      <c r="S215" s="501"/>
    </row>
    <row r="216" spans="2:19" x14ac:dyDescent="0.2">
      <c r="B216" s="39"/>
      <c r="C216" s="39"/>
      <c r="D216" s="39"/>
      <c r="E216" s="39"/>
      <c r="F216" s="31"/>
      <c r="G216" s="31"/>
      <c r="H216" s="31"/>
      <c r="L216" s="31"/>
      <c r="M216" s="232"/>
      <c r="O216" s="232"/>
      <c r="P216" s="232"/>
      <c r="Q216" s="232"/>
      <c r="S216" s="501"/>
    </row>
    <row r="217" spans="2:19" x14ac:dyDescent="0.2">
      <c r="B217" s="39"/>
      <c r="C217" s="39"/>
      <c r="D217" s="39"/>
      <c r="E217" s="39"/>
      <c r="F217" s="31"/>
      <c r="G217" s="31"/>
      <c r="H217" s="31"/>
      <c r="L217" s="31"/>
      <c r="M217" s="232"/>
      <c r="O217" s="232"/>
      <c r="P217" s="232"/>
      <c r="Q217" s="232"/>
      <c r="S217" s="501"/>
    </row>
    <row r="218" spans="2:19" x14ac:dyDescent="0.2">
      <c r="B218" s="39"/>
      <c r="C218" s="39"/>
      <c r="D218" s="39"/>
      <c r="E218" s="39"/>
      <c r="F218" s="31"/>
      <c r="G218" s="31"/>
      <c r="H218" s="31"/>
      <c r="L218" s="31"/>
      <c r="M218" s="232"/>
      <c r="O218" s="232"/>
      <c r="P218" s="232"/>
      <c r="Q218" s="232"/>
      <c r="S218" s="501"/>
    </row>
    <row r="219" spans="2:19" x14ac:dyDescent="0.2">
      <c r="B219" s="39"/>
      <c r="C219" s="39"/>
      <c r="D219" s="39"/>
      <c r="E219" s="39"/>
      <c r="F219" s="31"/>
      <c r="G219" s="31"/>
      <c r="H219" s="31"/>
      <c r="L219" s="31"/>
      <c r="M219" s="232"/>
      <c r="O219" s="232"/>
      <c r="P219" s="232"/>
      <c r="Q219" s="232"/>
    </row>
    <row r="220" spans="2:19" x14ac:dyDescent="0.2">
      <c r="B220" s="39"/>
      <c r="C220" s="39"/>
      <c r="D220" s="39"/>
      <c r="E220" s="39"/>
      <c r="F220" s="31"/>
      <c r="G220" s="31"/>
      <c r="H220" s="31"/>
      <c r="L220" s="31"/>
      <c r="M220" s="232"/>
      <c r="O220" s="232"/>
      <c r="P220" s="232"/>
      <c r="Q220" s="232"/>
    </row>
    <row r="221" spans="2:19" x14ac:dyDescent="0.2">
      <c r="B221" s="39"/>
      <c r="C221" s="39"/>
      <c r="D221" s="39"/>
      <c r="E221" s="39"/>
      <c r="F221" s="31"/>
      <c r="G221" s="31"/>
      <c r="H221" s="31"/>
      <c r="L221" s="31"/>
      <c r="M221" s="232"/>
      <c r="O221" s="232"/>
      <c r="P221" s="232"/>
      <c r="Q221" s="232"/>
    </row>
    <row r="222" spans="2:19" x14ac:dyDescent="0.2">
      <c r="B222" s="39"/>
      <c r="C222" s="39"/>
      <c r="D222" s="39"/>
      <c r="E222" s="39"/>
      <c r="F222" s="31"/>
      <c r="G222" s="31"/>
      <c r="H222" s="31"/>
      <c r="L222" s="31"/>
      <c r="M222" s="232"/>
      <c r="O222" s="232"/>
      <c r="P222" s="232"/>
      <c r="Q222" s="232"/>
    </row>
    <row r="223" spans="2:19" x14ac:dyDescent="0.2">
      <c r="B223" s="39"/>
      <c r="C223" s="39"/>
      <c r="D223" s="39"/>
      <c r="E223" s="39"/>
      <c r="F223" s="31"/>
      <c r="G223" s="31"/>
      <c r="H223" s="31"/>
      <c r="L223" s="31"/>
      <c r="M223" s="232"/>
      <c r="O223" s="232"/>
      <c r="P223" s="232"/>
      <c r="Q223" s="232"/>
    </row>
    <row r="224" spans="2:19" x14ac:dyDescent="0.2">
      <c r="B224" s="39"/>
      <c r="C224" s="39"/>
      <c r="D224" s="39"/>
      <c r="E224" s="39"/>
      <c r="F224" s="31"/>
      <c r="G224" s="31"/>
      <c r="H224" s="31"/>
      <c r="L224" s="31"/>
      <c r="M224" s="232"/>
      <c r="O224" s="232"/>
      <c r="P224" s="232"/>
      <c r="Q224" s="232"/>
    </row>
    <row r="225" spans="2:17" x14ac:dyDescent="0.2">
      <c r="B225" s="39"/>
      <c r="C225" s="39"/>
      <c r="D225" s="39"/>
      <c r="E225" s="39"/>
      <c r="F225" s="31"/>
      <c r="G225" s="31"/>
      <c r="H225" s="31"/>
      <c r="L225" s="31"/>
      <c r="M225" s="232"/>
      <c r="O225" s="232"/>
      <c r="P225" s="232"/>
      <c r="Q225" s="232"/>
    </row>
    <row r="226" spans="2:17" x14ac:dyDescent="0.2">
      <c r="B226" s="39"/>
      <c r="C226" s="39"/>
      <c r="D226" s="39"/>
      <c r="E226" s="39"/>
      <c r="F226" s="31"/>
      <c r="G226" s="31"/>
      <c r="H226" s="31"/>
      <c r="L226" s="31"/>
      <c r="M226" s="232"/>
      <c r="O226" s="232"/>
      <c r="P226" s="232"/>
      <c r="Q226" s="232"/>
    </row>
    <row r="227" spans="2:17" x14ac:dyDescent="0.2">
      <c r="B227" s="39"/>
      <c r="C227" s="39"/>
      <c r="D227" s="39"/>
      <c r="E227" s="39"/>
      <c r="F227" s="31"/>
      <c r="G227" s="31"/>
      <c r="H227" s="31"/>
      <c r="L227" s="31"/>
      <c r="M227" s="232"/>
      <c r="O227" s="232"/>
      <c r="P227" s="232"/>
      <c r="Q227" s="232"/>
    </row>
    <row r="228" spans="2:17" x14ac:dyDescent="0.2">
      <c r="B228" s="39"/>
      <c r="C228" s="39"/>
      <c r="D228" s="39"/>
      <c r="E228" s="39"/>
      <c r="F228" s="31"/>
      <c r="G228" s="31"/>
      <c r="H228" s="31"/>
      <c r="L228" s="31"/>
      <c r="M228" s="232"/>
      <c r="O228" s="232"/>
      <c r="P228" s="232"/>
      <c r="Q228" s="232"/>
    </row>
    <row r="229" spans="2:17" x14ac:dyDescent="0.2">
      <c r="B229" s="39"/>
      <c r="C229" s="39"/>
      <c r="D229" s="39"/>
      <c r="E229" s="39"/>
      <c r="F229" s="31"/>
      <c r="G229" s="31"/>
      <c r="H229" s="31"/>
      <c r="L229" s="31"/>
      <c r="M229" s="232"/>
      <c r="O229" s="232"/>
      <c r="P229" s="232"/>
      <c r="Q229" s="232"/>
    </row>
    <row r="230" spans="2:17" x14ac:dyDescent="0.2">
      <c r="B230" s="39"/>
      <c r="C230" s="39"/>
      <c r="D230" s="39"/>
      <c r="E230" s="39"/>
      <c r="F230" s="31"/>
      <c r="G230" s="31"/>
      <c r="H230" s="31"/>
      <c r="L230" s="31"/>
      <c r="M230" s="232"/>
      <c r="O230" s="232"/>
      <c r="P230" s="232"/>
      <c r="Q230" s="232"/>
    </row>
    <row r="231" spans="2:17" x14ac:dyDescent="0.2">
      <c r="B231" s="39"/>
      <c r="C231" s="39"/>
      <c r="D231" s="39"/>
      <c r="E231" s="39"/>
      <c r="F231" s="31"/>
      <c r="G231" s="31"/>
      <c r="H231" s="31"/>
      <c r="L231" s="31"/>
      <c r="M231" s="232"/>
      <c r="O231" s="232"/>
      <c r="P231" s="232"/>
      <c r="Q231" s="232"/>
    </row>
    <row r="232" spans="2:17" x14ac:dyDescent="0.2">
      <c r="B232" s="39"/>
      <c r="C232" s="39"/>
      <c r="D232" s="39"/>
      <c r="E232" s="39"/>
      <c r="F232" s="31"/>
      <c r="G232" s="31"/>
      <c r="H232" s="31"/>
      <c r="L232" s="31"/>
      <c r="M232" s="232"/>
      <c r="O232" s="232"/>
      <c r="P232" s="232"/>
      <c r="Q232" s="232"/>
    </row>
    <row r="233" spans="2:17" x14ac:dyDescent="0.2">
      <c r="B233" s="39"/>
      <c r="C233" s="39"/>
      <c r="D233" s="39"/>
      <c r="E233" s="39"/>
      <c r="F233" s="31"/>
      <c r="G233" s="31"/>
      <c r="H233" s="31"/>
      <c r="L233" s="31"/>
      <c r="M233" s="232"/>
      <c r="O233" s="232"/>
      <c r="P233" s="232"/>
      <c r="Q233" s="232"/>
    </row>
    <row r="234" spans="2:17" x14ac:dyDescent="0.2">
      <c r="B234" s="39"/>
      <c r="C234" s="39"/>
      <c r="D234" s="39"/>
      <c r="E234" s="39"/>
      <c r="F234" s="31"/>
      <c r="G234" s="31"/>
      <c r="H234" s="31"/>
      <c r="L234" s="31"/>
      <c r="M234" s="232"/>
      <c r="O234" s="232"/>
      <c r="P234" s="232"/>
      <c r="Q234" s="232"/>
    </row>
    <row r="235" spans="2:17" x14ac:dyDescent="0.2">
      <c r="B235" s="39"/>
      <c r="C235" s="39"/>
      <c r="D235" s="39"/>
      <c r="E235" s="39"/>
      <c r="F235" s="31"/>
      <c r="G235" s="31"/>
      <c r="H235" s="31"/>
      <c r="L235" s="31"/>
      <c r="M235" s="232"/>
      <c r="O235" s="232"/>
      <c r="P235" s="232"/>
      <c r="Q235" s="232"/>
    </row>
    <row r="236" spans="2:17" x14ac:dyDescent="0.2">
      <c r="B236" s="39"/>
      <c r="C236" s="39"/>
      <c r="D236" s="39"/>
      <c r="E236" s="39"/>
      <c r="F236" s="31"/>
      <c r="G236" s="31"/>
      <c r="H236" s="31"/>
      <c r="L236" s="31"/>
      <c r="M236" s="232"/>
      <c r="O236" s="232"/>
      <c r="P236" s="232"/>
      <c r="Q236" s="232"/>
    </row>
    <row r="237" spans="2:17" x14ac:dyDescent="0.2">
      <c r="B237" s="39"/>
      <c r="C237" s="39"/>
      <c r="D237" s="39"/>
      <c r="E237" s="39"/>
      <c r="F237" s="31"/>
      <c r="G237" s="31"/>
      <c r="H237" s="31"/>
      <c r="L237" s="31"/>
      <c r="M237" s="232"/>
      <c r="O237" s="232"/>
      <c r="P237" s="232"/>
      <c r="Q237" s="232"/>
    </row>
    <row r="238" spans="2:17" x14ac:dyDescent="0.2">
      <c r="B238" s="39"/>
      <c r="C238" s="39"/>
      <c r="D238" s="39"/>
      <c r="E238" s="39"/>
      <c r="F238" s="31"/>
      <c r="G238" s="31"/>
      <c r="H238" s="31"/>
      <c r="L238" s="31"/>
      <c r="M238" s="232"/>
      <c r="O238" s="232"/>
      <c r="P238" s="232"/>
      <c r="Q238" s="232"/>
    </row>
    <row r="239" spans="2:17" x14ac:dyDescent="0.2">
      <c r="B239" s="39"/>
      <c r="C239" s="39"/>
      <c r="D239" s="39"/>
      <c r="E239" s="39"/>
      <c r="F239" s="31"/>
      <c r="G239" s="31"/>
      <c r="H239" s="31"/>
      <c r="L239" s="31"/>
      <c r="M239" s="232"/>
      <c r="O239" s="232"/>
      <c r="P239" s="232"/>
      <c r="Q239" s="232"/>
    </row>
    <row r="240" spans="2:17" x14ac:dyDescent="0.2">
      <c r="B240" s="39"/>
      <c r="C240" s="39"/>
      <c r="D240" s="39"/>
      <c r="E240" s="39"/>
      <c r="F240" s="31"/>
      <c r="G240" s="31"/>
      <c r="H240" s="31"/>
      <c r="L240" s="31"/>
      <c r="M240" s="232"/>
      <c r="O240" s="232"/>
      <c r="P240" s="232"/>
      <c r="Q240" s="232"/>
    </row>
    <row r="241" spans="2:17" x14ac:dyDescent="0.2">
      <c r="B241" s="39"/>
      <c r="C241" s="39"/>
      <c r="D241" s="39"/>
      <c r="E241" s="39"/>
      <c r="F241" s="31"/>
      <c r="G241" s="31"/>
      <c r="H241" s="31"/>
      <c r="L241" s="31"/>
      <c r="M241" s="232"/>
      <c r="O241" s="232"/>
      <c r="P241" s="232"/>
      <c r="Q241" s="232"/>
    </row>
    <row r="242" spans="2:17" x14ac:dyDescent="0.2">
      <c r="B242" s="39"/>
      <c r="C242" s="39"/>
      <c r="D242" s="39"/>
      <c r="E242" s="39"/>
      <c r="F242" s="31"/>
      <c r="G242" s="31"/>
      <c r="H242" s="31"/>
      <c r="L242" s="31"/>
      <c r="M242" s="232"/>
      <c r="O242" s="232"/>
      <c r="P242" s="232"/>
      <c r="Q242" s="232"/>
    </row>
    <row r="243" spans="2:17" x14ac:dyDescent="0.2">
      <c r="B243" s="39"/>
      <c r="C243" s="39"/>
      <c r="D243" s="39"/>
      <c r="E243" s="39"/>
      <c r="F243" s="31"/>
      <c r="G243" s="31"/>
      <c r="H243" s="31"/>
      <c r="L243" s="31"/>
      <c r="M243" s="232"/>
      <c r="O243" s="232"/>
      <c r="P243" s="232"/>
      <c r="Q243" s="232"/>
    </row>
    <row r="244" spans="2:17" x14ac:dyDescent="0.2">
      <c r="B244" s="39"/>
      <c r="C244" s="39"/>
      <c r="D244" s="39"/>
      <c r="E244" s="39"/>
      <c r="F244" s="31"/>
      <c r="G244" s="31"/>
      <c r="H244" s="31"/>
      <c r="L244" s="31"/>
      <c r="M244" s="232"/>
      <c r="O244" s="232"/>
      <c r="P244" s="232"/>
      <c r="Q244" s="232"/>
    </row>
    <row r="245" spans="2:17" x14ac:dyDescent="0.2">
      <c r="B245" s="39"/>
      <c r="C245" s="39"/>
      <c r="D245" s="39"/>
      <c r="E245" s="39"/>
      <c r="F245" s="31"/>
      <c r="G245" s="31"/>
      <c r="H245" s="31"/>
      <c r="L245" s="31"/>
      <c r="M245" s="232"/>
      <c r="O245" s="232"/>
      <c r="P245" s="232"/>
      <c r="Q245" s="232"/>
    </row>
    <row r="246" spans="2:17" x14ac:dyDescent="0.2">
      <c r="B246" s="39"/>
      <c r="C246" s="39"/>
      <c r="D246" s="39"/>
      <c r="E246" s="39"/>
      <c r="F246" s="31"/>
      <c r="G246" s="31"/>
      <c r="H246" s="31"/>
      <c r="L246" s="31"/>
      <c r="M246" s="232"/>
      <c r="O246" s="232"/>
      <c r="P246" s="232"/>
      <c r="Q246" s="232"/>
    </row>
    <row r="247" spans="2:17" x14ac:dyDescent="0.2">
      <c r="B247" s="39"/>
      <c r="C247" s="39"/>
      <c r="D247" s="39"/>
      <c r="E247" s="39"/>
      <c r="F247" s="31"/>
      <c r="G247" s="31"/>
      <c r="H247" s="31"/>
      <c r="L247" s="31"/>
      <c r="M247" s="232"/>
      <c r="O247" s="232"/>
      <c r="P247" s="232"/>
      <c r="Q247" s="232"/>
    </row>
    <row r="248" spans="2:17" x14ac:dyDescent="0.2">
      <c r="B248" s="39"/>
      <c r="C248" s="39"/>
      <c r="D248" s="39"/>
      <c r="E248" s="39"/>
      <c r="F248" s="31"/>
      <c r="G248" s="31"/>
      <c r="H248" s="31"/>
      <c r="L248" s="31"/>
      <c r="M248" s="232"/>
      <c r="O248" s="232"/>
      <c r="P248" s="232"/>
      <c r="Q248" s="232"/>
    </row>
    <row r="249" spans="2:17" x14ac:dyDescent="0.2">
      <c r="B249" s="39"/>
      <c r="C249" s="39"/>
      <c r="D249" s="39"/>
      <c r="E249" s="39"/>
      <c r="F249" s="31"/>
      <c r="G249" s="31"/>
      <c r="H249" s="31"/>
      <c r="L249" s="31"/>
      <c r="M249" s="232"/>
      <c r="O249" s="232"/>
      <c r="P249" s="232"/>
      <c r="Q249" s="232"/>
    </row>
    <row r="250" spans="2:17" x14ac:dyDescent="0.2">
      <c r="B250" s="39"/>
      <c r="C250" s="39"/>
      <c r="D250" s="39"/>
      <c r="E250" s="39"/>
      <c r="F250" s="31"/>
      <c r="G250" s="31"/>
      <c r="H250" s="31"/>
      <c r="L250" s="31"/>
      <c r="M250" s="232"/>
      <c r="O250" s="232"/>
      <c r="P250" s="232"/>
      <c r="Q250" s="232"/>
    </row>
    <row r="251" spans="2:17" x14ac:dyDescent="0.2">
      <c r="B251" s="39"/>
      <c r="C251" s="39"/>
      <c r="D251" s="39"/>
      <c r="E251" s="39"/>
      <c r="F251" s="31"/>
      <c r="G251" s="31"/>
      <c r="H251" s="31"/>
      <c r="L251" s="31"/>
      <c r="M251" s="232"/>
      <c r="O251" s="232"/>
      <c r="P251" s="232"/>
      <c r="Q251" s="232"/>
    </row>
    <row r="252" spans="2:17" x14ac:dyDescent="0.2">
      <c r="B252" s="39"/>
      <c r="C252" s="39"/>
      <c r="D252" s="39"/>
      <c r="E252" s="39"/>
      <c r="F252" s="31"/>
      <c r="G252" s="31"/>
      <c r="H252" s="31"/>
      <c r="L252" s="31"/>
      <c r="M252" s="232"/>
      <c r="O252" s="232"/>
      <c r="P252" s="232"/>
      <c r="Q252" s="232"/>
    </row>
    <row r="253" spans="2:17" x14ac:dyDescent="0.2">
      <c r="B253" s="39"/>
      <c r="C253" s="39"/>
      <c r="D253" s="39"/>
      <c r="E253" s="39"/>
      <c r="F253" s="31"/>
      <c r="G253" s="31"/>
      <c r="H253" s="31"/>
      <c r="L253" s="31"/>
      <c r="M253" s="232"/>
      <c r="O253" s="232"/>
      <c r="P253" s="232"/>
      <c r="Q253" s="232"/>
    </row>
    <row r="254" spans="2:17" x14ac:dyDescent="0.2">
      <c r="B254" s="39"/>
      <c r="C254" s="39"/>
      <c r="D254" s="39"/>
      <c r="E254" s="39"/>
      <c r="F254" s="31"/>
      <c r="G254" s="31"/>
      <c r="H254" s="31"/>
      <c r="L254" s="31"/>
      <c r="M254" s="232"/>
      <c r="O254" s="232"/>
      <c r="P254" s="232"/>
      <c r="Q254" s="232"/>
    </row>
    <row r="255" spans="2:17" x14ac:dyDescent="0.2">
      <c r="B255" s="39"/>
      <c r="C255" s="39"/>
      <c r="D255" s="39"/>
      <c r="E255" s="39"/>
      <c r="F255" s="31"/>
      <c r="G255" s="31"/>
      <c r="H255" s="31"/>
      <c r="L255" s="31"/>
      <c r="M255" s="232"/>
      <c r="O255" s="232"/>
      <c r="P255" s="232"/>
      <c r="Q255" s="232"/>
    </row>
    <row r="256" spans="2:17" x14ac:dyDescent="0.2">
      <c r="B256" s="39"/>
      <c r="C256" s="39"/>
      <c r="D256" s="39"/>
      <c r="E256" s="39"/>
      <c r="F256" s="31"/>
      <c r="G256" s="31"/>
      <c r="H256" s="31"/>
      <c r="L256" s="31"/>
      <c r="M256" s="232"/>
      <c r="O256" s="232"/>
      <c r="P256" s="232"/>
      <c r="Q256" s="232"/>
    </row>
    <row r="257" spans="2:17" x14ac:dyDescent="0.2">
      <c r="B257" s="39"/>
      <c r="C257" s="39"/>
      <c r="D257" s="39"/>
      <c r="E257" s="39"/>
      <c r="F257" s="31"/>
      <c r="G257" s="31"/>
      <c r="H257" s="31"/>
      <c r="L257" s="31"/>
      <c r="M257" s="232"/>
      <c r="O257" s="232"/>
      <c r="P257" s="232"/>
      <c r="Q257" s="232"/>
    </row>
    <row r="258" spans="2:17" x14ac:dyDescent="0.2">
      <c r="B258" s="39"/>
      <c r="C258" s="39"/>
      <c r="D258" s="39"/>
      <c r="E258" s="39"/>
      <c r="F258" s="31"/>
      <c r="G258" s="31"/>
      <c r="H258" s="31"/>
      <c r="L258" s="31"/>
      <c r="M258" s="232"/>
      <c r="O258" s="232"/>
      <c r="P258" s="232"/>
      <c r="Q258" s="232"/>
    </row>
    <row r="259" spans="2:17" x14ac:dyDescent="0.2">
      <c r="B259" s="39"/>
      <c r="C259" s="39"/>
      <c r="D259" s="39"/>
      <c r="E259" s="39"/>
      <c r="F259" s="31"/>
      <c r="G259" s="31"/>
      <c r="H259" s="31"/>
      <c r="L259" s="31"/>
      <c r="M259" s="232"/>
      <c r="O259" s="232"/>
      <c r="P259" s="232"/>
      <c r="Q259" s="232"/>
    </row>
    <row r="260" spans="2:17" x14ac:dyDescent="0.2">
      <c r="B260" s="39"/>
      <c r="C260" s="39"/>
      <c r="D260" s="39"/>
      <c r="E260" s="39"/>
      <c r="F260" s="31"/>
      <c r="G260" s="31"/>
      <c r="H260" s="31"/>
      <c r="L260" s="31"/>
      <c r="M260" s="232"/>
      <c r="O260" s="232"/>
      <c r="P260" s="232"/>
      <c r="Q260" s="232"/>
    </row>
    <row r="261" spans="2:17" x14ac:dyDescent="0.2">
      <c r="B261" s="39"/>
      <c r="C261" s="39"/>
      <c r="D261" s="39"/>
      <c r="E261" s="39"/>
      <c r="F261" s="31"/>
      <c r="G261" s="31"/>
      <c r="H261" s="31"/>
      <c r="L261" s="31"/>
      <c r="M261" s="232"/>
      <c r="O261" s="232"/>
      <c r="P261" s="232"/>
      <c r="Q261" s="232"/>
    </row>
    <row r="262" spans="2:17" x14ac:dyDescent="0.2">
      <c r="B262" s="39"/>
      <c r="C262" s="39"/>
      <c r="D262" s="39"/>
      <c r="E262" s="39"/>
      <c r="F262" s="31"/>
      <c r="G262" s="31"/>
      <c r="H262" s="31"/>
      <c r="L262" s="31"/>
      <c r="M262" s="232"/>
      <c r="O262" s="232"/>
      <c r="P262" s="232"/>
      <c r="Q262" s="232"/>
    </row>
    <row r="263" spans="2:17" x14ac:dyDescent="0.2">
      <c r="B263" s="39"/>
      <c r="C263" s="39"/>
      <c r="D263" s="39"/>
      <c r="E263" s="39"/>
      <c r="F263" s="31"/>
      <c r="G263" s="31"/>
      <c r="H263" s="31"/>
      <c r="L263" s="31"/>
      <c r="M263" s="232"/>
      <c r="O263" s="232"/>
      <c r="P263" s="232"/>
      <c r="Q263" s="232"/>
    </row>
    <row r="264" spans="2:17" x14ac:dyDescent="0.2">
      <c r="B264" s="39"/>
      <c r="C264" s="39"/>
      <c r="D264" s="39"/>
      <c r="E264" s="39"/>
      <c r="F264" s="31"/>
      <c r="G264" s="31"/>
      <c r="H264" s="31"/>
      <c r="L264" s="31"/>
      <c r="M264" s="232"/>
      <c r="O264" s="232"/>
      <c r="P264" s="232"/>
      <c r="Q264" s="232"/>
    </row>
    <row r="265" spans="2:17" x14ac:dyDescent="0.2">
      <c r="B265" s="39"/>
      <c r="C265" s="39"/>
      <c r="D265" s="39"/>
      <c r="E265" s="39"/>
      <c r="F265" s="31"/>
      <c r="G265" s="31"/>
      <c r="H265" s="31"/>
      <c r="L265" s="31"/>
      <c r="M265" s="232"/>
      <c r="O265" s="232"/>
      <c r="P265" s="232"/>
      <c r="Q265" s="232"/>
    </row>
    <row r="266" spans="2:17" x14ac:dyDescent="0.2">
      <c r="B266" s="39"/>
      <c r="C266" s="39"/>
      <c r="D266" s="39"/>
      <c r="E266" s="39"/>
      <c r="F266" s="31"/>
      <c r="G266" s="31"/>
      <c r="H266" s="31"/>
      <c r="L266" s="31"/>
      <c r="M266" s="232"/>
      <c r="O266" s="232"/>
      <c r="P266" s="232"/>
      <c r="Q266" s="232"/>
    </row>
    <row r="267" spans="2:17" x14ac:dyDescent="0.2">
      <c r="B267" s="39"/>
      <c r="C267" s="39"/>
      <c r="D267" s="39"/>
      <c r="E267" s="39"/>
      <c r="F267" s="31"/>
      <c r="G267" s="31"/>
      <c r="H267" s="31"/>
      <c r="L267" s="31"/>
      <c r="M267" s="232"/>
      <c r="O267" s="232"/>
      <c r="P267" s="232"/>
      <c r="Q267" s="232"/>
    </row>
    <row r="268" spans="2:17" x14ac:dyDescent="0.2">
      <c r="B268" s="39"/>
      <c r="C268" s="39"/>
      <c r="D268" s="39"/>
      <c r="E268" s="39"/>
      <c r="F268" s="31"/>
      <c r="G268" s="31"/>
      <c r="H268" s="31"/>
      <c r="L268" s="31"/>
      <c r="M268" s="232"/>
      <c r="O268" s="232"/>
      <c r="P268" s="232"/>
      <c r="Q268" s="232"/>
    </row>
    <row r="269" spans="2:17" x14ac:dyDescent="0.2">
      <c r="B269" s="39"/>
      <c r="C269" s="39"/>
      <c r="D269" s="39"/>
      <c r="E269" s="39"/>
      <c r="F269" s="31"/>
      <c r="G269" s="31"/>
      <c r="H269" s="31"/>
      <c r="L269" s="31"/>
      <c r="M269" s="232"/>
      <c r="O269" s="232"/>
      <c r="P269" s="232"/>
      <c r="Q269" s="232"/>
    </row>
    <row r="270" spans="2:17" x14ac:dyDescent="0.2">
      <c r="B270" s="39"/>
      <c r="C270" s="39"/>
      <c r="D270" s="39"/>
      <c r="E270" s="39"/>
      <c r="F270" s="31"/>
      <c r="G270" s="31"/>
      <c r="H270" s="31"/>
      <c r="L270" s="31"/>
      <c r="M270" s="232"/>
      <c r="O270" s="232"/>
      <c r="P270" s="232"/>
      <c r="Q270" s="232"/>
    </row>
    <row r="271" spans="2:17" x14ac:dyDescent="0.2">
      <c r="B271" s="39"/>
      <c r="C271" s="39"/>
      <c r="D271" s="39"/>
      <c r="E271" s="39"/>
      <c r="F271" s="31"/>
      <c r="G271" s="31"/>
      <c r="H271" s="31"/>
      <c r="L271" s="31"/>
      <c r="M271" s="232"/>
      <c r="O271" s="232"/>
      <c r="P271" s="232"/>
      <c r="Q271" s="232"/>
    </row>
    <row r="272" spans="2:17" x14ac:dyDescent="0.2">
      <c r="B272" s="39"/>
      <c r="C272" s="39"/>
      <c r="D272" s="39"/>
      <c r="E272" s="39"/>
      <c r="F272" s="31"/>
      <c r="G272" s="31"/>
      <c r="H272" s="31"/>
      <c r="L272" s="31"/>
      <c r="M272" s="232"/>
      <c r="O272" s="232"/>
      <c r="P272" s="232"/>
      <c r="Q272" s="232"/>
    </row>
    <row r="273" spans="2:17" x14ac:dyDescent="0.2">
      <c r="B273" s="39"/>
      <c r="C273" s="39"/>
      <c r="D273" s="39"/>
      <c r="E273" s="39"/>
      <c r="F273" s="31"/>
      <c r="G273" s="31"/>
      <c r="H273" s="31"/>
      <c r="L273" s="31"/>
      <c r="M273" s="232"/>
      <c r="O273" s="232"/>
      <c r="P273" s="232"/>
      <c r="Q273" s="232"/>
    </row>
    <row r="274" spans="2:17" x14ac:dyDescent="0.2">
      <c r="B274" s="39"/>
      <c r="C274" s="39"/>
      <c r="D274" s="39"/>
      <c r="E274" s="39"/>
      <c r="F274" s="31"/>
      <c r="G274" s="31"/>
      <c r="H274" s="31"/>
      <c r="L274" s="31"/>
      <c r="M274" s="232"/>
      <c r="O274" s="232"/>
      <c r="P274" s="232"/>
      <c r="Q274" s="232"/>
    </row>
    <row r="275" spans="2:17" x14ac:dyDescent="0.2">
      <c r="B275" s="39"/>
      <c r="C275" s="39"/>
      <c r="D275" s="39"/>
      <c r="E275" s="39"/>
      <c r="F275" s="31"/>
      <c r="G275" s="31"/>
      <c r="H275" s="31"/>
      <c r="L275" s="31"/>
      <c r="M275" s="232"/>
      <c r="O275" s="232"/>
      <c r="P275" s="232"/>
      <c r="Q275" s="232"/>
    </row>
    <row r="276" spans="2:17" x14ac:dyDescent="0.2">
      <c r="B276" s="39"/>
      <c r="C276" s="39"/>
      <c r="D276" s="39"/>
      <c r="E276" s="39"/>
      <c r="F276" s="31"/>
      <c r="G276" s="31"/>
      <c r="H276" s="31"/>
      <c r="L276" s="31"/>
      <c r="M276" s="232"/>
      <c r="O276" s="232"/>
      <c r="P276" s="232"/>
      <c r="Q276" s="232"/>
    </row>
    <row r="277" spans="2:17" x14ac:dyDescent="0.2">
      <c r="B277" s="39"/>
      <c r="C277" s="39"/>
      <c r="D277" s="39"/>
      <c r="E277" s="39"/>
      <c r="F277" s="31"/>
      <c r="G277" s="31"/>
      <c r="H277" s="31"/>
      <c r="L277" s="31"/>
      <c r="M277" s="232"/>
      <c r="O277" s="232"/>
      <c r="P277" s="232"/>
      <c r="Q277" s="232"/>
    </row>
    <row r="278" spans="2:17" x14ac:dyDescent="0.2">
      <c r="B278" s="39"/>
      <c r="C278" s="39"/>
      <c r="D278" s="39"/>
      <c r="E278" s="39"/>
      <c r="F278" s="31"/>
      <c r="G278" s="31"/>
      <c r="H278" s="31"/>
      <c r="L278" s="31"/>
      <c r="M278" s="232"/>
      <c r="O278" s="232"/>
      <c r="P278" s="232"/>
      <c r="Q278" s="232"/>
    </row>
    <row r="279" spans="2:17" x14ac:dyDescent="0.2">
      <c r="B279" s="39"/>
      <c r="C279" s="39"/>
      <c r="D279" s="39"/>
      <c r="E279" s="39"/>
      <c r="F279" s="31"/>
      <c r="G279" s="31"/>
      <c r="H279" s="31"/>
      <c r="L279" s="31"/>
      <c r="M279" s="232"/>
      <c r="O279" s="232"/>
      <c r="P279" s="232"/>
      <c r="Q279" s="232"/>
    </row>
    <row r="280" spans="2:17" x14ac:dyDescent="0.2">
      <c r="B280" s="39"/>
      <c r="C280" s="39"/>
      <c r="D280" s="39"/>
      <c r="E280" s="39"/>
      <c r="F280" s="31"/>
      <c r="G280" s="31"/>
      <c r="H280" s="31"/>
      <c r="L280" s="31"/>
      <c r="M280" s="232"/>
      <c r="O280" s="232"/>
      <c r="P280" s="232"/>
      <c r="Q280" s="232"/>
    </row>
    <row r="281" spans="2:17" x14ac:dyDescent="0.2">
      <c r="B281" s="39"/>
      <c r="C281" s="39"/>
      <c r="D281" s="39"/>
      <c r="E281" s="39"/>
      <c r="F281" s="31"/>
      <c r="G281" s="31"/>
      <c r="H281" s="31"/>
      <c r="L281" s="31"/>
      <c r="M281" s="232"/>
      <c r="O281" s="232"/>
      <c r="P281" s="232"/>
      <c r="Q281" s="232"/>
    </row>
    <row r="282" spans="2:17" x14ac:dyDescent="0.2">
      <c r="B282" s="39"/>
      <c r="C282" s="39"/>
      <c r="D282" s="39"/>
      <c r="E282" s="39"/>
      <c r="F282" s="31"/>
      <c r="G282" s="31"/>
      <c r="H282" s="31"/>
      <c r="L282" s="31"/>
      <c r="M282" s="232"/>
      <c r="O282" s="232"/>
      <c r="P282" s="232"/>
      <c r="Q282" s="232"/>
    </row>
    <row r="283" spans="2:17" x14ac:dyDescent="0.2">
      <c r="B283" s="39"/>
      <c r="C283" s="39"/>
      <c r="D283" s="39"/>
      <c r="E283" s="39"/>
      <c r="F283" s="31"/>
      <c r="G283" s="31"/>
      <c r="H283" s="31"/>
      <c r="L283" s="31"/>
      <c r="M283" s="232"/>
      <c r="O283" s="232"/>
      <c r="P283" s="232"/>
      <c r="Q283" s="232"/>
    </row>
    <row r="284" spans="2:17" x14ac:dyDescent="0.2">
      <c r="B284" s="39"/>
      <c r="C284" s="39"/>
      <c r="D284" s="39"/>
      <c r="E284" s="39"/>
      <c r="F284" s="31"/>
      <c r="G284" s="31"/>
      <c r="H284" s="31"/>
      <c r="L284" s="31"/>
      <c r="M284" s="232"/>
      <c r="O284" s="232"/>
      <c r="P284" s="232"/>
      <c r="Q284" s="232"/>
    </row>
    <row r="285" spans="2:17" x14ac:dyDescent="0.2">
      <c r="B285" s="39"/>
      <c r="C285" s="39"/>
      <c r="D285" s="39"/>
      <c r="E285" s="39"/>
      <c r="F285" s="31"/>
      <c r="G285" s="31"/>
      <c r="H285" s="31"/>
      <c r="L285" s="31"/>
      <c r="M285" s="232"/>
      <c r="O285" s="232"/>
      <c r="P285" s="232"/>
      <c r="Q285" s="232"/>
    </row>
    <row r="286" spans="2:17" x14ac:dyDescent="0.2">
      <c r="B286" s="39"/>
      <c r="C286" s="39"/>
      <c r="D286" s="39"/>
      <c r="E286" s="39"/>
      <c r="F286" s="31"/>
      <c r="G286" s="31"/>
      <c r="H286" s="31"/>
      <c r="L286" s="31"/>
      <c r="M286" s="232"/>
      <c r="O286" s="232"/>
      <c r="P286" s="232"/>
      <c r="Q286" s="232"/>
    </row>
    <row r="287" spans="2:17" x14ac:dyDescent="0.2">
      <c r="B287" s="39"/>
      <c r="C287" s="39"/>
      <c r="D287" s="39"/>
      <c r="E287" s="39"/>
      <c r="F287" s="31"/>
      <c r="G287" s="31"/>
      <c r="H287" s="31"/>
      <c r="L287" s="31"/>
      <c r="M287" s="232"/>
      <c r="O287" s="232"/>
      <c r="P287" s="232"/>
      <c r="Q287" s="232"/>
    </row>
    <row r="288" spans="2:17" x14ac:dyDescent="0.2">
      <c r="B288" s="39"/>
      <c r="C288" s="39"/>
      <c r="D288" s="39"/>
      <c r="E288" s="39"/>
      <c r="F288" s="31"/>
      <c r="G288" s="31"/>
      <c r="H288" s="31"/>
      <c r="L288" s="31"/>
      <c r="M288" s="232"/>
      <c r="O288" s="232"/>
      <c r="P288" s="232"/>
      <c r="Q288" s="232"/>
    </row>
    <row r="289" spans="2:17" x14ac:dyDescent="0.2">
      <c r="B289" s="39"/>
      <c r="C289" s="39"/>
      <c r="D289" s="39"/>
      <c r="E289" s="39"/>
      <c r="F289" s="31"/>
      <c r="G289" s="31"/>
      <c r="H289" s="31"/>
      <c r="L289" s="31"/>
      <c r="M289" s="232"/>
      <c r="O289" s="232"/>
      <c r="P289" s="232"/>
      <c r="Q289" s="232"/>
    </row>
    <row r="290" spans="2:17" x14ac:dyDescent="0.2">
      <c r="B290" s="39"/>
      <c r="C290" s="39"/>
      <c r="D290" s="39"/>
      <c r="E290" s="39"/>
      <c r="F290" s="31"/>
      <c r="G290" s="31"/>
      <c r="H290" s="31"/>
      <c r="L290" s="31"/>
      <c r="M290" s="232"/>
      <c r="O290" s="232"/>
      <c r="P290" s="232"/>
      <c r="Q290" s="232"/>
    </row>
    <row r="291" spans="2:17" x14ac:dyDescent="0.2">
      <c r="B291" s="39"/>
      <c r="C291" s="39"/>
      <c r="D291" s="39"/>
      <c r="E291" s="39"/>
      <c r="F291" s="31"/>
      <c r="G291" s="31"/>
      <c r="H291" s="31"/>
      <c r="L291" s="31"/>
      <c r="M291" s="232"/>
      <c r="O291" s="232"/>
      <c r="P291" s="232"/>
      <c r="Q291" s="232"/>
    </row>
    <row r="292" spans="2:17" x14ac:dyDescent="0.2">
      <c r="B292" s="39"/>
      <c r="C292" s="39"/>
      <c r="D292" s="39"/>
      <c r="E292" s="39"/>
      <c r="F292" s="31"/>
      <c r="G292" s="31"/>
      <c r="H292" s="31"/>
      <c r="L292" s="31"/>
      <c r="M292" s="232"/>
      <c r="O292" s="232"/>
      <c r="P292" s="232"/>
      <c r="Q292" s="232"/>
    </row>
    <row r="293" spans="2:17" x14ac:dyDescent="0.2">
      <c r="B293" s="39"/>
      <c r="C293" s="39"/>
      <c r="D293" s="39"/>
      <c r="E293" s="39"/>
      <c r="F293" s="31"/>
      <c r="G293" s="31"/>
      <c r="H293" s="31"/>
      <c r="L293" s="31"/>
      <c r="M293" s="232"/>
      <c r="O293" s="232"/>
      <c r="P293" s="232"/>
      <c r="Q293" s="232"/>
    </row>
    <row r="294" spans="2:17" x14ac:dyDescent="0.2">
      <c r="B294" s="39"/>
      <c r="C294" s="39"/>
      <c r="D294" s="39"/>
      <c r="E294" s="39"/>
      <c r="F294" s="31"/>
      <c r="G294" s="31"/>
      <c r="H294" s="31"/>
      <c r="L294" s="31"/>
      <c r="M294" s="232"/>
      <c r="O294" s="232"/>
      <c r="P294" s="232"/>
      <c r="Q294" s="232"/>
    </row>
    <row r="295" spans="2:17" x14ac:dyDescent="0.2">
      <c r="B295" s="39"/>
      <c r="C295" s="39"/>
      <c r="D295" s="39"/>
      <c r="E295" s="39"/>
      <c r="F295" s="31"/>
      <c r="G295" s="31"/>
      <c r="H295" s="31"/>
      <c r="L295" s="31"/>
      <c r="M295" s="232"/>
      <c r="O295" s="232"/>
      <c r="P295" s="232"/>
      <c r="Q295" s="232"/>
    </row>
    <row r="296" spans="2:17" x14ac:dyDescent="0.2">
      <c r="B296" s="39"/>
      <c r="C296" s="39"/>
      <c r="D296" s="39"/>
      <c r="E296" s="39"/>
      <c r="F296" s="31"/>
      <c r="G296" s="31"/>
      <c r="H296" s="31"/>
      <c r="L296" s="31"/>
      <c r="M296" s="232"/>
      <c r="O296" s="232"/>
      <c r="P296" s="232"/>
      <c r="Q296" s="232"/>
    </row>
    <row r="297" spans="2:17" x14ac:dyDescent="0.2">
      <c r="B297" s="39"/>
      <c r="C297" s="39"/>
      <c r="D297" s="39"/>
      <c r="E297" s="39"/>
      <c r="F297" s="31"/>
      <c r="G297" s="31"/>
      <c r="H297" s="31"/>
      <c r="L297" s="31"/>
      <c r="M297" s="232"/>
      <c r="O297" s="232"/>
      <c r="P297" s="232"/>
      <c r="Q297" s="232"/>
    </row>
    <row r="298" spans="2:17" x14ac:dyDescent="0.2">
      <c r="B298" s="39"/>
      <c r="C298" s="39"/>
      <c r="D298" s="39"/>
      <c r="E298" s="39"/>
      <c r="F298" s="31"/>
      <c r="G298" s="31"/>
      <c r="H298" s="31"/>
      <c r="L298" s="31"/>
      <c r="M298" s="232"/>
      <c r="O298" s="232"/>
      <c r="P298" s="232"/>
      <c r="Q298" s="232"/>
    </row>
    <row r="299" spans="2:17" x14ac:dyDescent="0.2">
      <c r="B299" s="39"/>
      <c r="C299" s="39"/>
      <c r="D299" s="39"/>
      <c r="E299" s="39"/>
      <c r="F299" s="31"/>
      <c r="G299" s="31"/>
      <c r="H299" s="31"/>
      <c r="L299" s="31"/>
      <c r="M299" s="232"/>
      <c r="O299" s="232"/>
      <c r="P299" s="232"/>
      <c r="Q299" s="232"/>
    </row>
    <row r="300" spans="2:17" x14ac:dyDescent="0.2">
      <c r="B300" s="39"/>
      <c r="C300" s="39"/>
      <c r="D300" s="39"/>
      <c r="E300" s="39"/>
      <c r="F300" s="31"/>
      <c r="G300" s="31"/>
      <c r="H300" s="31"/>
      <c r="L300" s="31"/>
      <c r="M300" s="232"/>
      <c r="O300" s="232"/>
      <c r="P300" s="232"/>
      <c r="Q300" s="232"/>
    </row>
    <row r="301" spans="2:17" x14ac:dyDescent="0.2">
      <c r="B301" s="39"/>
      <c r="C301" s="39"/>
      <c r="D301" s="39"/>
      <c r="E301" s="39"/>
      <c r="F301" s="31"/>
      <c r="G301" s="31"/>
      <c r="H301" s="31"/>
      <c r="L301" s="31"/>
      <c r="M301" s="232"/>
      <c r="O301" s="232"/>
      <c r="P301" s="232"/>
      <c r="Q301" s="232"/>
    </row>
    <row r="302" spans="2:17" x14ac:dyDescent="0.2">
      <c r="B302" s="39"/>
      <c r="C302" s="39"/>
      <c r="D302" s="39"/>
      <c r="E302" s="39"/>
      <c r="F302" s="31"/>
      <c r="G302" s="31"/>
      <c r="H302" s="31"/>
      <c r="L302" s="31"/>
      <c r="M302" s="232"/>
      <c r="O302" s="232"/>
      <c r="P302" s="232"/>
      <c r="Q302" s="232"/>
    </row>
    <row r="303" spans="2:17" x14ac:dyDescent="0.2">
      <c r="B303" s="39"/>
      <c r="C303" s="39"/>
      <c r="D303" s="39"/>
      <c r="E303" s="39"/>
      <c r="F303" s="31"/>
      <c r="G303" s="31"/>
      <c r="H303" s="31"/>
      <c r="L303" s="31"/>
      <c r="M303" s="232"/>
      <c r="O303" s="232"/>
      <c r="P303" s="232"/>
      <c r="Q303" s="232"/>
    </row>
    <row r="304" spans="2:17" x14ac:dyDescent="0.2">
      <c r="B304" s="39"/>
      <c r="C304" s="39"/>
      <c r="D304" s="39"/>
      <c r="E304" s="39"/>
      <c r="F304" s="31"/>
      <c r="G304" s="31"/>
      <c r="H304" s="31"/>
      <c r="L304" s="31"/>
      <c r="M304" s="232"/>
      <c r="O304" s="232"/>
      <c r="P304" s="232"/>
      <c r="Q304" s="232"/>
    </row>
    <row r="305" spans="2:17" x14ac:dyDescent="0.2">
      <c r="B305" s="39"/>
      <c r="C305" s="39"/>
      <c r="D305" s="39"/>
      <c r="E305" s="39"/>
      <c r="F305" s="31"/>
      <c r="G305" s="31"/>
      <c r="H305" s="31"/>
      <c r="L305" s="31"/>
      <c r="M305" s="232"/>
      <c r="O305" s="232"/>
      <c r="P305" s="232"/>
      <c r="Q305" s="232"/>
    </row>
    <row r="306" spans="2:17" x14ac:dyDescent="0.2">
      <c r="B306" s="39"/>
      <c r="C306" s="39"/>
      <c r="D306" s="39"/>
      <c r="E306" s="39"/>
      <c r="F306" s="31"/>
      <c r="G306" s="31"/>
      <c r="H306" s="31"/>
      <c r="L306" s="31"/>
      <c r="M306" s="232"/>
      <c r="O306" s="232"/>
      <c r="P306" s="232"/>
      <c r="Q306" s="232"/>
    </row>
    <row r="307" spans="2:17" x14ac:dyDescent="0.2">
      <c r="B307" s="39"/>
      <c r="C307" s="39"/>
      <c r="D307" s="39"/>
      <c r="E307" s="39"/>
      <c r="F307" s="31"/>
      <c r="G307" s="31"/>
      <c r="H307" s="31"/>
      <c r="L307" s="31"/>
      <c r="M307" s="232"/>
      <c r="O307" s="232"/>
      <c r="P307" s="232"/>
      <c r="Q307" s="232"/>
    </row>
    <row r="308" spans="2:17" x14ac:dyDescent="0.2">
      <c r="B308" s="39"/>
      <c r="C308" s="39"/>
      <c r="D308" s="39"/>
      <c r="E308" s="39"/>
      <c r="F308" s="31"/>
      <c r="G308" s="31"/>
      <c r="H308" s="31"/>
      <c r="L308" s="31"/>
      <c r="M308" s="232"/>
      <c r="O308" s="232"/>
      <c r="P308" s="232"/>
      <c r="Q308" s="232"/>
    </row>
    <row r="309" spans="2:17" x14ac:dyDescent="0.2">
      <c r="F309" s="31"/>
      <c r="G309" s="31"/>
      <c r="H309" s="31"/>
      <c r="L309" s="31"/>
      <c r="M309" s="232"/>
      <c r="O309" s="232"/>
      <c r="P309" s="232"/>
      <c r="Q309" s="232"/>
    </row>
    <row r="310" spans="2:17" x14ac:dyDescent="0.2">
      <c r="F310" s="31"/>
      <c r="G310" s="31"/>
      <c r="H310" s="31"/>
      <c r="L310" s="31"/>
      <c r="M310" s="232"/>
      <c r="O310" s="232"/>
      <c r="P310" s="232"/>
      <c r="Q310" s="232"/>
    </row>
    <row r="311" spans="2:17" x14ac:dyDescent="0.2">
      <c r="F311" s="31"/>
      <c r="G311" s="31"/>
      <c r="H311" s="31"/>
      <c r="L311" s="31"/>
      <c r="M311" s="232"/>
      <c r="O311" s="232"/>
      <c r="P311" s="232"/>
      <c r="Q311" s="232"/>
    </row>
    <row r="312" spans="2:17" x14ac:dyDescent="0.2">
      <c r="F312" s="31"/>
      <c r="G312" s="31"/>
      <c r="H312" s="31"/>
      <c r="L312" s="31"/>
      <c r="M312" s="232"/>
      <c r="O312" s="232"/>
      <c r="P312" s="232"/>
      <c r="Q312" s="232"/>
    </row>
    <row r="313" spans="2:17" x14ac:dyDescent="0.2">
      <c r="F313" s="31"/>
      <c r="G313" s="31"/>
      <c r="H313" s="31"/>
      <c r="L313" s="31"/>
      <c r="M313" s="232"/>
      <c r="O313" s="232"/>
      <c r="P313" s="232"/>
      <c r="Q313" s="232"/>
    </row>
    <row r="314" spans="2:17" x14ac:dyDescent="0.2">
      <c r="F314" s="31"/>
      <c r="G314" s="31"/>
      <c r="H314" s="31"/>
      <c r="L314" s="31"/>
      <c r="M314" s="232"/>
      <c r="O314" s="232"/>
      <c r="P314" s="232"/>
      <c r="Q314" s="232"/>
    </row>
    <row r="315" spans="2:17" x14ac:dyDescent="0.2">
      <c r="F315" s="31"/>
      <c r="G315" s="31"/>
      <c r="H315" s="31"/>
      <c r="L315" s="31"/>
      <c r="M315" s="232"/>
      <c r="O315" s="232"/>
      <c r="P315" s="232"/>
      <c r="Q315" s="232"/>
    </row>
    <row r="316" spans="2:17" x14ac:dyDescent="0.2">
      <c r="F316" s="31"/>
      <c r="G316" s="31"/>
      <c r="H316" s="31"/>
      <c r="L316" s="31"/>
      <c r="M316" s="232"/>
      <c r="O316" s="232"/>
      <c r="P316" s="232"/>
      <c r="Q316" s="232"/>
    </row>
    <row r="317" spans="2:17" x14ac:dyDescent="0.2">
      <c r="F317" s="31"/>
      <c r="G317" s="31"/>
      <c r="H317" s="31"/>
      <c r="L317" s="31"/>
      <c r="M317" s="232"/>
      <c r="O317" s="232"/>
      <c r="P317" s="232"/>
      <c r="Q317" s="232"/>
    </row>
    <row r="318" spans="2:17" x14ac:dyDescent="0.2">
      <c r="F318" s="31"/>
      <c r="G318" s="31"/>
      <c r="H318" s="31"/>
      <c r="L318" s="31"/>
      <c r="M318" s="232"/>
      <c r="O318" s="232"/>
      <c r="P318" s="232"/>
      <c r="Q318" s="232"/>
    </row>
    <row r="319" spans="2:17" x14ac:dyDescent="0.2">
      <c r="F319" s="31"/>
      <c r="G319" s="31"/>
      <c r="H319" s="31"/>
      <c r="L319" s="31"/>
      <c r="M319" s="232"/>
      <c r="O319" s="232"/>
      <c r="P319" s="232"/>
      <c r="Q319" s="232"/>
    </row>
    <row r="320" spans="2:17" x14ac:dyDescent="0.2">
      <c r="F320" s="31"/>
      <c r="G320" s="31"/>
      <c r="H320" s="31"/>
      <c r="L320" s="31"/>
      <c r="M320" s="232"/>
      <c r="O320" s="232"/>
      <c r="P320" s="232"/>
      <c r="Q320" s="232"/>
    </row>
    <row r="321" spans="6:17" x14ac:dyDescent="0.2">
      <c r="F321" s="31"/>
      <c r="G321" s="31"/>
      <c r="H321" s="31"/>
      <c r="L321" s="31"/>
      <c r="M321" s="232"/>
      <c r="O321" s="232"/>
      <c r="P321" s="232"/>
      <c r="Q321" s="232"/>
    </row>
    <row r="322" spans="6:17" x14ac:dyDescent="0.2">
      <c r="F322" s="31"/>
      <c r="G322" s="31"/>
      <c r="H322" s="31"/>
      <c r="L322" s="31"/>
      <c r="M322" s="232"/>
      <c r="O322" s="232"/>
      <c r="P322" s="232"/>
      <c r="Q322" s="232"/>
    </row>
    <row r="323" spans="6:17" x14ac:dyDescent="0.2">
      <c r="L323" s="31"/>
      <c r="M323" s="232"/>
      <c r="P323" s="232"/>
      <c r="Q323" s="232"/>
    </row>
    <row r="324" spans="6:17" x14ac:dyDescent="0.2">
      <c r="L324" s="31"/>
      <c r="M324" s="232"/>
      <c r="P324" s="232"/>
      <c r="Q324" s="232"/>
    </row>
    <row r="325" spans="6:17" x14ac:dyDescent="0.2">
      <c r="L325" s="31"/>
      <c r="M325" s="232"/>
      <c r="P325" s="232"/>
      <c r="Q325" s="232"/>
    </row>
    <row r="326" spans="6:17" x14ac:dyDescent="0.2">
      <c r="L326" s="31"/>
      <c r="M326" s="232"/>
      <c r="P326" s="232"/>
      <c r="Q326" s="232"/>
    </row>
    <row r="327" spans="6:17" x14ac:dyDescent="0.2">
      <c r="L327" s="31"/>
      <c r="M327" s="232"/>
      <c r="P327" s="232"/>
      <c r="Q327" s="232"/>
    </row>
    <row r="328" spans="6:17" x14ac:dyDescent="0.2">
      <c r="L328" s="31"/>
      <c r="M328" s="232"/>
      <c r="P328" s="232"/>
      <c r="Q328" s="232"/>
    </row>
    <row r="329" spans="6:17" x14ac:dyDescent="0.2">
      <c r="L329" s="31"/>
      <c r="M329" s="232"/>
      <c r="P329" s="232"/>
      <c r="Q329" s="232"/>
    </row>
    <row r="330" spans="6:17" x14ac:dyDescent="0.2">
      <c r="L330" s="31"/>
      <c r="M330" s="232"/>
      <c r="P330" s="232"/>
      <c r="Q330" s="232"/>
    </row>
    <row r="331" spans="6:17" x14ac:dyDescent="0.2">
      <c r="L331" s="31"/>
      <c r="M331" s="232"/>
      <c r="P331" s="232"/>
      <c r="Q331" s="232"/>
    </row>
    <row r="332" spans="6:17" x14ac:dyDescent="0.2">
      <c r="L332" s="31"/>
      <c r="M332" s="232"/>
      <c r="P332" s="232"/>
      <c r="Q332" s="232"/>
    </row>
    <row r="333" spans="6:17" x14ac:dyDescent="0.2">
      <c r="L333" s="31"/>
      <c r="M333" s="232"/>
      <c r="P333" s="232"/>
      <c r="Q333" s="232"/>
    </row>
    <row r="334" spans="6:17" x14ac:dyDescent="0.2">
      <c r="L334" s="31"/>
      <c r="M334" s="232"/>
      <c r="P334" s="232"/>
      <c r="Q334" s="232"/>
    </row>
    <row r="335" spans="6:17" x14ac:dyDescent="0.2">
      <c r="L335" s="31"/>
      <c r="M335" s="232"/>
      <c r="P335" s="232"/>
      <c r="Q335" s="232"/>
    </row>
    <row r="336" spans="6:17" x14ac:dyDescent="0.2">
      <c r="L336" s="31"/>
      <c r="M336" s="232"/>
      <c r="P336" s="232"/>
      <c r="Q336" s="232"/>
    </row>
    <row r="337" spans="12:17" x14ac:dyDescent="0.2">
      <c r="L337" s="31"/>
      <c r="M337" s="232"/>
      <c r="P337" s="232"/>
      <c r="Q337" s="232"/>
    </row>
    <row r="338" spans="12:17" x14ac:dyDescent="0.2">
      <c r="L338" s="31"/>
      <c r="M338" s="232"/>
      <c r="P338" s="232"/>
      <c r="Q338" s="232"/>
    </row>
    <row r="339" spans="12:17" x14ac:dyDescent="0.2">
      <c r="L339" s="31"/>
      <c r="M339" s="232"/>
      <c r="P339" s="232"/>
      <c r="Q339" s="232"/>
    </row>
    <row r="340" spans="12:17" x14ac:dyDescent="0.2">
      <c r="L340" s="31"/>
      <c r="M340" s="232"/>
      <c r="P340" s="232"/>
      <c r="Q340" s="232"/>
    </row>
    <row r="341" spans="12:17" x14ac:dyDescent="0.2">
      <c r="L341" s="31"/>
      <c r="M341" s="232"/>
      <c r="P341" s="232"/>
      <c r="Q341" s="232"/>
    </row>
    <row r="342" spans="12:17" x14ac:dyDescent="0.2">
      <c r="L342" s="31"/>
      <c r="M342" s="232"/>
      <c r="P342" s="232"/>
      <c r="Q342" s="232"/>
    </row>
    <row r="343" spans="12:17" x14ac:dyDescent="0.2">
      <c r="L343" s="31"/>
      <c r="M343" s="232"/>
      <c r="P343" s="232"/>
      <c r="Q343" s="232"/>
    </row>
    <row r="344" spans="12:17" x14ac:dyDescent="0.2">
      <c r="L344" s="31"/>
      <c r="M344" s="232"/>
      <c r="P344" s="232"/>
      <c r="Q344" s="232"/>
    </row>
    <row r="345" spans="12:17" x14ac:dyDescent="0.2">
      <c r="L345" s="31"/>
      <c r="M345" s="232"/>
      <c r="P345" s="232"/>
      <c r="Q345" s="232"/>
    </row>
    <row r="346" spans="12:17" x14ac:dyDescent="0.2">
      <c r="L346" s="31"/>
      <c r="M346" s="232"/>
      <c r="P346" s="232"/>
      <c r="Q346" s="232"/>
    </row>
    <row r="347" spans="12:17" x14ac:dyDescent="0.2">
      <c r="L347" s="31"/>
      <c r="M347" s="232"/>
      <c r="P347" s="232"/>
      <c r="Q347" s="232"/>
    </row>
    <row r="348" spans="12:17" x14ac:dyDescent="0.2">
      <c r="L348" s="31"/>
      <c r="M348" s="232"/>
      <c r="P348" s="232"/>
      <c r="Q348" s="232"/>
    </row>
    <row r="349" spans="12:17" x14ac:dyDescent="0.2">
      <c r="L349" s="31"/>
      <c r="M349" s="232"/>
      <c r="P349" s="232"/>
      <c r="Q349" s="232"/>
    </row>
    <row r="350" spans="12:17" x14ac:dyDescent="0.2">
      <c r="L350" s="31"/>
      <c r="M350" s="232"/>
      <c r="P350" s="232"/>
      <c r="Q350" s="232"/>
    </row>
    <row r="351" spans="12:17" x14ac:dyDescent="0.2">
      <c r="L351" s="31"/>
      <c r="M351" s="232"/>
      <c r="P351" s="232"/>
      <c r="Q351" s="232"/>
    </row>
    <row r="352" spans="12:17" x14ac:dyDescent="0.2">
      <c r="L352" s="31"/>
      <c r="M352" s="232"/>
      <c r="P352" s="232"/>
      <c r="Q352" s="232"/>
    </row>
    <row r="353" spans="12:17" x14ac:dyDescent="0.2">
      <c r="L353" s="31"/>
      <c r="M353" s="232"/>
      <c r="P353" s="232"/>
      <c r="Q353" s="232"/>
    </row>
    <row r="354" spans="12:17" x14ac:dyDescent="0.2">
      <c r="L354" s="31"/>
      <c r="M354" s="232"/>
      <c r="P354" s="232"/>
      <c r="Q354" s="232"/>
    </row>
    <row r="355" spans="12:17" x14ac:dyDescent="0.2">
      <c r="L355" s="31"/>
      <c r="M355" s="232"/>
      <c r="P355" s="232"/>
      <c r="Q355" s="232"/>
    </row>
    <row r="356" spans="12:17" x14ac:dyDescent="0.2">
      <c r="L356" s="31"/>
      <c r="M356" s="232"/>
      <c r="P356" s="232"/>
      <c r="Q356" s="232"/>
    </row>
    <row r="357" spans="12:17" x14ac:dyDescent="0.2">
      <c r="L357" s="31"/>
      <c r="M357" s="232"/>
      <c r="P357" s="232"/>
      <c r="Q357" s="232"/>
    </row>
    <row r="358" spans="12:17" x14ac:dyDescent="0.2">
      <c r="L358" s="31"/>
      <c r="M358" s="232"/>
      <c r="P358" s="232"/>
      <c r="Q358" s="232"/>
    </row>
    <row r="359" spans="12:17" x14ac:dyDescent="0.2">
      <c r="L359" s="31"/>
      <c r="M359" s="232"/>
      <c r="P359" s="232"/>
      <c r="Q359" s="232"/>
    </row>
    <row r="360" spans="12:17" x14ac:dyDescent="0.2">
      <c r="L360" s="31"/>
      <c r="M360" s="232"/>
      <c r="P360" s="232"/>
      <c r="Q360" s="232"/>
    </row>
    <row r="361" spans="12:17" x14ac:dyDescent="0.2">
      <c r="L361" s="31"/>
      <c r="M361" s="232"/>
      <c r="P361" s="232"/>
      <c r="Q361" s="232"/>
    </row>
    <row r="362" spans="12:17" x14ac:dyDescent="0.2">
      <c r="L362" s="31"/>
      <c r="M362" s="232"/>
      <c r="P362" s="232"/>
      <c r="Q362" s="232"/>
    </row>
    <row r="363" spans="12:17" x14ac:dyDescent="0.2">
      <c r="L363" s="31"/>
      <c r="M363" s="232"/>
      <c r="P363" s="232"/>
      <c r="Q363" s="232"/>
    </row>
    <row r="364" spans="12:17" x14ac:dyDescent="0.2">
      <c r="L364" s="31"/>
      <c r="M364" s="232"/>
      <c r="P364" s="232"/>
      <c r="Q364" s="232"/>
    </row>
    <row r="365" spans="12:17" x14ac:dyDescent="0.2">
      <c r="L365" s="31"/>
      <c r="M365" s="232"/>
      <c r="P365" s="232"/>
      <c r="Q365" s="232"/>
    </row>
    <row r="366" spans="12:17" x14ac:dyDescent="0.2">
      <c r="L366" s="31"/>
      <c r="M366" s="232"/>
      <c r="P366" s="232"/>
      <c r="Q366" s="232"/>
    </row>
    <row r="367" spans="12:17" x14ac:dyDescent="0.2">
      <c r="L367" s="31"/>
      <c r="M367" s="232"/>
      <c r="P367" s="232"/>
      <c r="Q367" s="232"/>
    </row>
  </sheetData>
  <phoneticPr fontId="8" type="noConversion"/>
  <printOptions horizontalCentered="1" gridLinesSet="0"/>
  <pageMargins left="0.1" right="0.1" top="0.5" bottom="0.5" header="0.5" footer="0.5"/>
  <pageSetup scale="65" fitToHeight="20" orientation="landscape" r:id="rId1"/>
  <headerFooter alignWithMargins="0">
    <oddFooter>&amp;CPage &amp;P of &amp;N</oddFooter>
  </headerFooter>
  <rowBreaks count="8" manualBreakCount="8">
    <brk id="49" max="11" man="1"/>
    <brk id="89" max="11" man="1"/>
    <brk id="134" max="11" man="1"/>
    <brk id="159" max="16383" man="1"/>
    <brk id="209" max="65535" man="1"/>
    <brk id="244" max="65535" man="1"/>
    <brk id="283" max="65535" man="1"/>
    <brk id="346"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5F48-113D-4639-845C-983568BFCFC1}">
  <sheetPr syncVertical="1" syncRef="A1" transitionEvaluation="1" transitionEntry="1" codeName="Sheet10"/>
  <dimension ref="A2:Y20"/>
  <sheetViews>
    <sheetView showGridLines="0" zoomScaleNormal="100" workbookViewId="0">
      <selection activeCell="I34" sqref="I34"/>
    </sheetView>
  </sheetViews>
  <sheetFormatPr defaultColWidth="9.7109375" defaultRowHeight="12" customHeight="1" x14ac:dyDescent="0.2"/>
  <cols>
    <col min="1" max="1" width="50" customWidth="1"/>
    <col min="2" max="2" width="10.140625" customWidth="1"/>
    <col min="3" max="3" width="8.140625" customWidth="1"/>
    <col min="4" max="4" width="9.42578125" customWidth="1"/>
    <col min="5" max="5" width="9.140625" customWidth="1"/>
    <col min="6" max="6" width="9.7109375" customWidth="1"/>
    <col min="7" max="7" width="8.85546875" customWidth="1"/>
    <col min="8" max="8" width="10" customWidth="1"/>
    <col min="9" max="9" width="12.42578125" customWidth="1"/>
    <col min="10" max="10" width="9.140625" customWidth="1"/>
    <col min="11" max="11" width="11.42578125" customWidth="1"/>
    <col min="12" max="12" width="12" customWidth="1"/>
    <col min="13" max="16" width="13.7109375" hidden="1" customWidth="1"/>
    <col min="17" max="17" width="10.42578125" customWidth="1"/>
    <col min="18" max="18" width="15.85546875" customWidth="1"/>
    <col min="19" max="19" width="14.7109375" customWidth="1"/>
    <col min="20" max="20" width="16.7109375" customWidth="1"/>
  </cols>
  <sheetData>
    <row r="2" spans="1:25" ht="18" x14ac:dyDescent="0.35">
      <c r="A2" s="569" t="s">
        <v>700</v>
      </c>
      <c r="K2" s="2"/>
    </row>
    <row r="3" spans="1:25" ht="18" x14ac:dyDescent="0.35">
      <c r="A3" s="569" t="s">
        <v>229</v>
      </c>
      <c r="K3" s="2"/>
    </row>
    <row r="4" spans="1:25" ht="18" x14ac:dyDescent="0.35">
      <c r="A4" s="568" t="s">
        <v>601</v>
      </c>
    </row>
    <row r="5" spans="1:25" ht="12" customHeight="1" x14ac:dyDescent="0.2">
      <c r="B5" s="14"/>
      <c r="C5" s="14"/>
      <c r="D5" s="14"/>
      <c r="E5" s="14"/>
      <c r="F5" s="27"/>
      <c r="G5" s="14"/>
      <c r="H5" s="34"/>
      <c r="I5" s="57" t="s">
        <v>602</v>
      </c>
      <c r="J5" s="58"/>
      <c r="K5" s="64"/>
      <c r="L5" s="34"/>
    </row>
    <row r="6" spans="1:25" ht="12" customHeight="1" x14ac:dyDescent="0.2">
      <c r="B6" s="57" t="s">
        <v>576</v>
      </c>
      <c r="C6" s="58"/>
      <c r="D6" s="58"/>
      <c r="E6" s="58"/>
      <c r="F6" s="61"/>
      <c r="G6" s="58"/>
      <c r="H6" s="60"/>
      <c r="I6" s="57" t="s">
        <v>593</v>
      </c>
      <c r="J6" s="58"/>
      <c r="K6" s="66" t="s">
        <v>577</v>
      </c>
      <c r="L6" s="60"/>
    </row>
    <row r="7" spans="1:25" ht="12" customHeight="1" x14ac:dyDescent="0.2">
      <c r="B7" s="54"/>
      <c r="C7" s="51"/>
      <c r="D7" s="51"/>
      <c r="E7" s="51"/>
      <c r="F7" s="52"/>
      <c r="G7" s="51"/>
      <c r="H7" s="53"/>
      <c r="I7" s="55"/>
      <c r="J7" s="56"/>
      <c r="K7" s="67"/>
      <c r="L7" s="56"/>
      <c r="M7" s="1" t="s">
        <v>396</v>
      </c>
      <c r="N7" s="1"/>
      <c r="O7" s="1"/>
      <c r="P7" s="1"/>
      <c r="U7" s="3"/>
      <c r="V7" s="409"/>
      <c r="W7" s="409"/>
      <c r="X7" s="409"/>
      <c r="Y7" s="409"/>
    </row>
    <row r="8" spans="1:25" ht="12" customHeight="1" x14ac:dyDescent="0.2">
      <c r="B8" s="19" t="s">
        <v>569</v>
      </c>
      <c r="C8" s="19" t="s">
        <v>570</v>
      </c>
      <c r="D8" s="19" t="s">
        <v>571</v>
      </c>
      <c r="E8" s="19" t="s">
        <v>572</v>
      </c>
      <c r="F8" s="28" t="s">
        <v>578</v>
      </c>
      <c r="G8" s="19" t="s">
        <v>579</v>
      </c>
      <c r="H8" s="34"/>
      <c r="I8" s="14"/>
      <c r="J8" s="14"/>
      <c r="K8" s="68" t="s">
        <v>580</v>
      </c>
      <c r="L8" s="35" t="s">
        <v>580</v>
      </c>
      <c r="M8" s="1" t="s">
        <v>603</v>
      </c>
      <c r="N8" s="120" t="s">
        <v>281</v>
      </c>
      <c r="O8" s="120" t="s">
        <v>282</v>
      </c>
      <c r="P8" s="120" t="s">
        <v>580</v>
      </c>
      <c r="S8" s="1"/>
      <c r="T8" s="1"/>
      <c r="V8" s="408"/>
      <c r="W8" s="408"/>
      <c r="X8" s="408"/>
      <c r="Y8" s="408"/>
    </row>
    <row r="9" spans="1:25" ht="12" customHeight="1" x14ac:dyDescent="0.2">
      <c r="B9" s="10">
        <f>Costs!$B$3</f>
        <v>164.9</v>
      </c>
      <c r="C9" s="10">
        <f>Costs!$B$4</f>
        <v>97.45</v>
      </c>
      <c r="D9" s="10">
        <f>Costs!$B$5</f>
        <v>72.61</v>
      </c>
      <c r="E9" s="10">
        <f>Costs!$B$6</f>
        <v>43.67</v>
      </c>
      <c r="F9" s="28" t="s">
        <v>583</v>
      </c>
      <c r="G9" s="19" t="s">
        <v>584</v>
      </c>
      <c r="H9" s="35" t="s">
        <v>585</v>
      </c>
      <c r="I9" s="14"/>
      <c r="J9" s="19" t="s">
        <v>604</v>
      </c>
      <c r="K9" s="68" t="s">
        <v>582</v>
      </c>
      <c r="L9" s="35" t="s">
        <v>583</v>
      </c>
      <c r="M9" s="1" t="s">
        <v>605</v>
      </c>
      <c r="N9" s="120"/>
      <c r="O9" s="120"/>
      <c r="P9" s="120" t="s">
        <v>586</v>
      </c>
      <c r="S9" s="1"/>
      <c r="T9" s="1"/>
      <c r="V9" s="408"/>
      <c r="W9" s="408"/>
      <c r="X9" s="408"/>
      <c r="Y9" s="408"/>
    </row>
    <row r="10" spans="1:25" ht="12" customHeight="1" x14ac:dyDescent="0.2">
      <c r="A10" s="3" t="s">
        <v>588</v>
      </c>
      <c r="B10" s="19" t="s">
        <v>590</v>
      </c>
      <c r="C10" s="19" t="s">
        <v>590</v>
      </c>
      <c r="D10" s="19" t="s">
        <v>590</v>
      </c>
      <c r="E10" s="19" t="s">
        <v>590</v>
      </c>
      <c r="F10" s="28" t="s">
        <v>607</v>
      </c>
      <c r="G10" s="19" t="s">
        <v>592</v>
      </c>
      <c r="H10" s="35" t="s">
        <v>592</v>
      </c>
      <c r="I10" s="19" t="s">
        <v>574</v>
      </c>
      <c r="J10" s="19" t="s">
        <v>606</v>
      </c>
      <c r="K10" s="68" t="s">
        <v>591</v>
      </c>
      <c r="L10" s="35" t="s">
        <v>591</v>
      </c>
      <c r="M10" s="120" t="s">
        <v>607</v>
      </c>
      <c r="N10" s="120"/>
      <c r="O10" s="120"/>
      <c r="P10" s="120" t="s">
        <v>592</v>
      </c>
      <c r="Q10" s="33"/>
      <c r="R10" s="33"/>
      <c r="S10" s="1"/>
      <c r="T10" s="1"/>
      <c r="V10" s="410"/>
      <c r="W10" s="410"/>
      <c r="X10" s="410"/>
      <c r="Y10" s="410"/>
    </row>
    <row r="11" spans="1:25" ht="12" customHeight="1" x14ac:dyDescent="0.2">
      <c r="A11" s="266" t="s">
        <v>496</v>
      </c>
      <c r="B11" s="356"/>
      <c r="C11" s="356"/>
      <c r="D11" s="356"/>
      <c r="E11" s="356"/>
      <c r="F11" s="356"/>
      <c r="G11" s="356"/>
      <c r="H11" s="356"/>
      <c r="I11" s="271"/>
      <c r="J11" s="271"/>
      <c r="K11" s="356"/>
      <c r="L11" s="268"/>
      <c r="M11" s="119"/>
      <c r="N11" s="48"/>
      <c r="O11" s="48"/>
      <c r="P11" s="48"/>
      <c r="Q11" s="33"/>
      <c r="R11" s="33"/>
      <c r="S11" s="2"/>
    </row>
    <row r="12" spans="1:25" ht="12" customHeight="1" thickBot="1" x14ac:dyDescent="0.25">
      <c r="A12" s="319" t="s">
        <v>563</v>
      </c>
      <c r="B12" s="347">
        <v>0</v>
      </c>
      <c r="C12" s="347">
        <v>0</v>
      </c>
      <c r="D12" s="347">
        <v>0</v>
      </c>
      <c r="E12" s="347">
        <v>0</v>
      </c>
      <c r="F12" s="348">
        <f>$B$9*B12+$C$9*C12+$D$9*D12+$E$9*E12</f>
        <v>0</v>
      </c>
      <c r="G12" s="191" t="str">
        <f>Costs!$B$62</f>
        <v xml:space="preserve"> </v>
      </c>
      <c r="H12" s="349">
        <f>Costs!B67</f>
        <v>21.67</v>
      </c>
      <c r="I12" s="283">
        <f>Universe!C6</f>
        <v>36</v>
      </c>
      <c r="J12" s="283">
        <f>Universe!C2</f>
        <v>0</v>
      </c>
      <c r="K12" s="347">
        <f>ROUND((I12+J12)*(B12+C12+D12+E12),2)</f>
        <v>0</v>
      </c>
      <c r="L12" s="350">
        <f>(I12+J12)*(H12+G12+F12)</f>
        <v>780.12000000000012</v>
      </c>
      <c r="M12" s="134">
        <f>L12/(J12+I12)</f>
        <v>21.67</v>
      </c>
      <c r="N12" s="133">
        <f>F12*(I12+J12)</f>
        <v>0</v>
      </c>
      <c r="O12" s="133">
        <f>G12*(I12+J12)</f>
        <v>0</v>
      </c>
      <c r="P12" s="133">
        <f>H12*(I12+J12)</f>
        <v>780.12000000000012</v>
      </c>
      <c r="Q12" s="44"/>
      <c r="R12" s="44"/>
      <c r="S12" s="2"/>
    </row>
    <row r="13" spans="1:25" ht="12" customHeight="1" thickBot="1" x14ac:dyDescent="0.25">
      <c r="A13" s="306" t="s">
        <v>567</v>
      </c>
      <c r="B13" s="351">
        <v>0</v>
      </c>
      <c r="C13" s="351">
        <v>0</v>
      </c>
      <c r="D13" s="351">
        <v>0</v>
      </c>
      <c r="E13" s="351">
        <v>0</v>
      </c>
      <c r="F13" s="352">
        <v>0</v>
      </c>
      <c r="G13" s="353">
        <v>0</v>
      </c>
      <c r="H13" s="353">
        <f>H12</f>
        <v>21.67</v>
      </c>
      <c r="I13" s="354">
        <f>I12</f>
        <v>36</v>
      </c>
      <c r="J13" s="354">
        <f>J12</f>
        <v>0</v>
      </c>
      <c r="K13" s="351">
        <f>SUM(K12:K12)</f>
        <v>0</v>
      </c>
      <c r="L13" s="355">
        <f>SUM(L12:L12)</f>
        <v>780.12000000000012</v>
      </c>
      <c r="M13" s="134">
        <f>M12</f>
        <v>21.67</v>
      </c>
      <c r="N13" s="133">
        <f>N12</f>
        <v>0</v>
      </c>
      <c r="O13" s="133">
        <f>O12</f>
        <v>0</v>
      </c>
      <c r="P13" s="133">
        <f>P12</f>
        <v>780.12000000000012</v>
      </c>
      <c r="Q13" s="33"/>
      <c r="R13" s="33"/>
      <c r="S13" s="2"/>
    </row>
    <row r="14" spans="1:25" ht="12" customHeight="1" x14ac:dyDescent="0.2">
      <c r="B14" s="2"/>
      <c r="C14" s="2"/>
      <c r="D14" s="2"/>
      <c r="E14" s="2"/>
      <c r="F14" s="2"/>
      <c r="G14" s="2"/>
      <c r="H14" s="2"/>
      <c r="I14" s="7"/>
      <c r="J14" s="7"/>
      <c r="K14" s="2"/>
      <c r="L14" s="4"/>
      <c r="M14" s="4"/>
      <c r="N14" s="4"/>
      <c r="O14" s="4"/>
      <c r="P14" s="4"/>
      <c r="S14" s="2"/>
    </row>
    <row r="15" spans="1:25" ht="12" customHeight="1" x14ac:dyDescent="0.2">
      <c r="B15" s="2"/>
      <c r="C15" s="2"/>
      <c r="D15" s="2"/>
      <c r="E15" s="2"/>
      <c r="F15" s="2"/>
      <c r="G15" s="2"/>
      <c r="H15" s="2"/>
      <c r="I15" s="7"/>
      <c r="J15" s="7"/>
      <c r="K15" s="2"/>
      <c r="L15" s="4"/>
      <c r="M15" s="4"/>
      <c r="N15" s="4"/>
      <c r="O15" s="4"/>
      <c r="P15" s="4"/>
    </row>
    <row r="16" spans="1:25" ht="12" customHeight="1" x14ac:dyDescent="0.2">
      <c r="B16" s="2"/>
      <c r="C16" s="2"/>
      <c r="D16" s="2"/>
      <c r="E16" s="2"/>
      <c r="F16" s="2"/>
      <c r="G16" s="2"/>
      <c r="H16" s="2"/>
      <c r="I16" s="7"/>
      <c r="J16" s="7"/>
      <c r="K16" s="2"/>
      <c r="L16" s="4"/>
      <c r="S16" s="5"/>
    </row>
    <row r="17" spans="2:19" ht="12" customHeight="1" x14ac:dyDescent="0.2">
      <c r="B17" s="2"/>
      <c r="C17" s="2"/>
      <c r="D17" s="2"/>
      <c r="E17" s="2"/>
      <c r="F17" s="2"/>
      <c r="G17" s="2"/>
      <c r="H17" s="2"/>
      <c r="I17" s="7"/>
      <c r="J17" s="7"/>
      <c r="K17" s="2"/>
      <c r="L17" s="4"/>
    </row>
    <row r="18" spans="2:19" ht="12" customHeight="1" x14ac:dyDescent="0.2">
      <c r="B18" s="2"/>
      <c r="C18" s="2"/>
      <c r="D18" s="2"/>
      <c r="E18" s="2"/>
      <c r="F18" s="2"/>
      <c r="G18" s="2"/>
      <c r="H18" s="2"/>
      <c r="K18" s="2"/>
      <c r="S18" s="3"/>
    </row>
    <row r="19" spans="2:19" ht="12" customHeight="1" x14ac:dyDescent="0.2">
      <c r="B19" s="6"/>
      <c r="S19" s="5"/>
    </row>
    <row r="20" spans="2:19" ht="12" customHeight="1" x14ac:dyDescent="0.2">
      <c r="B20" s="6"/>
      <c r="S20" s="2"/>
    </row>
  </sheetData>
  <phoneticPr fontId="8" type="noConversion"/>
  <printOptions horizontalCentered="1" gridLinesSet="0"/>
  <pageMargins left="0.1" right="0.1" top="0.5" bottom="0.5" header="0.5" footer="0.5"/>
  <pageSetup scale="88" orientation="landscape" r:id="rId1"/>
  <headerFooter alignWithMargins="0">
    <oddFooter>Page &amp;P of &amp;N</oddFooter>
  </headerFooter>
  <rowBreaks count="1" manualBreakCount="1">
    <brk id="2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9C2E-A15D-4043-ADAB-6146470B4502}">
  <sheetPr syncVertical="1" syncRef="A1" transitionEvaluation="1" codeName="Sheet11"/>
  <dimension ref="A1:O55"/>
  <sheetViews>
    <sheetView showGridLines="0" zoomScaleNormal="100" workbookViewId="0">
      <selection activeCell="A53" sqref="A53:IV53"/>
    </sheetView>
  </sheetViews>
  <sheetFormatPr defaultColWidth="9.7109375" defaultRowHeight="12" customHeight="1" x14ac:dyDescent="0.2"/>
  <cols>
    <col min="1" max="1" width="43.85546875" customWidth="1"/>
    <col min="2" max="2" width="16.140625" customWidth="1"/>
    <col min="3" max="3" width="16.85546875" style="49" customWidth="1"/>
    <col min="4" max="4" width="17.85546875" style="49" customWidth="1"/>
    <col min="5" max="5" width="13.42578125" style="45" customWidth="1"/>
    <col min="6" max="6" width="18.140625" style="31" customWidth="1"/>
    <col min="7" max="7" width="23.140625" style="398" customWidth="1"/>
    <col min="8" max="8" width="49.85546875" style="83" hidden="1" customWidth="1"/>
    <col min="9" max="9" width="12.7109375" style="83" hidden="1" customWidth="1"/>
    <col min="10" max="10" width="11.7109375" style="83" hidden="1" customWidth="1"/>
    <col min="11" max="11" width="15" style="83" hidden="1" customWidth="1"/>
    <col min="12" max="12" width="14.85546875" style="83" hidden="1" customWidth="1"/>
    <col min="13" max="13" width="12.7109375" style="83" hidden="1" customWidth="1"/>
    <col min="14" max="14" width="0" style="83" hidden="1" customWidth="1"/>
    <col min="15" max="15" width="12.7109375" style="83" bestFit="1" customWidth="1"/>
    <col min="16" max="16384" width="9.7109375" style="83"/>
  </cols>
  <sheetData>
    <row r="1" spans="1:15" ht="18" x14ac:dyDescent="0.35">
      <c r="A1" s="569" t="s">
        <v>688</v>
      </c>
    </row>
    <row r="2" spans="1:15" ht="18" x14ac:dyDescent="0.35">
      <c r="A2" s="570" t="s">
        <v>497</v>
      </c>
      <c r="B2" s="1"/>
      <c r="C2" s="50"/>
      <c r="D2" s="50"/>
    </row>
    <row r="3" spans="1:15" ht="18" x14ac:dyDescent="0.35">
      <c r="A3" s="570" t="s">
        <v>498</v>
      </c>
      <c r="B3" s="1"/>
      <c r="C3" s="50"/>
      <c r="D3" s="50"/>
    </row>
    <row r="5" spans="1:15" ht="12" customHeight="1" x14ac:dyDescent="0.2">
      <c r="B5" s="81" t="s">
        <v>578</v>
      </c>
      <c r="C5" s="10" t="s">
        <v>579</v>
      </c>
      <c r="D5" s="75"/>
      <c r="E5" s="76"/>
      <c r="F5" s="75"/>
      <c r="G5" s="399"/>
    </row>
    <row r="6" spans="1:15" ht="12" customHeight="1" x14ac:dyDescent="0.2">
      <c r="B6" s="81" t="s">
        <v>583</v>
      </c>
      <c r="C6" s="10" t="s">
        <v>584</v>
      </c>
      <c r="D6" s="10" t="s">
        <v>585</v>
      </c>
      <c r="E6" s="46" t="s">
        <v>499</v>
      </c>
      <c r="F6" s="10" t="s">
        <v>271</v>
      </c>
      <c r="G6" s="400"/>
    </row>
    <row r="7" spans="1:15" ht="12" customHeight="1" x14ac:dyDescent="0.2">
      <c r="B7" s="81" t="s">
        <v>591</v>
      </c>
      <c r="C7" s="10" t="s">
        <v>592</v>
      </c>
      <c r="D7" s="10" t="s">
        <v>592</v>
      </c>
      <c r="E7" s="46" t="s">
        <v>500</v>
      </c>
      <c r="F7" s="10" t="s">
        <v>500</v>
      </c>
      <c r="G7" s="400"/>
      <c r="H7" s="83" t="s">
        <v>451</v>
      </c>
    </row>
    <row r="8" spans="1:15" ht="12" customHeight="1" x14ac:dyDescent="0.2">
      <c r="A8" s="388" t="s">
        <v>704</v>
      </c>
      <c r="B8" s="310"/>
      <c r="C8" s="389"/>
      <c r="D8" s="389"/>
      <c r="E8" s="312"/>
      <c r="F8" s="260"/>
      <c r="G8" s="232"/>
      <c r="H8" s="83" t="s">
        <v>704</v>
      </c>
      <c r="I8" s="542"/>
      <c r="J8" s="542"/>
      <c r="K8" s="542"/>
      <c r="L8" s="542"/>
      <c r="M8" s="542"/>
      <c r="O8" s="542"/>
    </row>
    <row r="9" spans="1:15" ht="12" customHeight="1" x14ac:dyDescent="0.2">
      <c r="A9" s="90" t="s">
        <v>501</v>
      </c>
      <c r="B9" s="98">
        <f>'EX 1'!R64</f>
        <v>417439.94999999995</v>
      </c>
      <c r="C9" s="122">
        <f>'EX 1'!S64</f>
        <v>0</v>
      </c>
      <c r="D9" s="122">
        <f>'EX 1'!T64</f>
        <v>224596</v>
      </c>
      <c r="E9" s="94">
        <f>'EX 1'!K64</f>
        <v>5870.75</v>
      </c>
      <c r="F9" s="93">
        <f>'EX 1'!L64</f>
        <v>642035.94999999995</v>
      </c>
      <c r="G9" s="130"/>
      <c r="H9" s="398" t="s">
        <v>501</v>
      </c>
      <c r="I9" s="542"/>
      <c r="J9" s="542"/>
      <c r="K9" s="542"/>
      <c r="L9" s="542"/>
      <c r="M9" s="542"/>
      <c r="O9" s="542"/>
    </row>
    <row r="10" spans="1:15" ht="12" customHeight="1" x14ac:dyDescent="0.2">
      <c r="A10" s="90" t="s">
        <v>502</v>
      </c>
      <c r="B10" s="122">
        <f>'EX 1'!R96</f>
        <v>259870.12000000002</v>
      </c>
      <c r="C10" s="122">
        <f>'EX 1'!S96</f>
        <v>0</v>
      </c>
      <c r="D10" s="122">
        <f>'EX 1'!T96</f>
        <v>240</v>
      </c>
      <c r="E10" s="94">
        <f>'EX 1'!K96</f>
        <v>4536</v>
      </c>
      <c r="F10" s="93">
        <f>'EX 1'!L96</f>
        <v>260110.12000000002</v>
      </c>
      <c r="G10" s="130"/>
      <c r="H10" s="398" t="s">
        <v>502</v>
      </c>
      <c r="I10" s="542"/>
      <c r="J10" s="542"/>
      <c r="K10" s="542"/>
      <c r="L10" s="542"/>
      <c r="M10" s="542"/>
      <c r="O10" s="542"/>
    </row>
    <row r="11" spans="1:15" ht="12" customHeight="1" x14ac:dyDescent="0.2">
      <c r="A11" s="90" t="s">
        <v>503</v>
      </c>
      <c r="B11" s="98">
        <f>'EX 1'!R136</f>
        <v>13759.960000000003</v>
      </c>
      <c r="C11" s="98">
        <f>'EX 1'!S136</f>
        <v>0</v>
      </c>
      <c r="D11" s="98">
        <f>'EX 1'!T136</f>
        <v>84.800000000000011</v>
      </c>
      <c r="E11" s="94">
        <f>'EX 1'!K136</f>
        <v>218</v>
      </c>
      <c r="F11" s="93">
        <f>'EX 1'!L136</f>
        <v>13844.760000000002</v>
      </c>
      <c r="G11" s="130"/>
      <c r="H11" s="398" t="s">
        <v>503</v>
      </c>
      <c r="I11" s="542"/>
      <c r="J11" s="542"/>
      <c r="K11" s="542"/>
      <c r="L11" s="542"/>
      <c r="M11" s="542"/>
      <c r="O11" s="542"/>
    </row>
    <row r="12" spans="1:15" ht="12" customHeight="1" x14ac:dyDescent="0.2">
      <c r="A12" s="90" t="s">
        <v>504</v>
      </c>
      <c r="B12" s="98">
        <f>'EX 1'!R178</f>
        <v>9596.16</v>
      </c>
      <c r="C12" s="98">
        <f>'EX 1'!S178</f>
        <v>0</v>
      </c>
      <c r="D12" s="98">
        <f>'EX 1'!T178</f>
        <v>0</v>
      </c>
      <c r="E12" s="94">
        <f>'EX 1'!K178</f>
        <v>126</v>
      </c>
      <c r="F12" s="93">
        <f>'EX 1'!L178</f>
        <v>9596.16</v>
      </c>
      <c r="G12" s="130"/>
      <c r="H12" s="398" t="s">
        <v>504</v>
      </c>
      <c r="I12" s="542"/>
      <c r="J12" s="542"/>
      <c r="K12" s="542"/>
      <c r="L12" s="542"/>
      <c r="M12" s="542"/>
      <c r="O12" s="542"/>
    </row>
    <row r="13" spans="1:15" ht="12" customHeight="1" x14ac:dyDescent="0.2">
      <c r="A13" s="90" t="s">
        <v>505</v>
      </c>
      <c r="B13" s="98">
        <f>'EX 1'!R306</f>
        <v>44397.959999999992</v>
      </c>
      <c r="C13" s="98">
        <f>'EX 1'!S306</f>
        <v>0</v>
      </c>
      <c r="D13" s="98">
        <f>'EX 1'!T306</f>
        <v>268.40000000000003</v>
      </c>
      <c r="E13" s="94">
        <f>'EX 1'!K306</f>
        <v>655</v>
      </c>
      <c r="F13" s="93">
        <f>'EX 1'!L306</f>
        <v>44666.360000000008</v>
      </c>
      <c r="G13" s="130"/>
      <c r="H13" s="398" t="s">
        <v>505</v>
      </c>
      <c r="I13" s="542"/>
      <c r="J13" s="542"/>
      <c r="K13" s="542"/>
      <c r="L13" s="542"/>
      <c r="M13" s="542"/>
      <c r="O13" s="542"/>
    </row>
    <row r="14" spans="1:15" ht="12" customHeight="1" x14ac:dyDescent="0.2">
      <c r="A14" s="90" t="s">
        <v>506</v>
      </c>
      <c r="B14" s="122">
        <f>'EX 1'!R333</f>
        <v>30499.689999999995</v>
      </c>
      <c r="C14" s="122">
        <f>'EX 1'!S333</f>
        <v>0</v>
      </c>
      <c r="D14" s="122">
        <f>'EX 1'!T333</f>
        <v>325.60000000000008</v>
      </c>
      <c r="E14" s="94">
        <f>'EX 1'!K333</f>
        <v>422.5</v>
      </c>
      <c r="F14" s="93">
        <f>'EX 1'!L333</f>
        <v>30825.28999999999</v>
      </c>
      <c r="G14" s="130"/>
      <c r="H14" s="398" t="s">
        <v>506</v>
      </c>
      <c r="I14" s="542"/>
      <c r="J14" s="542"/>
      <c r="K14" s="542"/>
      <c r="L14" s="542"/>
      <c r="M14" s="542"/>
      <c r="O14" s="542"/>
    </row>
    <row r="15" spans="1:15" ht="12" customHeight="1" x14ac:dyDescent="0.2">
      <c r="A15" s="388" t="s">
        <v>507</v>
      </c>
      <c r="B15" s="310"/>
      <c r="C15" s="389"/>
      <c r="D15" s="389"/>
      <c r="E15" s="259"/>
      <c r="F15" s="262"/>
      <c r="G15" s="130"/>
      <c r="H15" s="398" t="s">
        <v>507</v>
      </c>
      <c r="I15" s="542"/>
      <c r="J15" s="542"/>
      <c r="K15" s="542"/>
      <c r="L15" s="542"/>
      <c r="M15" s="542"/>
      <c r="O15" s="542"/>
    </row>
    <row r="16" spans="1:15" ht="12" customHeight="1" x14ac:dyDescent="0.2">
      <c r="A16" s="90" t="s">
        <v>450</v>
      </c>
      <c r="B16" s="98">
        <f>'EX 2'!N159</f>
        <v>1838978.0160000001</v>
      </c>
      <c r="C16" s="122">
        <f>'EX 2'!O159</f>
        <v>0</v>
      </c>
      <c r="D16" s="122">
        <f>'EX 2'!P159</f>
        <v>2212086.88</v>
      </c>
      <c r="E16" s="94">
        <f>'EX 2'!K159</f>
        <v>26129.66</v>
      </c>
      <c r="F16" s="93">
        <f>'EX 2'!L159</f>
        <v>4051064.8959999993</v>
      </c>
      <c r="G16" s="130"/>
      <c r="H16" s="398" t="s">
        <v>450</v>
      </c>
      <c r="I16" s="542"/>
      <c r="J16" s="542"/>
      <c r="K16" s="542"/>
      <c r="L16" s="542"/>
      <c r="M16" s="542"/>
      <c r="O16" s="542"/>
    </row>
    <row r="17" spans="1:15" ht="12" customHeight="1" x14ac:dyDescent="0.2">
      <c r="A17" s="388" t="s">
        <v>508</v>
      </c>
      <c r="B17" s="310"/>
      <c r="C17" s="389"/>
      <c r="D17" s="389"/>
      <c r="E17" s="259"/>
      <c r="F17" s="262"/>
      <c r="G17" s="130"/>
      <c r="H17" s="398" t="s">
        <v>508</v>
      </c>
      <c r="I17" s="542"/>
      <c r="J17" s="542"/>
      <c r="K17" s="542"/>
      <c r="L17" s="542"/>
      <c r="M17" s="542"/>
      <c r="O17" s="542"/>
    </row>
    <row r="18" spans="1:15" ht="12" customHeight="1" x14ac:dyDescent="0.2">
      <c r="A18" s="90" t="s">
        <v>509</v>
      </c>
      <c r="B18" s="98">
        <f>'EX 3'!O86</f>
        <v>0</v>
      </c>
      <c r="C18" s="122">
        <v>0</v>
      </c>
      <c r="D18" s="122">
        <f>'EX 3'!Q86</f>
        <v>0</v>
      </c>
      <c r="E18" s="94">
        <f>'EX 3'!K86</f>
        <v>0</v>
      </c>
      <c r="F18" s="93">
        <f>'EX 3'!L86</f>
        <v>0</v>
      </c>
      <c r="G18" s="130"/>
      <c r="H18" s="398" t="s">
        <v>509</v>
      </c>
      <c r="I18" s="542"/>
      <c r="J18" s="542"/>
      <c r="K18" s="542"/>
      <c r="L18" s="542"/>
      <c r="M18" s="542"/>
      <c r="O18" s="542"/>
    </row>
    <row r="19" spans="1:15" ht="12" customHeight="1" x14ac:dyDescent="0.2">
      <c r="A19" s="90" t="s">
        <v>510</v>
      </c>
      <c r="B19" s="98">
        <f>'EX 3'!O159</f>
        <v>9157.5600000000013</v>
      </c>
      <c r="C19" s="122">
        <v>0</v>
      </c>
      <c r="D19" s="122">
        <f>'EX 3'!Q159</f>
        <v>14800</v>
      </c>
      <c r="E19" s="94">
        <f>'EX 3'!K159</f>
        <v>126</v>
      </c>
      <c r="F19" s="93">
        <f>'EX 3'!L159</f>
        <v>23957.56</v>
      </c>
      <c r="G19" s="130"/>
      <c r="H19" s="398" t="s">
        <v>510</v>
      </c>
      <c r="I19" s="542"/>
      <c r="J19" s="542"/>
      <c r="K19" s="542"/>
      <c r="L19" s="542"/>
      <c r="M19" s="542"/>
      <c r="O19" s="542"/>
    </row>
    <row r="20" spans="1:15" ht="12" customHeight="1" x14ac:dyDescent="0.2">
      <c r="A20" s="90" t="s">
        <v>511</v>
      </c>
      <c r="B20" s="98">
        <f>'EX 3'!O201</f>
        <v>131666.07</v>
      </c>
      <c r="C20" s="122">
        <v>0</v>
      </c>
      <c r="D20" s="122">
        <f>'EX 3'!Q201</f>
        <v>369938.8</v>
      </c>
      <c r="E20" s="94">
        <f>'EX 3'!K201</f>
        <v>1673.8500000000001</v>
      </c>
      <c r="F20" s="93">
        <f>'EX 3'!L201</f>
        <v>501604.87</v>
      </c>
      <c r="G20" s="130"/>
      <c r="H20" s="398" t="s">
        <v>511</v>
      </c>
      <c r="I20" s="542"/>
      <c r="J20" s="542"/>
      <c r="K20" s="542"/>
      <c r="L20" s="542"/>
      <c r="M20" s="542"/>
      <c r="O20" s="542"/>
    </row>
    <row r="21" spans="1:15" ht="12" customHeight="1" x14ac:dyDescent="0.2">
      <c r="A21" s="388" t="s">
        <v>141</v>
      </c>
      <c r="B21" s="310"/>
      <c r="C21" s="389"/>
      <c r="D21" s="389"/>
      <c r="E21" s="312"/>
      <c r="F21" s="260"/>
      <c r="G21" s="232"/>
      <c r="H21" s="83" t="s">
        <v>141</v>
      </c>
      <c r="I21" s="542"/>
      <c r="J21" s="542"/>
      <c r="K21" s="542"/>
      <c r="L21" s="542"/>
      <c r="M21" s="542"/>
      <c r="O21" s="542"/>
    </row>
    <row r="22" spans="1:15" ht="21" thickBot="1" x14ac:dyDescent="0.25">
      <c r="A22" s="390" t="s">
        <v>142</v>
      </c>
      <c r="B22" s="391">
        <f>'EX 4'!N13</f>
        <v>0</v>
      </c>
      <c r="C22" s="391">
        <f>'EX 4'!O13</f>
        <v>0</v>
      </c>
      <c r="D22" s="391">
        <f>'EX 4'!P13</f>
        <v>780.12000000000012</v>
      </c>
      <c r="E22" s="392">
        <f>'EX 4'!K13</f>
        <v>0</v>
      </c>
      <c r="F22" s="393">
        <f>'EX 4'!L13</f>
        <v>780.12000000000012</v>
      </c>
      <c r="G22" s="232"/>
      <c r="H22" s="398" t="s">
        <v>142</v>
      </c>
      <c r="I22" s="542"/>
      <c r="J22" s="542"/>
      <c r="K22" s="542"/>
      <c r="L22" s="542"/>
      <c r="M22" s="542"/>
      <c r="O22" s="542"/>
    </row>
    <row r="23" spans="1:15" ht="12" customHeight="1" thickBot="1" x14ac:dyDescent="0.25">
      <c r="A23" s="306" t="s">
        <v>567</v>
      </c>
      <c r="B23" s="394">
        <f>SUM(B8:B20)</f>
        <v>2755365.4859999996</v>
      </c>
      <c r="C23" s="395">
        <f>SUM(C8:C20)</f>
        <v>0</v>
      </c>
      <c r="D23" s="395">
        <f>SUM(D8:D22)</f>
        <v>2823120.5999999996</v>
      </c>
      <c r="E23" s="396">
        <f>SUM(E8:E20)</f>
        <v>39757.760000000002</v>
      </c>
      <c r="F23" s="397">
        <f>SUM(F8:F22)</f>
        <v>5578486.0859999992</v>
      </c>
      <c r="G23" s="401"/>
      <c r="H23" s="398"/>
      <c r="I23" s="542"/>
      <c r="J23" s="542"/>
      <c r="K23" s="542"/>
      <c r="L23" s="542"/>
      <c r="M23" s="542"/>
    </row>
    <row r="24" spans="1:15" ht="12" customHeight="1" x14ac:dyDescent="0.2">
      <c r="F24" s="45"/>
      <c r="G24" s="402"/>
      <c r="H24" s="398" t="s">
        <v>580</v>
      </c>
      <c r="I24" s="542"/>
      <c r="J24" s="542"/>
      <c r="K24" s="542"/>
      <c r="L24" s="542"/>
      <c r="M24" s="542"/>
      <c r="O24" s="542"/>
    </row>
    <row r="25" spans="1:15" ht="12" customHeight="1" x14ac:dyDescent="0.2">
      <c r="F25"/>
      <c r="G25" s="83"/>
    </row>
    <row r="26" spans="1:15" ht="12" hidden="1" customHeight="1" x14ac:dyDescent="0.2">
      <c r="E26">
        <f>E23*3</f>
        <v>119273.28</v>
      </c>
      <c r="F26">
        <f>F23*3</f>
        <v>16735458.257999998</v>
      </c>
      <c r="G26" s="83"/>
      <c r="K26" s="398"/>
      <c r="L26" s="398"/>
    </row>
    <row r="30" spans="1:15" ht="18" x14ac:dyDescent="0.35">
      <c r="A30" s="571" t="s">
        <v>689</v>
      </c>
      <c r="C30" s="16"/>
      <c r="D30" s="16"/>
    </row>
    <row r="31" spans="1:15" ht="18" x14ac:dyDescent="0.35">
      <c r="A31" s="570" t="s">
        <v>497</v>
      </c>
      <c r="C31" s="16"/>
      <c r="D31" s="16"/>
    </row>
    <row r="32" spans="1:15" ht="18" x14ac:dyDescent="0.35">
      <c r="A32" s="570" t="s">
        <v>512</v>
      </c>
      <c r="C32" s="16"/>
      <c r="D32" s="16"/>
    </row>
    <row r="33" spans="1:12" ht="12" customHeight="1" x14ac:dyDescent="0.2">
      <c r="C33" s="16"/>
      <c r="D33" s="16"/>
    </row>
    <row r="34" spans="1:12" ht="12" customHeight="1" x14ac:dyDescent="0.2">
      <c r="A34" s="11"/>
      <c r="B34" s="81" t="s">
        <v>578</v>
      </c>
      <c r="C34" s="10" t="s">
        <v>579</v>
      </c>
      <c r="D34" s="75"/>
      <c r="E34" s="76"/>
      <c r="F34" s="75"/>
      <c r="G34" s="399"/>
    </row>
    <row r="35" spans="1:12" ht="12" customHeight="1" x14ac:dyDescent="0.2">
      <c r="B35" s="81" t="s">
        <v>583</v>
      </c>
      <c r="C35" s="10" t="s">
        <v>584</v>
      </c>
      <c r="D35" s="10" t="s">
        <v>585</v>
      </c>
      <c r="E35" s="46" t="s">
        <v>499</v>
      </c>
      <c r="F35" s="13" t="s">
        <v>271</v>
      </c>
      <c r="G35" s="403"/>
      <c r="H35" s="404"/>
      <c r="I35" s="398"/>
    </row>
    <row r="36" spans="1:12" ht="12" customHeight="1" x14ac:dyDescent="0.2">
      <c r="B36" s="81" t="s">
        <v>591</v>
      </c>
      <c r="C36" s="10" t="s">
        <v>592</v>
      </c>
      <c r="D36" s="10" t="s">
        <v>592</v>
      </c>
      <c r="E36" s="46" t="s">
        <v>500</v>
      </c>
      <c r="F36" s="13" t="s">
        <v>500</v>
      </c>
      <c r="G36" s="403"/>
      <c r="H36" s="83">
        <v>1703.43</v>
      </c>
      <c r="I36" s="398">
        <v>0</v>
      </c>
      <c r="J36" s="83">
        <v>10.26</v>
      </c>
      <c r="K36" s="83">
        <v>54.75</v>
      </c>
      <c r="L36" s="83">
        <f>SUM(H36:J36)</f>
        <v>1713.69</v>
      </c>
    </row>
    <row r="37" spans="1:12" ht="12" customHeight="1" x14ac:dyDescent="0.2">
      <c r="A37" s="125" t="s">
        <v>513</v>
      </c>
      <c r="B37" s="102"/>
      <c r="C37" s="121"/>
      <c r="D37" s="121"/>
      <c r="E37" s="105"/>
      <c r="F37" s="102"/>
      <c r="G37" s="162"/>
      <c r="H37" s="404">
        <v>5449.08</v>
      </c>
      <c r="I37" s="398" t="s">
        <v>597</v>
      </c>
      <c r="J37" s="83" t="s">
        <v>597</v>
      </c>
      <c r="K37" s="83">
        <v>182</v>
      </c>
      <c r="L37" s="83">
        <f t="shared" ref="L37:L48" si="0">SUM(H37:J37)</f>
        <v>5449.08</v>
      </c>
    </row>
    <row r="38" spans="1:12" ht="12" customHeight="1" x14ac:dyDescent="0.2">
      <c r="A38" s="110" t="s">
        <v>501</v>
      </c>
      <c r="B38" s="98">
        <f>'EX 5'!L17</f>
        <v>11905</v>
      </c>
      <c r="C38" s="122" t="str">
        <f>'EX 5'!G17</f>
        <v>varies</v>
      </c>
      <c r="D38" s="122" t="str">
        <f>'EX 5'!H17</f>
        <v>varies</v>
      </c>
      <c r="E38" s="106">
        <f>'EX 5'!K17</f>
        <v>250</v>
      </c>
      <c r="F38" s="93">
        <f>'EX 5'!L17</f>
        <v>11905</v>
      </c>
      <c r="G38" s="130"/>
      <c r="H38" s="398">
        <v>1362.27</v>
      </c>
      <c r="I38" s="398">
        <v>0</v>
      </c>
      <c r="J38" s="83">
        <v>0</v>
      </c>
      <c r="K38" s="83">
        <v>45.5</v>
      </c>
      <c r="L38" s="83">
        <f t="shared" si="0"/>
        <v>1362.27</v>
      </c>
    </row>
    <row r="39" spans="1:12" ht="12" customHeight="1" x14ac:dyDescent="0.2">
      <c r="A39" s="110" t="s">
        <v>502</v>
      </c>
      <c r="B39" s="98">
        <f>'EX 5'!L19</f>
        <v>2952.44</v>
      </c>
      <c r="C39" s="122" t="str">
        <f>'EX 5'!G20</f>
        <v>varies</v>
      </c>
      <c r="D39" s="122" t="str">
        <f>'EX 5'!H20</f>
        <v>varies</v>
      </c>
      <c r="E39" s="106">
        <f>'EX 5'!K19</f>
        <v>62</v>
      </c>
      <c r="F39" s="93">
        <f>'EX 5'!L19</f>
        <v>2952.44</v>
      </c>
      <c r="G39" s="130"/>
      <c r="H39" s="398">
        <v>239.52</v>
      </c>
      <c r="I39" s="398">
        <v>0</v>
      </c>
      <c r="J39" s="83">
        <v>0</v>
      </c>
      <c r="K39" s="83">
        <v>8</v>
      </c>
      <c r="L39" s="83">
        <f t="shared" si="0"/>
        <v>239.52</v>
      </c>
    </row>
    <row r="40" spans="1:12" ht="12" customHeight="1" x14ac:dyDescent="0.2">
      <c r="A40" s="110" t="s">
        <v>503</v>
      </c>
      <c r="B40" s="98">
        <f>'EX 5'!L26</f>
        <v>857.16</v>
      </c>
      <c r="C40" s="122">
        <v>0</v>
      </c>
      <c r="D40" s="122">
        <v>0</v>
      </c>
      <c r="E40" s="106">
        <f>'EX 5'!K26</f>
        <v>18</v>
      </c>
      <c r="F40" s="93">
        <f>'EX 5'!L26</f>
        <v>857.16</v>
      </c>
      <c r="G40" s="130"/>
      <c r="H40" s="398">
        <v>14730.48</v>
      </c>
      <c r="I40" s="398">
        <v>0</v>
      </c>
      <c r="J40" s="83">
        <v>0</v>
      </c>
      <c r="K40" s="83">
        <v>492</v>
      </c>
      <c r="L40" s="83">
        <f t="shared" si="0"/>
        <v>14730.48</v>
      </c>
    </row>
    <row r="41" spans="1:12" ht="12" customHeight="1" x14ac:dyDescent="0.2">
      <c r="A41" s="110" t="s">
        <v>504</v>
      </c>
      <c r="B41" s="98">
        <f>'EX 5'!L35</f>
        <v>0</v>
      </c>
      <c r="C41" s="122">
        <v>0</v>
      </c>
      <c r="D41" s="122">
        <v>0</v>
      </c>
      <c r="E41" s="106">
        <f>'EX 5'!K35</f>
        <v>0</v>
      </c>
      <c r="F41" s="93">
        <f>'EX 5'!L35</f>
        <v>0</v>
      </c>
      <c r="G41" s="130"/>
      <c r="H41" s="398">
        <v>8328.34</v>
      </c>
      <c r="I41" s="398">
        <v>0</v>
      </c>
      <c r="J41" s="83">
        <v>0</v>
      </c>
      <c r="K41" s="83">
        <v>278.55</v>
      </c>
      <c r="L41" s="83">
        <f t="shared" si="0"/>
        <v>8328.34</v>
      </c>
    </row>
    <row r="42" spans="1:12" ht="12" customHeight="1" x14ac:dyDescent="0.2">
      <c r="A42" s="110" t="s">
        <v>505</v>
      </c>
      <c r="B42" s="98">
        <f>'EX 5'!L47</f>
        <v>8071.59</v>
      </c>
      <c r="C42" s="122">
        <v>0</v>
      </c>
      <c r="D42" s="122">
        <v>0</v>
      </c>
      <c r="E42" s="106">
        <f>'EX 5'!K47</f>
        <v>169.5</v>
      </c>
      <c r="F42" s="93">
        <f>'EX 5'!L47</f>
        <v>8071.59</v>
      </c>
      <c r="G42" s="130"/>
      <c r="H42" s="398"/>
      <c r="I42" s="398"/>
      <c r="L42" s="83">
        <f t="shared" si="0"/>
        <v>0</v>
      </c>
    </row>
    <row r="43" spans="1:12" ht="12" customHeight="1" x14ac:dyDescent="0.2">
      <c r="A43" s="110" t="s">
        <v>506</v>
      </c>
      <c r="B43" s="98">
        <f>'EX 5'!L59</f>
        <v>11110.160000000002</v>
      </c>
      <c r="C43" s="122">
        <v>0</v>
      </c>
      <c r="D43" s="122">
        <v>0</v>
      </c>
      <c r="E43" s="106">
        <f>'EX 5'!K59</f>
        <v>233.65</v>
      </c>
      <c r="F43" s="93">
        <f>'EX 5'!L59</f>
        <v>11110.160000000002</v>
      </c>
      <c r="G43" s="130"/>
      <c r="H43" s="398">
        <v>120472.31</v>
      </c>
      <c r="I43" s="398">
        <v>0</v>
      </c>
      <c r="J43" s="83">
        <v>0</v>
      </c>
      <c r="K43" s="83">
        <v>3919.2</v>
      </c>
      <c r="L43" s="83">
        <f t="shared" si="0"/>
        <v>120472.31</v>
      </c>
    </row>
    <row r="44" spans="1:12" ht="12" customHeight="1" x14ac:dyDescent="0.2">
      <c r="A44" s="125" t="s">
        <v>705</v>
      </c>
      <c r="B44" s="104"/>
      <c r="C44" s="121"/>
      <c r="D44" s="121"/>
      <c r="E44" s="107"/>
      <c r="F44" s="103"/>
      <c r="G44" s="130"/>
      <c r="H44" s="398"/>
      <c r="I44" s="398"/>
      <c r="L44" s="83">
        <f t="shared" si="0"/>
        <v>0</v>
      </c>
    </row>
    <row r="45" spans="1:12" ht="12" customHeight="1" x14ac:dyDescent="0.2">
      <c r="A45" s="110" t="s">
        <v>450</v>
      </c>
      <c r="B45" s="98">
        <f>'EX 6'!L84</f>
        <v>52798.429999999993</v>
      </c>
      <c r="C45" s="122">
        <v>0</v>
      </c>
      <c r="D45" s="122">
        <v>0</v>
      </c>
      <c r="E45" s="106">
        <f>'EX 6'!K84</f>
        <v>1075.7</v>
      </c>
      <c r="F45" s="93">
        <f>'EX 6'!L84</f>
        <v>52798.429999999993</v>
      </c>
      <c r="G45" s="130"/>
      <c r="H45" s="398">
        <v>32587.42</v>
      </c>
      <c r="I45" s="398">
        <v>0</v>
      </c>
      <c r="J45" s="83">
        <v>0</v>
      </c>
      <c r="K45" s="83">
        <v>1101.4000000000001</v>
      </c>
      <c r="L45" s="83">
        <f t="shared" si="0"/>
        <v>32587.42</v>
      </c>
    </row>
    <row r="46" spans="1:12" ht="12" customHeight="1" x14ac:dyDescent="0.2">
      <c r="A46" s="125" t="s">
        <v>706</v>
      </c>
      <c r="B46" s="104"/>
      <c r="C46" s="121"/>
      <c r="D46" s="121"/>
      <c r="E46" s="107"/>
      <c r="F46" s="103"/>
      <c r="G46" s="130"/>
      <c r="H46" s="398">
        <v>98977.19</v>
      </c>
      <c r="I46" s="398">
        <v>0</v>
      </c>
      <c r="J46" s="83">
        <v>0</v>
      </c>
      <c r="K46" s="83">
        <v>3274.75</v>
      </c>
      <c r="L46" s="83">
        <f t="shared" si="0"/>
        <v>98977.19</v>
      </c>
    </row>
    <row r="47" spans="1:12" ht="12" customHeight="1" x14ac:dyDescent="0.2">
      <c r="A47" s="110" t="s">
        <v>509</v>
      </c>
      <c r="B47" s="98">
        <f>'EX 7'!L36</f>
        <v>0</v>
      </c>
      <c r="C47" s="122">
        <v>0</v>
      </c>
      <c r="D47" s="122">
        <v>0</v>
      </c>
      <c r="E47" s="106">
        <f>'EX 7'!K36</f>
        <v>0</v>
      </c>
      <c r="F47" s="93">
        <f>'EX 7'!L36</f>
        <v>0</v>
      </c>
      <c r="G47" s="130"/>
      <c r="H47" s="398">
        <v>34660.782500000001</v>
      </c>
      <c r="I47" s="398">
        <v>0</v>
      </c>
      <c r="J47" s="83">
        <v>0</v>
      </c>
      <c r="K47" s="83">
        <v>834.48</v>
      </c>
      <c r="L47" s="83">
        <f t="shared" si="0"/>
        <v>34660.782500000001</v>
      </c>
    </row>
    <row r="48" spans="1:12" ht="12" customHeight="1" x14ac:dyDescent="0.2">
      <c r="A48" s="110" t="s">
        <v>510</v>
      </c>
      <c r="B48" s="98">
        <f>'EX 7'!L97</f>
        <v>1824.24</v>
      </c>
      <c r="C48" s="122">
        <v>0</v>
      </c>
      <c r="D48" s="122">
        <v>0</v>
      </c>
      <c r="E48" s="106">
        <f>'EX 7'!K97</f>
        <v>37</v>
      </c>
      <c r="F48" s="93">
        <f>'EX 7'!L97</f>
        <v>1824.24</v>
      </c>
      <c r="G48" s="130"/>
      <c r="H48" s="543">
        <f>SUM(H36:H47)</f>
        <v>318510.82250000001</v>
      </c>
      <c r="I48" s="543">
        <f>SUM(I36:I47)</f>
        <v>0</v>
      </c>
      <c r="J48" s="543">
        <f>SUM(J36:J47)</f>
        <v>10.26</v>
      </c>
      <c r="K48" s="543">
        <f>SUM(K36:K47)</f>
        <v>10190.629999999999</v>
      </c>
      <c r="L48" s="83">
        <f t="shared" si="0"/>
        <v>318521.08250000002</v>
      </c>
    </row>
    <row r="49" spans="1:9" ht="12" customHeight="1" x14ac:dyDescent="0.2">
      <c r="A49" s="110" t="s">
        <v>511</v>
      </c>
      <c r="B49" s="98">
        <f>'EX 7'!L133</f>
        <v>64214.1</v>
      </c>
      <c r="C49" s="122">
        <v>0</v>
      </c>
      <c r="D49" s="122">
        <v>0</v>
      </c>
      <c r="E49" s="106">
        <f>'EX 7'!K133</f>
        <v>1025.8</v>
      </c>
      <c r="F49" s="93">
        <f>'EX 7'!L133</f>
        <v>64214.1</v>
      </c>
      <c r="G49" s="130"/>
      <c r="H49" s="398"/>
      <c r="I49" s="398"/>
    </row>
    <row r="50" spans="1:9" ht="12" customHeight="1" x14ac:dyDescent="0.2">
      <c r="A50" s="114" t="s">
        <v>567</v>
      </c>
      <c r="B50" s="124">
        <f>SUM(B37:B49)</f>
        <v>153733.12</v>
      </c>
      <c r="C50" s="124">
        <f>SUM(C37:C49)</f>
        <v>0</v>
      </c>
      <c r="D50" s="124">
        <f>SUM(D37:D49)</f>
        <v>0</v>
      </c>
      <c r="E50" s="553">
        <f>SUM(E37:E49)</f>
        <v>2871.6499999999996</v>
      </c>
      <c r="F50" s="124">
        <f>SUM(F37:F49)</f>
        <v>153733.12</v>
      </c>
      <c r="G50" s="401"/>
      <c r="H50" s="398"/>
      <c r="I50" s="398"/>
    </row>
    <row r="51" spans="1:9" ht="12" customHeight="1" x14ac:dyDescent="0.2">
      <c r="A51" s="126"/>
      <c r="B51" s="82"/>
      <c r="C51" s="127"/>
      <c r="D51" s="127"/>
      <c r="E51" s="128"/>
      <c r="F51" s="129"/>
      <c r="G51" s="401"/>
      <c r="H51" s="404"/>
      <c r="I51" s="398"/>
    </row>
    <row r="52" spans="1:9" ht="12" customHeight="1" x14ac:dyDescent="0.2">
      <c r="A52" s="126"/>
      <c r="B52" s="82"/>
      <c r="C52" s="127"/>
      <c r="D52" s="127"/>
      <c r="E52" s="128"/>
      <c r="F52" s="129"/>
      <c r="G52" s="401"/>
      <c r="H52" s="404"/>
      <c r="I52" s="398"/>
    </row>
    <row r="53" spans="1:9" ht="12" hidden="1" customHeight="1" x14ac:dyDescent="0.2">
      <c r="C53" s="16"/>
      <c r="D53" s="16"/>
      <c r="E53" s="45">
        <f>E50*3</f>
        <v>8614.9499999999989</v>
      </c>
      <c r="F53" s="45">
        <f>F50*3</f>
        <v>461199.35999999999</v>
      </c>
      <c r="G53" s="402"/>
    </row>
    <row r="55" spans="1:9" ht="12" customHeight="1" x14ac:dyDescent="0.2">
      <c r="F55" s="45"/>
      <c r="G55" s="402"/>
    </row>
  </sheetData>
  <phoneticPr fontId="8" type="noConversion"/>
  <printOptions horizontalCentered="1" gridLinesSet="0"/>
  <pageMargins left="0.1" right="0.1" top="0.5" bottom="0.5" header="0.5" footer="0.5"/>
  <pageSetup scale="88" orientation="landscape" r:id="rId1"/>
  <headerFooter alignWithMargins="0">
    <oddFooter>Page &amp;P of &amp;N</oddFooter>
  </headerFooter>
  <rowBreaks count="1" manualBreakCount="1">
    <brk id="35"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F125-542D-49EA-AF6B-492A57685DA5}">
  <sheetPr syncVertical="1" syncRef="A1" transitionEvaluation="1" transitionEntry="1" codeName="Sheet5"/>
  <dimension ref="A1:P100"/>
  <sheetViews>
    <sheetView showGridLines="0" zoomScaleNormal="100" workbookViewId="0">
      <selection activeCell="N1" sqref="N1:P65536"/>
    </sheetView>
  </sheetViews>
  <sheetFormatPr defaultColWidth="9.7109375" defaultRowHeight="10.199999999999999" x14ac:dyDescent="0.2"/>
  <cols>
    <col min="1" max="1" width="41.7109375" customWidth="1"/>
    <col min="2" max="2" width="9.85546875" style="39" customWidth="1"/>
    <col min="3" max="3" width="9" style="39" customWidth="1"/>
    <col min="4" max="4" width="9.140625" style="39" customWidth="1"/>
    <col min="5" max="5" width="9.85546875" style="39" customWidth="1"/>
    <col min="6" max="8" width="9" style="39" customWidth="1"/>
    <col min="9" max="9" width="10.140625" customWidth="1"/>
    <col min="10" max="10" width="8.85546875" customWidth="1"/>
    <col min="11" max="11" width="10.7109375" style="42" customWidth="1"/>
    <col min="12" max="12" width="14.7109375" style="31" customWidth="1"/>
    <col min="13" max="13" width="9.7109375" style="83" customWidth="1"/>
    <col min="14" max="14" width="12.7109375" style="83" hidden="1" customWidth="1"/>
    <col min="15" max="15" width="11.28515625" style="83" hidden="1" customWidth="1"/>
    <col min="16" max="16" width="0" style="83" hidden="1" customWidth="1"/>
    <col min="17" max="17" width="10.7109375" style="83" customWidth="1"/>
    <col min="18" max="18" width="9.7109375" style="83" customWidth="1"/>
    <col min="19" max="19" width="10.7109375" style="83" customWidth="1"/>
    <col min="20" max="16384" width="9.7109375" style="83"/>
  </cols>
  <sheetData>
    <row r="1" spans="1:16" x14ac:dyDescent="0.2">
      <c r="B1" s="38"/>
      <c r="D1" s="38"/>
      <c r="E1" s="38"/>
      <c r="F1" s="38"/>
      <c r="G1" s="38"/>
      <c r="H1" s="38"/>
      <c r="M1" s="476"/>
      <c r="N1" s="477"/>
    </row>
    <row r="2" spans="1:16" ht="18" x14ac:dyDescent="0.35">
      <c r="A2" s="572" t="s">
        <v>687</v>
      </c>
      <c r="B2" s="38"/>
      <c r="D2" s="38"/>
      <c r="E2" s="38"/>
      <c r="F2" s="38"/>
      <c r="G2" s="38"/>
      <c r="H2" s="38"/>
      <c r="M2" s="476"/>
      <c r="N2" s="477"/>
    </row>
    <row r="3" spans="1:16" ht="18" x14ac:dyDescent="0.35">
      <c r="A3" s="572" t="s">
        <v>599</v>
      </c>
    </row>
    <row r="4" spans="1:16" ht="18" x14ac:dyDescent="0.35">
      <c r="A4" s="573" t="s">
        <v>230</v>
      </c>
      <c r="B4" s="38"/>
      <c r="D4" s="38"/>
      <c r="E4" s="38"/>
      <c r="F4" s="38"/>
      <c r="G4" s="38"/>
      <c r="H4" s="38"/>
      <c r="M4" s="476"/>
      <c r="N4" s="477"/>
    </row>
    <row r="5" spans="1:16" x14ac:dyDescent="0.2">
      <c r="G5" s="31"/>
      <c r="H5" s="31"/>
      <c r="I5" s="31"/>
      <c r="J5" s="47"/>
      <c r="M5" s="476"/>
      <c r="N5" s="477"/>
      <c r="O5" s="478"/>
    </row>
    <row r="6" spans="1:16" x14ac:dyDescent="0.2">
      <c r="B6" s="14"/>
      <c r="C6" s="14"/>
      <c r="D6" s="14"/>
      <c r="E6" s="14"/>
      <c r="F6" s="14"/>
      <c r="G6" s="27"/>
      <c r="H6" s="14"/>
      <c r="I6" s="69" t="s">
        <v>681</v>
      </c>
      <c r="J6" s="62"/>
      <c r="K6" s="77"/>
      <c r="L6" s="37"/>
      <c r="M6" s="476"/>
      <c r="N6" s="477"/>
      <c r="O6" s="479"/>
    </row>
    <row r="7" spans="1:16" x14ac:dyDescent="0.2">
      <c r="B7" s="57" t="s">
        <v>682</v>
      </c>
      <c r="C7" s="58"/>
      <c r="D7" s="58"/>
      <c r="E7" s="58"/>
      <c r="F7" s="58"/>
      <c r="G7" s="61"/>
      <c r="H7" s="58"/>
      <c r="I7" s="71" t="s">
        <v>683</v>
      </c>
      <c r="J7" s="62"/>
      <c r="K7" s="78" t="s">
        <v>684</v>
      </c>
      <c r="L7" s="63"/>
      <c r="M7" s="476"/>
      <c r="N7" s="477"/>
      <c r="O7" s="480"/>
    </row>
    <row r="8" spans="1:16" x14ac:dyDescent="0.2">
      <c r="B8" s="54"/>
      <c r="C8" s="51"/>
      <c r="D8" s="51"/>
      <c r="E8" s="51"/>
      <c r="F8" s="51"/>
      <c r="G8" s="52"/>
      <c r="H8" s="51"/>
      <c r="I8" s="72"/>
      <c r="J8" s="56"/>
      <c r="K8" s="67"/>
      <c r="L8" s="56"/>
      <c r="M8" s="476"/>
      <c r="N8" s="477"/>
    </row>
    <row r="9" spans="1:16" x14ac:dyDescent="0.2">
      <c r="B9" s="9" t="s">
        <v>569</v>
      </c>
      <c r="C9" s="13" t="s">
        <v>570</v>
      </c>
      <c r="D9" s="13" t="s">
        <v>571</v>
      </c>
      <c r="E9" s="13" t="s">
        <v>572</v>
      </c>
      <c r="F9" s="13" t="s">
        <v>578</v>
      </c>
      <c r="G9" s="10" t="s">
        <v>579</v>
      </c>
      <c r="H9" s="31"/>
      <c r="K9" s="43" t="s">
        <v>580</v>
      </c>
      <c r="L9" s="43" t="s">
        <v>580</v>
      </c>
      <c r="M9" s="481"/>
    </row>
    <row r="10" spans="1:16" x14ac:dyDescent="0.2">
      <c r="B10" s="10">
        <f>Costs!$B$10</f>
        <v>94.34</v>
      </c>
      <c r="C10" s="10">
        <f>Costs!$B$11</f>
        <v>67.86</v>
      </c>
      <c r="D10" s="10">
        <f>Costs!$B$12</f>
        <v>47.62</v>
      </c>
      <c r="E10" s="10">
        <f>Costs!$B$13</f>
        <v>28.96</v>
      </c>
      <c r="F10" s="10" t="s">
        <v>275</v>
      </c>
      <c r="G10" s="19" t="s">
        <v>584</v>
      </c>
      <c r="H10" s="35" t="s">
        <v>585</v>
      </c>
      <c r="I10" s="7"/>
      <c r="J10" s="7"/>
      <c r="K10" s="43" t="s">
        <v>582</v>
      </c>
      <c r="L10" s="10" t="s">
        <v>583</v>
      </c>
      <c r="M10" s="476"/>
      <c r="N10" s="239" t="s">
        <v>281</v>
      </c>
      <c r="O10" s="239" t="s">
        <v>282</v>
      </c>
      <c r="P10" s="239" t="s">
        <v>45</v>
      </c>
    </row>
    <row r="11" spans="1:16" x14ac:dyDescent="0.2">
      <c r="A11" s="11" t="s">
        <v>588</v>
      </c>
      <c r="B11" s="40" t="s">
        <v>590</v>
      </c>
      <c r="C11" s="40" t="s">
        <v>590</v>
      </c>
      <c r="D11" s="40" t="s">
        <v>590</v>
      </c>
      <c r="E11" s="40" t="s">
        <v>590</v>
      </c>
      <c r="F11" s="40" t="s">
        <v>276</v>
      </c>
      <c r="G11" s="19" t="s">
        <v>592</v>
      </c>
      <c r="H11" s="35" t="s">
        <v>592</v>
      </c>
      <c r="I11" s="8" t="s">
        <v>574</v>
      </c>
      <c r="J11" s="8" t="s">
        <v>604</v>
      </c>
      <c r="K11" s="43" t="s">
        <v>591</v>
      </c>
      <c r="L11" s="10" t="s">
        <v>591</v>
      </c>
      <c r="M11" s="476"/>
      <c r="N11" s="239"/>
      <c r="O11" s="239"/>
      <c r="P11" s="239"/>
    </row>
    <row r="12" spans="1:16" x14ac:dyDescent="0.2">
      <c r="A12" s="456" t="s">
        <v>600</v>
      </c>
      <c r="B12" s="250"/>
      <c r="C12" s="457"/>
      <c r="D12" s="457"/>
      <c r="E12" s="457"/>
      <c r="F12" s="457"/>
      <c r="G12" s="457"/>
      <c r="H12" s="457"/>
      <c r="I12" s="458"/>
      <c r="J12" s="458"/>
      <c r="K12" s="459"/>
      <c r="L12" s="460"/>
      <c r="M12" s="476"/>
      <c r="N12" s="239"/>
      <c r="O12" s="239"/>
      <c r="P12" s="239"/>
    </row>
    <row r="13" spans="1:16" x14ac:dyDescent="0.2">
      <c r="A13" s="461" t="s">
        <v>685</v>
      </c>
      <c r="B13" s="462"/>
      <c r="C13" s="462"/>
      <c r="D13" s="462"/>
      <c r="E13" s="463"/>
      <c r="F13" s="463"/>
      <c r="G13" s="463"/>
      <c r="H13" s="463"/>
      <c r="I13" s="314"/>
      <c r="J13" s="314"/>
      <c r="K13" s="464"/>
      <c r="L13" s="465"/>
      <c r="M13" s="476"/>
      <c r="N13" s="162"/>
      <c r="O13" s="162"/>
      <c r="P13" s="162"/>
    </row>
    <row r="14" spans="1:16" x14ac:dyDescent="0.2">
      <c r="A14" s="421" t="s">
        <v>686</v>
      </c>
      <c r="B14" s="131">
        <v>0</v>
      </c>
      <c r="C14" s="131">
        <v>0</v>
      </c>
      <c r="D14" s="131">
        <v>1</v>
      </c>
      <c r="E14" s="131">
        <v>0</v>
      </c>
      <c r="F14" s="135">
        <f>ROUND(B14*Costs!$B$10+C14*Costs!$B$11+D14*Costs!$B$12+E14*Costs!$B$13,2)</f>
        <v>47.62</v>
      </c>
      <c r="G14" s="32" t="str">
        <f>Costs!$B$62</f>
        <v xml:space="preserve"> </v>
      </c>
      <c r="H14" s="135">
        <f>Costs!$B$16</f>
        <v>0</v>
      </c>
      <c r="I14" s="112">
        <f>'EX 1'!I16</f>
        <v>2</v>
      </c>
      <c r="J14" s="112">
        <f>'EX 1'!J16</f>
        <v>0</v>
      </c>
      <c r="K14" s="132">
        <f>ROUND((B14+C14+D14+E14)*(I14+J14),2)</f>
        <v>2</v>
      </c>
      <c r="L14" s="135">
        <f>(F14+G14+H14)*(I14+J14)</f>
        <v>95.24</v>
      </c>
      <c r="M14" s="476"/>
      <c r="N14" s="130">
        <f>F14*(I14+J14)</f>
        <v>95.24</v>
      </c>
      <c r="O14" s="130">
        <f>G14*(I14+J14)</f>
        <v>0</v>
      </c>
      <c r="P14" s="130">
        <f>H14*(I14+J14)</f>
        <v>0</v>
      </c>
    </row>
    <row r="15" spans="1:16" x14ac:dyDescent="0.2">
      <c r="A15" s="461" t="s">
        <v>0</v>
      </c>
      <c r="B15" s="466"/>
      <c r="C15" s="466"/>
      <c r="D15" s="466"/>
      <c r="E15" s="466"/>
      <c r="F15" s="466"/>
      <c r="G15" s="466"/>
      <c r="H15" s="466"/>
      <c r="I15" s="314"/>
      <c r="J15" s="314"/>
      <c r="K15" s="467"/>
      <c r="L15" s="468"/>
    </row>
    <row r="16" spans="1:16" ht="10.8" thickBot="1" x14ac:dyDescent="0.25">
      <c r="A16" s="424" t="s">
        <v>1</v>
      </c>
      <c r="B16" s="425">
        <v>0</v>
      </c>
      <c r="C16" s="425">
        <v>0</v>
      </c>
      <c r="D16" s="425">
        <v>8</v>
      </c>
      <c r="E16" s="425">
        <v>0</v>
      </c>
      <c r="F16" s="426">
        <f>ROUND(B16*Costs!$B$10+C16*Costs!$B$11+D16*Costs!$B$12+E16*Costs!$B$13,2)</f>
        <v>380.96</v>
      </c>
      <c r="G16" s="191" t="str">
        <f>Costs!$B$62</f>
        <v xml:space="preserve"> </v>
      </c>
      <c r="H16" s="426">
        <f>Costs!$B$16</f>
        <v>0</v>
      </c>
      <c r="I16" s="427">
        <f>'EX 1'!I48</f>
        <v>31</v>
      </c>
      <c r="J16" s="427">
        <f>'EX 1'!J48</f>
        <v>0</v>
      </c>
      <c r="K16" s="428">
        <f>ROUND((B16+C16+D16+E16)*(I16+J16),2)</f>
        <v>248</v>
      </c>
      <c r="L16" s="426">
        <f>(F16+G16+H16)*(I16+J16)</f>
        <v>11809.76</v>
      </c>
      <c r="M16" s="476"/>
      <c r="N16" s="130">
        <f>F16*(I16+J16)</f>
        <v>11809.76</v>
      </c>
      <c r="O16" s="130">
        <f>G16*(I16+J16)</f>
        <v>0</v>
      </c>
      <c r="P16" s="130">
        <f>H16*(I16+J16)</f>
        <v>0</v>
      </c>
    </row>
    <row r="17" spans="1:16" ht="10.8" thickBot="1" x14ac:dyDescent="0.25">
      <c r="A17" s="430" t="s">
        <v>596</v>
      </c>
      <c r="B17" s="431" t="s">
        <v>597</v>
      </c>
      <c r="C17" s="431" t="s">
        <v>597</v>
      </c>
      <c r="D17" s="431" t="s">
        <v>597</v>
      </c>
      <c r="E17" s="431" t="s">
        <v>597</v>
      </c>
      <c r="F17" s="431" t="s">
        <v>597</v>
      </c>
      <c r="G17" s="431" t="s">
        <v>597</v>
      </c>
      <c r="H17" s="431" t="s">
        <v>597</v>
      </c>
      <c r="I17" s="432" t="s">
        <v>597</v>
      </c>
      <c r="J17" s="432" t="s">
        <v>597</v>
      </c>
      <c r="K17" s="433">
        <f>SUM(K14:K16)</f>
        <v>250</v>
      </c>
      <c r="L17" s="355">
        <f>SUM(L14:L16)</f>
        <v>11905</v>
      </c>
      <c r="M17" s="476"/>
      <c r="N17" s="482">
        <f>SUM(N14:N16)</f>
        <v>11905</v>
      </c>
      <c r="O17" s="482">
        <f>SUM(O14:O16)</f>
        <v>0</v>
      </c>
      <c r="P17" s="482">
        <f>SUM(P14:P16)</f>
        <v>0</v>
      </c>
    </row>
    <row r="18" spans="1:16" x14ac:dyDescent="0.2">
      <c r="A18" s="486" t="s">
        <v>632</v>
      </c>
      <c r="B18" s="487"/>
      <c r="C18" s="488"/>
      <c r="D18" s="488"/>
      <c r="E18" s="488"/>
      <c r="F18" s="488"/>
      <c r="G18" s="488"/>
      <c r="H18" s="488"/>
      <c r="I18" s="331"/>
      <c r="J18" s="331"/>
      <c r="K18" s="489"/>
      <c r="L18" s="490"/>
      <c r="M18" s="476"/>
      <c r="N18" s="477"/>
    </row>
    <row r="19" spans="1:16" ht="10.8" thickBot="1" x14ac:dyDescent="0.25">
      <c r="A19" s="424" t="s">
        <v>2</v>
      </c>
      <c r="B19" s="425">
        <v>0</v>
      </c>
      <c r="C19" s="425">
        <v>0</v>
      </c>
      <c r="D19" s="425">
        <v>2</v>
      </c>
      <c r="E19" s="425">
        <v>0</v>
      </c>
      <c r="F19" s="426">
        <f>ROUND(B19*Costs!$B$10+C19*Costs!$B$11+D19*Costs!$B$12+E19*Costs!$B$13,2)</f>
        <v>95.24</v>
      </c>
      <c r="G19" s="191" t="str">
        <f>Costs!$B$62</f>
        <v xml:space="preserve"> </v>
      </c>
      <c r="H19" s="426">
        <f>Costs!$B$16</f>
        <v>0</v>
      </c>
      <c r="I19" s="427">
        <f>'EX 1'!I86</f>
        <v>31</v>
      </c>
      <c r="J19" s="427">
        <f>'EX 1'!J86</f>
        <v>0</v>
      </c>
      <c r="K19" s="428">
        <f>ROUND((B19+C19+D19+E19)*(I19+J19),2)</f>
        <v>62</v>
      </c>
      <c r="L19" s="426">
        <f>(F19+G19+H19)*(I19+J19)</f>
        <v>2952.44</v>
      </c>
      <c r="M19" s="476"/>
      <c r="N19" s="130">
        <f>F19*(I19+J19)</f>
        <v>2952.44</v>
      </c>
      <c r="O19" s="130">
        <f>G19*(I19+J19)</f>
        <v>0</v>
      </c>
      <c r="P19" s="130">
        <f>H19*(I19+J19)</f>
        <v>0</v>
      </c>
    </row>
    <row r="20" spans="1:16" ht="10.8" thickBot="1" x14ac:dyDescent="0.25">
      <c r="A20" s="430" t="s">
        <v>596</v>
      </c>
      <c r="B20" s="431" t="s">
        <v>597</v>
      </c>
      <c r="C20" s="431" t="s">
        <v>597</v>
      </c>
      <c r="D20" s="431" t="s">
        <v>597</v>
      </c>
      <c r="E20" s="431" t="s">
        <v>597</v>
      </c>
      <c r="F20" s="431" t="s">
        <v>597</v>
      </c>
      <c r="G20" s="431" t="s">
        <v>597</v>
      </c>
      <c r="H20" s="431" t="s">
        <v>597</v>
      </c>
      <c r="I20" s="431" t="s">
        <v>597</v>
      </c>
      <c r="J20" s="431" t="s">
        <v>597</v>
      </c>
      <c r="K20" s="433">
        <f>K19</f>
        <v>62</v>
      </c>
      <c r="L20" s="355">
        <f>SUM(L19)</f>
        <v>2952.44</v>
      </c>
      <c r="M20" s="476"/>
      <c r="N20" s="482">
        <f>SUM(N19)</f>
        <v>2952.44</v>
      </c>
      <c r="O20" s="482">
        <f>SUM(O19)</f>
        <v>0</v>
      </c>
      <c r="P20" s="482">
        <f>SUM(P19)</f>
        <v>0</v>
      </c>
    </row>
    <row r="21" spans="1:16" x14ac:dyDescent="0.2">
      <c r="A21" s="486" t="s">
        <v>637</v>
      </c>
      <c r="B21" s="487"/>
      <c r="C21" s="488"/>
      <c r="D21" s="488"/>
      <c r="E21" s="488"/>
      <c r="F21" s="488"/>
      <c r="G21" s="488"/>
      <c r="H21" s="488"/>
      <c r="I21" s="331"/>
      <c r="J21" s="331"/>
      <c r="K21" s="489"/>
      <c r="L21" s="490"/>
      <c r="M21" s="476"/>
      <c r="N21" s="477"/>
    </row>
    <row r="22" spans="1:16" x14ac:dyDescent="0.2">
      <c r="A22" s="461" t="s">
        <v>3</v>
      </c>
      <c r="B22" s="462"/>
      <c r="C22" s="462"/>
      <c r="D22" s="462"/>
      <c r="E22" s="462"/>
      <c r="F22" s="462"/>
      <c r="G22" s="462"/>
      <c r="H22" s="462"/>
      <c r="I22" s="314"/>
      <c r="J22" s="314"/>
      <c r="K22" s="464"/>
      <c r="L22" s="465"/>
      <c r="M22" s="476"/>
      <c r="N22" s="477"/>
    </row>
    <row r="23" spans="1:16" x14ac:dyDescent="0.2">
      <c r="A23" s="421" t="s">
        <v>4</v>
      </c>
      <c r="B23" s="131">
        <v>0</v>
      </c>
      <c r="C23" s="131">
        <v>0</v>
      </c>
      <c r="D23" s="131">
        <v>0.5</v>
      </c>
      <c r="E23" s="131">
        <v>0</v>
      </c>
      <c r="F23" s="135">
        <f>ROUND(B23*Costs!$B$10+C23*Costs!$B$11+D23*Costs!$B$12+E23*Costs!$B$13,2)</f>
        <v>23.81</v>
      </c>
      <c r="G23" s="32" t="str">
        <f>Costs!$B$62</f>
        <v xml:space="preserve"> </v>
      </c>
      <c r="H23" s="135">
        <f>Costs!$B$16</f>
        <v>0</v>
      </c>
      <c r="I23" s="112">
        <f>'EX 1'!I116</f>
        <v>36</v>
      </c>
      <c r="J23" s="112">
        <f>'EX 1'!J116</f>
        <v>0</v>
      </c>
      <c r="K23" s="132">
        <f>ROUND((B23+C23+D23+E23)*(I23+J23),2)</f>
        <v>18</v>
      </c>
      <c r="L23" s="135">
        <f>(F23+G23+H23)*(I23+J23)</f>
        <v>857.16</v>
      </c>
      <c r="M23" s="476"/>
      <c r="N23" s="130">
        <f>F23*(I23+J23)</f>
        <v>857.16</v>
      </c>
      <c r="O23" s="130">
        <f>G23*(I23+J23)</f>
        <v>0</v>
      </c>
      <c r="P23" s="130">
        <f>H23*(I23+J23)</f>
        <v>0</v>
      </c>
    </row>
    <row r="24" spans="1:16" x14ac:dyDescent="0.2">
      <c r="A24" s="461" t="s">
        <v>5</v>
      </c>
      <c r="B24" s="462"/>
      <c r="C24" s="462"/>
      <c r="D24" s="462"/>
      <c r="E24" s="462"/>
      <c r="F24" s="462"/>
      <c r="G24" s="462"/>
      <c r="H24" s="462"/>
      <c r="I24" s="314"/>
      <c r="J24" s="314"/>
      <c r="K24" s="464"/>
      <c r="L24" s="465"/>
      <c r="M24" s="476"/>
      <c r="N24" s="477"/>
    </row>
    <row r="25" spans="1:16" ht="10.8" thickBot="1" x14ac:dyDescent="0.25">
      <c r="A25" s="424" t="s">
        <v>6</v>
      </c>
      <c r="B25" s="425">
        <v>0</v>
      </c>
      <c r="C25" s="425">
        <v>0</v>
      </c>
      <c r="D25" s="425">
        <v>1</v>
      </c>
      <c r="E25" s="425">
        <v>0</v>
      </c>
      <c r="F25" s="426">
        <f>ROUND(B25*Costs!$B$10+C25*Costs!$B$11+D25*Costs!$B$12+E25*Costs!$B$13,2)</f>
        <v>47.62</v>
      </c>
      <c r="G25" s="191" t="str">
        <f>Costs!$B$62</f>
        <v xml:space="preserve"> </v>
      </c>
      <c r="H25" s="426">
        <f>Costs!$B$16</f>
        <v>0</v>
      </c>
      <c r="I25" s="427">
        <f>'EX 1'!I134</f>
        <v>0</v>
      </c>
      <c r="J25" s="427">
        <f>'EX 1'!J134</f>
        <v>0</v>
      </c>
      <c r="K25" s="428">
        <f>ROUND((B25+C25+D25+E25)*(I25+J25),2)</f>
        <v>0</v>
      </c>
      <c r="L25" s="426">
        <f>(F25+G25+H25)*(I25+J25)</f>
        <v>0</v>
      </c>
      <c r="M25" s="476"/>
      <c r="N25" s="130">
        <f>F25*(I25+J25)</f>
        <v>0</v>
      </c>
      <c r="O25" s="130">
        <f>G25*(I25+J25)</f>
        <v>0</v>
      </c>
      <c r="P25" s="130">
        <f>H25*(I25+J25)</f>
        <v>0</v>
      </c>
    </row>
    <row r="26" spans="1:16" ht="10.8" thickBot="1" x14ac:dyDescent="0.25">
      <c r="A26" s="430" t="s">
        <v>596</v>
      </c>
      <c r="B26" s="431" t="s">
        <v>597</v>
      </c>
      <c r="C26" s="431" t="s">
        <v>597</v>
      </c>
      <c r="D26" s="431" t="s">
        <v>597</v>
      </c>
      <c r="E26" s="431" t="s">
        <v>597</v>
      </c>
      <c r="F26" s="431" t="s">
        <v>597</v>
      </c>
      <c r="G26" s="431" t="s">
        <v>597</v>
      </c>
      <c r="H26" s="431" t="s">
        <v>597</v>
      </c>
      <c r="I26" s="432" t="s">
        <v>597</v>
      </c>
      <c r="J26" s="432" t="s">
        <v>597</v>
      </c>
      <c r="K26" s="433">
        <f>SUM(K23:K25)</f>
        <v>18</v>
      </c>
      <c r="L26" s="355">
        <f>SUM(L23:L25)</f>
        <v>857.16</v>
      </c>
      <c r="M26" s="476"/>
      <c r="N26" s="482">
        <f>SUM(N23:N25)</f>
        <v>857.16</v>
      </c>
      <c r="O26" s="482">
        <f>SUM(O23:O25)</f>
        <v>0</v>
      </c>
      <c r="P26" s="482">
        <f>SUM(P23:P25)</f>
        <v>0</v>
      </c>
    </row>
    <row r="27" spans="1:16" x14ac:dyDescent="0.2">
      <c r="A27" s="486" t="s">
        <v>642</v>
      </c>
      <c r="B27" s="487"/>
      <c r="C27" s="488"/>
      <c r="D27" s="488"/>
      <c r="E27" s="488"/>
      <c r="F27" s="488"/>
      <c r="G27" s="488"/>
      <c r="H27" s="488"/>
      <c r="I27" s="331"/>
      <c r="J27" s="331"/>
      <c r="K27" s="489"/>
      <c r="L27" s="490"/>
      <c r="M27" s="476"/>
      <c r="N27" s="477"/>
    </row>
    <row r="28" spans="1:16" x14ac:dyDescent="0.2">
      <c r="A28" s="421" t="s">
        <v>7</v>
      </c>
      <c r="B28" s="131">
        <v>0</v>
      </c>
      <c r="C28" s="131">
        <v>0</v>
      </c>
      <c r="D28" s="131">
        <v>15</v>
      </c>
      <c r="E28" s="131">
        <v>0</v>
      </c>
      <c r="F28" s="135">
        <f>ROUND(B28*Costs!$B$10+C28*Costs!$B$11+D28*Costs!$B$12+E28*Costs!$B$13,2)</f>
        <v>714.3</v>
      </c>
      <c r="G28" s="32" t="str">
        <f>Costs!$B$62</f>
        <v xml:space="preserve"> </v>
      </c>
      <c r="H28" s="135">
        <f>Costs!$B$16</f>
        <v>0</v>
      </c>
      <c r="I28" s="112">
        <f>'EX 1'!I158</f>
        <v>0</v>
      </c>
      <c r="J28" s="112">
        <f>'EX 1'!J158</f>
        <v>0</v>
      </c>
      <c r="K28" s="132">
        <f t="shared" ref="K28:K34" si="0">ROUND((B28+C28+D28+E28)*(I28+J28),2)</f>
        <v>0</v>
      </c>
      <c r="L28" s="135">
        <f t="shared" ref="L28:L34" si="1">(F28+G28+H28)*(I28+J28)</f>
        <v>0</v>
      </c>
      <c r="M28" s="476"/>
      <c r="N28" s="130">
        <f t="shared" ref="N28:N34" si="2">F28*(I28+J28)</f>
        <v>0</v>
      </c>
      <c r="O28" s="130">
        <f t="shared" ref="O28:O34" si="3">G28*(I28+J28)</f>
        <v>0</v>
      </c>
      <c r="P28" s="130">
        <f t="shared" ref="P28:P34" si="4">H28*(I28+J28)</f>
        <v>0</v>
      </c>
    </row>
    <row r="29" spans="1:16" x14ac:dyDescent="0.2">
      <c r="A29" s="421" t="s">
        <v>8</v>
      </c>
      <c r="B29" s="131">
        <v>0</v>
      </c>
      <c r="C29" s="131">
        <v>0</v>
      </c>
      <c r="D29" s="131">
        <v>2</v>
      </c>
      <c r="E29" s="131">
        <v>0</v>
      </c>
      <c r="F29" s="135">
        <f>ROUND(B29*Costs!$B$10+C29*Costs!$B$11+D29*Costs!$B$12+E29*Costs!$B$13,2)</f>
        <v>95.24</v>
      </c>
      <c r="G29" s="32" t="str">
        <f>Costs!$B$62</f>
        <v xml:space="preserve"> </v>
      </c>
      <c r="H29" s="135">
        <f>Costs!$B$16</f>
        <v>0</v>
      </c>
      <c r="I29" s="112">
        <f>'EX 1'!I162</f>
        <v>0</v>
      </c>
      <c r="J29" s="112">
        <f>'EX 1'!J162</f>
        <v>0</v>
      </c>
      <c r="K29" s="132">
        <f t="shared" si="0"/>
        <v>0</v>
      </c>
      <c r="L29" s="135">
        <f t="shared" si="1"/>
        <v>0</v>
      </c>
      <c r="M29" s="476"/>
      <c r="N29" s="130">
        <f t="shared" si="2"/>
        <v>0</v>
      </c>
      <c r="O29" s="130">
        <f t="shared" si="3"/>
        <v>0</v>
      </c>
      <c r="P29" s="130">
        <f t="shared" si="4"/>
        <v>0</v>
      </c>
    </row>
    <row r="30" spans="1:16" ht="20.399999999999999" x14ac:dyDescent="0.2">
      <c r="A30" s="421" t="s">
        <v>169</v>
      </c>
      <c r="B30" s="131">
        <v>0</v>
      </c>
      <c r="C30" s="131">
        <v>0</v>
      </c>
      <c r="D30" s="131">
        <v>2</v>
      </c>
      <c r="E30" s="131">
        <v>0</v>
      </c>
      <c r="F30" s="135">
        <f>ROUND(B30*Costs!$B$10+C30*Costs!$B$11+D30*Costs!$B$12+E30*Costs!$B$13,2)</f>
        <v>95.24</v>
      </c>
      <c r="G30" s="32" t="str">
        <f>Costs!$B$62</f>
        <v xml:space="preserve"> </v>
      </c>
      <c r="H30" s="135">
        <f>Costs!$B$16</f>
        <v>0</v>
      </c>
      <c r="I30" s="112">
        <f>'EX 1'!I166</f>
        <v>0</v>
      </c>
      <c r="J30" s="112">
        <f>'EX 1'!J166</f>
        <v>0</v>
      </c>
      <c r="K30" s="132">
        <f t="shared" si="0"/>
        <v>0</v>
      </c>
      <c r="L30" s="135">
        <f t="shared" si="1"/>
        <v>0</v>
      </c>
      <c r="M30" s="476"/>
      <c r="N30" s="130">
        <f t="shared" si="2"/>
        <v>0</v>
      </c>
      <c r="O30" s="130">
        <f t="shared" si="3"/>
        <v>0</v>
      </c>
      <c r="P30" s="130">
        <f t="shared" si="4"/>
        <v>0</v>
      </c>
    </row>
    <row r="31" spans="1:16" ht="30.6" x14ac:dyDescent="0.2">
      <c r="A31" s="421" t="s">
        <v>170</v>
      </c>
      <c r="B31" s="131">
        <v>0</v>
      </c>
      <c r="C31" s="131">
        <v>0</v>
      </c>
      <c r="D31" s="131">
        <v>2</v>
      </c>
      <c r="E31" s="131">
        <v>0</v>
      </c>
      <c r="F31" s="135">
        <f>ROUND(B31*Costs!$B$10+C31*Costs!$B$11+D31*Costs!$B$12+E31*Costs!$B$13,2)</f>
        <v>95.24</v>
      </c>
      <c r="G31" s="32" t="str">
        <f>Costs!$B$62</f>
        <v xml:space="preserve"> </v>
      </c>
      <c r="H31" s="135">
        <f>Costs!$B$16</f>
        <v>0</v>
      </c>
      <c r="I31" s="112">
        <f>'EX 1'!I169</f>
        <v>0</v>
      </c>
      <c r="J31" s="112">
        <f>'EX 1'!J169</f>
        <v>0</v>
      </c>
      <c r="K31" s="132">
        <f t="shared" si="0"/>
        <v>0</v>
      </c>
      <c r="L31" s="135">
        <f t="shared" si="1"/>
        <v>0</v>
      </c>
      <c r="M31" s="476"/>
      <c r="N31" s="130">
        <f t="shared" si="2"/>
        <v>0</v>
      </c>
      <c r="O31" s="130">
        <f t="shared" si="3"/>
        <v>0</v>
      </c>
      <c r="P31" s="130">
        <f t="shared" si="4"/>
        <v>0</v>
      </c>
    </row>
    <row r="32" spans="1:16" ht="20.399999999999999" x14ac:dyDescent="0.2">
      <c r="A32" s="421" t="s">
        <v>171</v>
      </c>
      <c r="B32" s="131">
        <v>0</v>
      </c>
      <c r="C32" s="131">
        <v>0</v>
      </c>
      <c r="D32" s="131">
        <v>1</v>
      </c>
      <c r="E32" s="131">
        <v>0</v>
      </c>
      <c r="F32" s="135">
        <f>ROUND(B32*Costs!$B$10+C32*Costs!$B$11+D32*Costs!$B$12+E32*Costs!$B$13,2)</f>
        <v>47.62</v>
      </c>
      <c r="G32" s="32" t="str">
        <f>Costs!$B$62</f>
        <v xml:space="preserve"> </v>
      </c>
      <c r="H32" s="135">
        <f>Costs!$B$16</f>
        <v>0</v>
      </c>
      <c r="I32" s="112">
        <f>'EX 1'!I170</f>
        <v>0</v>
      </c>
      <c r="J32" s="112">
        <f>'EX 1'!J170</f>
        <v>0</v>
      </c>
      <c r="K32" s="132">
        <f t="shared" si="0"/>
        <v>0</v>
      </c>
      <c r="L32" s="135">
        <f t="shared" si="1"/>
        <v>0</v>
      </c>
      <c r="M32" s="476"/>
      <c r="N32" s="130">
        <f t="shared" si="2"/>
        <v>0</v>
      </c>
      <c r="O32" s="130">
        <f t="shared" si="3"/>
        <v>0</v>
      </c>
      <c r="P32" s="130">
        <f t="shared" si="4"/>
        <v>0</v>
      </c>
    </row>
    <row r="33" spans="1:16" ht="20.399999999999999" x14ac:dyDescent="0.2">
      <c r="A33" s="421" t="s">
        <v>172</v>
      </c>
      <c r="B33" s="131">
        <v>0</v>
      </c>
      <c r="C33" s="131">
        <v>0</v>
      </c>
      <c r="D33" s="131">
        <v>0.5</v>
      </c>
      <c r="E33" s="131">
        <v>0</v>
      </c>
      <c r="F33" s="135">
        <f>ROUND(B33*Costs!$B$10+C33*Costs!$B$11+D33*Costs!$B$12+E33*Costs!$B$13,2)</f>
        <v>23.81</v>
      </c>
      <c r="G33" s="32" t="str">
        <f>Costs!$B$62</f>
        <v xml:space="preserve"> </v>
      </c>
      <c r="H33" s="135">
        <f>Costs!$B$16</f>
        <v>0</v>
      </c>
      <c r="I33" s="112">
        <f>'EX 1'!I171</f>
        <v>0</v>
      </c>
      <c r="J33" s="112">
        <f>'EX 1'!J171</f>
        <v>0</v>
      </c>
      <c r="K33" s="132">
        <f t="shared" si="0"/>
        <v>0</v>
      </c>
      <c r="L33" s="135">
        <f t="shared" si="1"/>
        <v>0</v>
      </c>
      <c r="M33" s="476"/>
      <c r="N33" s="130">
        <f t="shared" si="2"/>
        <v>0</v>
      </c>
      <c r="O33" s="130">
        <f t="shared" si="3"/>
        <v>0</v>
      </c>
      <c r="P33" s="130">
        <f t="shared" si="4"/>
        <v>0</v>
      </c>
    </row>
    <row r="34" spans="1:16" ht="10.8" thickBot="1" x14ac:dyDescent="0.25">
      <c r="A34" s="424" t="s">
        <v>9</v>
      </c>
      <c r="B34" s="425">
        <v>0</v>
      </c>
      <c r="C34" s="425">
        <v>0</v>
      </c>
      <c r="D34" s="425">
        <v>4</v>
      </c>
      <c r="E34" s="425">
        <v>0</v>
      </c>
      <c r="F34" s="426">
        <f>ROUND(B34*Costs!$B$10+C34*Costs!$B$11+D34*Costs!$B$12+E34*Costs!$B$13,2)</f>
        <v>190.48</v>
      </c>
      <c r="G34" s="191" t="str">
        <f>Costs!$B$62</f>
        <v xml:space="preserve"> </v>
      </c>
      <c r="H34" s="426">
        <f>Costs!$B$16</f>
        <v>0</v>
      </c>
      <c r="I34" s="427">
        <f>'EX 1'!I175</f>
        <v>0</v>
      </c>
      <c r="J34" s="427">
        <f>'EX 1'!J175</f>
        <v>0</v>
      </c>
      <c r="K34" s="428">
        <f t="shared" si="0"/>
        <v>0</v>
      </c>
      <c r="L34" s="426">
        <f t="shared" si="1"/>
        <v>0</v>
      </c>
      <c r="M34" s="476"/>
      <c r="N34" s="130">
        <f t="shared" si="2"/>
        <v>0</v>
      </c>
      <c r="O34" s="130">
        <f t="shared" si="3"/>
        <v>0</v>
      </c>
      <c r="P34" s="130">
        <f t="shared" si="4"/>
        <v>0</v>
      </c>
    </row>
    <row r="35" spans="1:16" x14ac:dyDescent="0.2">
      <c r="A35" s="544" t="s">
        <v>596</v>
      </c>
      <c r="B35" s="545" t="s">
        <v>597</v>
      </c>
      <c r="C35" s="545" t="s">
        <v>597</v>
      </c>
      <c r="D35" s="545" t="s">
        <v>597</v>
      </c>
      <c r="E35" s="545" t="s">
        <v>597</v>
      </c>
      <c r="F35" s="545" t="s">
        <v>597</v>
      </c>
      <c r="G35" s="545" t="s">
        <v>597</v>
      </c>
      <c r="H35" s="545" t="s">
        <v>597</v>
      </c>
      <c r="I35" s="546" t="s">
        <v>597</v>
      </c>
      <c r="J35" s="546" t="s">
        <v>597</v>
      </c>
      <c r="K35" s="547">
        <f>SUM(K28:K34)</f>
        <v>0</v>
      </c>
      <c r="L35" s="548">
        <f>SUM(L28:L34)</f>
        <v>0</v>
      </c>
      <c r="M35" s="476"/>
      <c r="N35" s="482">
        <f>SUM(N28:N34)</f>
        <v>0</v>
      </c>
      <c r="O35" s="482">
        <f>SUM(O28:O34)</f>
        <v>0</v>
      </c>
      <c r="P35" s="482">
        <f>SUM(P28:P34)</f>
        <v>0</v>
      </c>
    </row>
    <row r="36" spans="1:16" x14ac:dyDescent="0.2">
      <c r="A36" s="456" t="s">
        <v>654</v>
      </c>
      <c r="B36" s="549"/>
      <c r="C36" s="549"/>
      <c r="D36" s="549"/>
      <c r="E36" s="549"/>
      <c r="F36" s="549"/>
      <c r="G36" s="549"/>
      <c r="H36" s="549"/>
      <c r="I36" s="550"/>
      <c r="J36" s="550"/>
      <c r="K36" s="551"/>
      <c r="L36" s="552"/>
      <c r="M36" s="476"/>
      <c r="N36" s="477"/>
    </row>
    <row r="37" spans="1:16" ht="30.6" x14ac:dyDescent="0.2">
      <c r="A37" s="421" t="s">
        <v>173</v>
      </c>
      <c r="B37" s="131">
        <v>0</v>
      </c>
      <c r="C37" s="131">
        <v>0</v>
      </c>
      <c r="D37" s="131">
        <v>8</v>
      </c>
      <c r="E37" s="131">
        <v>0</v>
      </c>
      <c r="F37" s="135">
        <f>ROUND(B37*Costs!$B$10+C37*Costs!$B$11+D37*Costs!$B$12+E37*Costs!$B$13,2)</f>
        <v>380.96</v>
      </c>
      <c r="G37" s="32" t="str">
        <f>Costs!$B$62</f>
        <v xml:space="preserve"> </v>
      </c>
      <c r="H37" s="135">
        <f>Costs!$B$16</f>
        <v>0</v>
      </c>
      <c r="I37" s="518">
        <f>'EX 1'!I204+'EX 1'!I211</f>
        <v>0</v>
      </c>
      <c r="J37" s="518">
        <f>'EX 1'!J204+'EX 1'!J211</f>
        <v>0</v>
      </c>
      <c r="K37" s="132">
        <f t="shared" ref="K37:K46" si="5">ROUND((B37+C37+D37+E37)*(I37+J37),2)</f>
        <v>0</v>
      </c>
      <c r="L37" s="135">
        <f t="shared" ref="L37:L46" si="6">(F37+G37+H37)*(I37+J37)</f>
        <v>0</v>
      </c>
      <c r="M37" s="476"/>
      <c r="N37" s="130">
        <f t="shared" ref="N37:N46" si="7">F37*(I37+J37)</f>
        <v>0</v>
      </c>
      <c r="O37" s="130">
        <f t="shared" ref="O37:O46" si="8">G37*(I37+J37)</f>
        <v>0</v>
      </c>
      <c r="P37" s="130">
        <f t="shared" ref="P37:P46" si="9">H37*(I37+J37)</f>
        <v>0</v>
      </c>
    </row>
    <row r="38" spans="1:16" x14ac:dyDescent="0.2">
      <c r="A38" s="421" t="s">
        <v>10</v>
      </c>
      <c r="B38" s="131">
        <v>0</v>
      </c>
      <c r="C38" s="131">
        <v>0</v>
      </c>
      <c r="D38" s="131">
        <v>7.5</v>
      </c>
      <c r="E38" s="131">
        <v>0</v>
      </c>
      <c r="F38" s="135">
        <f>ROUND(B38*Costs!$B$10+C38*Costs!$B$11+D38*Costs!$B$12+E38*Costs!$B$13,2)</f>
        <v>357.15</v>
      </c>
      <c r="G38" s="32" t="str">
        <f>Costs!$B$62</f>
        <v xml:space="preserve"> </v>
      </c>
      <c r="H38" s="135">
        <f>Costs!$B$16</f>
        <v>0</v>
      </c>
      <c r="I38" s="518">
        <f>'EX 1'!I195</f>
        <v>1</v>
      </c>
      <c r="J38" s="518">
        <f>'EX 1'!J195</f>
        <v>0</v>
      </c>
      <c r="K38" s="132">
        <f t="shared" si="5"/>
        <v>7.5</v>
      </c>
      <c r="L38" s="135">
        <f t="shared" si="6"/>
        <v>357.15</v>
      </c>
      <c r="M38" s="476"/>
      <c r="N38" s="130">
        <f t="shared" si="7"/>
        <v>357.15</v>
      </c>
      <c r="O38" s="130">
        <f t="shared" si="8"/>
        <v>0</v>
      </c>
      <c r="P38" s="130">
        <f t="shared" si="9"/>
        <v>0</v>
      </c>
    </row>
    <row r="39" spans="1:16" ht="20.399999999999999" x14ac:dyDescent="0.2">
      <c r="A39" s="421" t="s">
        <v>174</v>
      </c>
      <c r="B39" s="131">
        <v>0</v>
      </c>
      <c r="C39" s="131">
        <v>0</v>
      </c>
      <c r="D39" s="131">
        <v>0.5</v>
      </c>
      <c r="E39" s="131">
        <v>0</v>
      </c>
      <c r="F39" s="135">
        <f>ROUND(B39*Costs!$B$10+C39*Costs!$B$11+D39*Costs!$B$12+E39*Costs!$B$13,2)</f>
        <v>23.81</v>
      </c>
      <c r="G39" s="32" t="str">
        <f>Costs!$B$62</f>
        <v xml:space="preserve"> </v>
      </c>
      <c r="H39" s="135">
        <f>Costs!$B$16</f>
        <v>0</v>
      </c>
      <c r="I39" s="518">
        <f>'EX 1'!I203</f>
        <v>36</v>
      </c>
      <c r="J39" s="518">
        <f>'EX 1'!J203</f>
        <v>0</v>
      </c>
      <c r="K39" s="132">
        <f t="shared" si="5"/>
        <v>18</v>
      </c>
      <c r="L39" s="135">
        <f t="shared" si="6"/>
        <v>857.16</v>
      </c>
      <c r="M39" s="476"/>
      <c r="N39" s="130">
        <f t="shared" si="7"/>
        <v>857.16</v>
      </c>
      <c r="O39" s="130">
        <f t="shared" si="8"/>
        <v>0</v>
      </c>
      <c r="P39" s="130">
        <f t="shared" si="9"/>
        <v>0</v>
      </c>
    </row>
    <row r="40" spans="1:16" x14ac:dyDescent="0.2">
      <c r="A40" s="421" t="s">
        <v>11</v>
      </c>
      <c r="B40" s="131">
        <v>1</v>
      </c>
      <c r="C40" s="131">
        <v>0</v>
      </c>
      <c r="D40" s="131">
        <v>2</v>
      </c>
      <c r="E40" s="131">
        <v>0</v>
      </c>
      <c r="F40" s="135">
        <f>ROUND(B40*Costs!$B$10+C40*Costs!$B$11+D40*Costs!$B$12+E40*Costs!$B$13,2)</f>
        <v>189.58</v>
      </c>
      <c r="G40" s="32" t="str">
        <f>Costs!$B$62</f>
        <v xml:space="preserve"> </v>
      </c>
      <c r="H40" s="135">
        <f>Costs!$B$16</f>
        <v>0</v>
      </c>
      <c r="I40" s="518">
        <f>'EX 1'!I253</f>
        <v>0</v>
      </c>
      <c r="J40" s="518">
        <f>'EX 1'!J253</f>
        <v>0</v>
      </c>
      <c r="K40" s="132">
        <f t="shared" si="5"/>
        <v>0</v>
      </c>
      <c r="L40" s="135">
        <f t="shared" si="6"/>
        <v>0</v>
      </c>
      <c r="M40" s="476"/>
      <c r="N40" s="130">
        <f t="shared" si="7"/>
        <v>0</v>
      </c>
      <c r="O40" s="130">
        <f t="shared" si="8"/>
        <v>0</v>
      </c>
      <c r="P40" s="130">
        <f t="shared" si="9"/>
        <v>0</v>
      </c>
    </row>
    <row r="41" spans="1:16" ht="20.399999999999999" x14ac:dyDescent="0.2">
      <c r="A41" s="421" t="s">
        <v>12</v>
      </c>
      <c r="B41" s="131">
        <v>0</v>
      </c>
      <c r="C41" s="131">
        <v>0.5</v>
      </c>
      <c r="D41" s="131">
        <v>1</v>
      </c>
      <c r="E41" s="131">
        <v>0</v>
      </c>
      <c r="F41" s="135">
        <f>ROUND(B41*Costs!$B$10+C41*Costs!$B$11+D41*Costs!$B$12+E41*Costs!$B$13,2)</f>
        <v>81.55</v>
      </c>
      <c r="G41" s="32" t="str">
        <f>Costs!$B$62</f>
        <v xml:space="preserve"> </v>
      </c>
      <c r="H41" s="135">
        <f>Costs!$B$16</f>
        <v>0</v>
      </c>
      <c r="I41" s="518">
        <f>'EX 1'!I263</f>
        <v>0</v>
      </c>
      <c r="J41" s="518">
        <f>'EX 1'!J263</f>
        <v>0</v>
      </c>
      <c r="K41" s="132">
        <f t="shared" si="5"/>
        <v>0</v>
      </c>
      <c r="L41" s="135">
        <f t="shared" si="6"/>
        <v>0</v>
      </c>
      <c r="M41" s="476"/>
      <c r="N41" s="130">
        <f t="shared" si="7"/>
        <v>0</v>
      </c>
      <c r="O41" s="130">
        <f t="shared" si="8"/>
        <v>0</v>
      </c>
      <c r="P41" s="130">
        <f t="shared" si="9"/>
        <v>0</v>
      </c>
    </row>
    <row r="42" spans="1:16" x14ac:dyDescent="0.2">
      <c r="A42" s="421" t="s">
        <v>13</v>
      </c>
      <c r="B42" s="131">
        <v>0</v>
      </c>
      <c r="C42" s="131">
        <v>0</v>
      </c>
      <c r="D42" s="131">
        <v>8</v>
      </c>
      <c r="E42" s="131">
        <v>0</v>
      </c>
      <c r="F42" s="135">
        <f>ROUND(B42*Costs!$B$10+C42*Costs!$B$11+D42*Costs!$B$12+E42*Costs!$B$13,2)</f>
        <v>380.96</v>
      </c>
      <c r="G42" s="32" t="str">
        <f>Costs!$B$62</f>
        <v xml:space="preserve"> </v>
      </c>
      <c r="H42" s="135">
        <f>Costs!$B$16</f>
        <v>0</v>
      </c>
      <c r="I42" s="518">
        <f>'EX 1'!I218+'EX 1'!I226+'EX 1'!I234</f>
        <v>0</v>
      </c>
      <c r="J42" s="518">
        <f>'EX 1'!J218+'EX 1'!J226+'EX 1'!J234</f>
        <v>0</v>
      </c>
      <c r="K42" s="132">
        <f t="shared" si="5"/>
        <v>0</v>
      </c>
      <c r="L42" s="135">
        <f t="shared" si="6"/>
        <v>0</v>
      </c>
      <c r="M42" s="476"/>
      <c r="N42" s="130">
        <f t="shared" si="7"/>
        <v>0</v>
      </c>
      <c r="O42" s="130">
        <f t="shared" si="8"/>
        <v>0</v>
      </c>
      <c r="P42" s="130">
        <f t="shared" si="9"/>
        <v>0</v>
      </c>
    </row>
    <row r="43" spans="1:16" ht="20.399999999999999" x14ac:dyDescent="0.2">
      <c r="A43" s="421" t="s">
        <v>175</v>
      </c>
      <c r="B43" s="131">
        <v>0</v>
      </c>
      <c r="C43" s="131">
        <v>0</v>
      </c>
      <c r="D43" s="131">
        <v>8</v>
      </c>
      <c r="E43" s="131">
        <v>0</v>
      </c>
      <c r="F43" s="135">
        <f>ROUND(B43*Costs!$B$10+C43*Costs!$B$11+D43*Costs!$B$12+E43*Costs!$B$13,2)</f>
        <v>380.96</v>
      </c>
      <c r="G43" s="32" t="str">
        <f>Costs!$B$62</f>
        <v xml:space="preserve"> </v>
      </c>
      <c r="H43" s="135">
        <f>Costs!$B$16</f>
        <v>0</v>
      </c>
      <c r="I43" s="518">
        <f>'EX 1'!I242</f>
        <v>18</v>
      </c>
      <c r="J43" s="518">
        <f>'EX 1'!J242</f>
        <v>0</v>
      </c>
      <c r="K43" s="132">
        <f t="shared" si="5"/>
        <v>144</v>
      </c>
      <c r="L43" s="135">
        <f t="shared" si="6"/>
        <v>6857.28</v>
      </c>
      <c r="M43" s="476"/>
      <c r="N43" s="130">
        <f t="shared" si="7"/>
        <v>6857.28</v>
      </c>
      <c r="O43" s="130">
        <f t="shared" si="8"/>
        <v>0</v>
      </c>
      <c r="P43" s="130">
        <f t="shared" si="9"/>
        <v>0</v>
      </c>
    </row>
    <row r="44" spans="1:16" x14ac:dyDescent="0.2">
      <c r="A44" s="421" t="s">
        <v>14</v>
      </c>
      <c r="B44" s="131">
        <v>1</v>
      </c>
      <c r="C44" s="131">
        <v>0</v>
      </c>
      <c r="D44" s="131">
        <v>2</v>
      </c>
      <c r="E44" s="131">
        <v>0</v>
      </c>
      <c r="F44" s="135">
        <f>ROUND(B44*Costs!$B$10+C44*Costs!$B$11+D44*Costs!$B$12+E44*Costs!$B$13,2)</f>
        <v>189.58</v>
      </c>
      <c r="G44" s="32" t="str">
        <f>Costs!$B$62</f>
        <v xml:space="preserve"> </v>
      </c>
      <c r="H44" s="135">
        <f>Costs!$B$16</f>
        <v>0</v>
      </c>
      <c r="I44" s="518">
        <f>'EX 1'!I295</f>
        <v>0</v>
      </c>
      <c r="J44" s="518">
        <f>'EX 1'!J295</f>
        <v>0</v>
      </c>
      <c r="K44" s="132">
        <f t="shared" si="5"/>
        <v>0</v>
      </c>
      <c r="L44" s="135">
        <f t="shared" si="6"/>
        <v>0</v>
      </c>
      <c r="M44" s="476"/>
      <c r="N44" s="130">
        <f t="shared" si="7"/>
        <v>0</v>
      </c>
      <c r="O44" s="130">
        <f t="shared" si="8"/>
        <v>0</v>
      </c>
      <c r="P44" s="130">
        <f t="shared" si="9"/>
        <v>0</v>
      </c>
    </row>
    <row r="45" spans="1:16" ht="30.6" x14ac:dyDescent="0.2">
      <c r="A45" s="421" t="s">
        <v>176</v>
      </c>
      <c r="B45" s="131">
        <v>0</v>
      </c>
      <c r="C45" s="131">
        <v>0</v>
      </c>
      <c r="D45" s="131">
        <v>2</v>
      </c>
      <c r="E45" s="131">
        <v>0</v>
      </c>
      <c r="F45" s="135">
        <f>ROUND(B45*Costs!$B$10+C45*Costs!$B$11+D45*Costs!$B$12+E45*Costs!$B$13,2)</f>
        <v>95.24</v>
      </c>
      <c r="G45" s="32" t="str">
        <f>Costs!$B$62</f>
        <v xml:space="preserve"> </v>
      </c>
      <c r="H45" s="135">
        <f>Costs!$B$16</f>
        <v>0</v>
      </c>
      <c r="I45" s="518">
        <f>'EX 1'!I302</f>
        <v>0</v>
      </c>
      <c r="J45" s="518">
        <f>'EX 1'!J302</f>
        <v>0</v>
      </c>
      <c r="K45" s="132">
        <f t="shared" si="5"/>
        <v>0</v>
      </c>
      <c r="L45" s="135">
        <f t="shared" si="6"/>
        <v>0</v>
      </c>
      <c r="M45" s="476"/>
      <c r="N45" s="130">
        <f t="shared" si="7"/>
        <v>0</v>
      </c>
      <c r="O45" s="130">
        <f t="shared" si="8"/>
        <v>0</v>
      </c>
      <c r="P45" s="130">
        <f t="shared" si="9"/>
        <v>0</v>
      </c>
    </row>
    <row r="46" spans="1:16" ht="10.8" thickBot="1" x14ac:dyDescent="0.25">
      <c r="A46" s="424" t="s">
        <v>15</v>
      </c>
      <c r="B46" s="425">
        <v>1</v>
      </c>
      <c r="C46" s="425">
        <v>0</v>
      </c>
      <c r="D46" s="425">
        <v>8</v>
      </c>
      <c r="E46" s="425">
        <v>0</v>
      </c>
      <c r="F46" s="426">
        <f>ROUND(B46*Costs!$B$10+C46*Costs!$B$11+D46*Costs!$B$12+E46*Costs!$B$13,2)</f>
        <v>475.3</v>
      </c>
      <c r="G46" s="191" t="str">
        <f>Costs!$B$62</f>
        <v xml:space="preserve"> </v>
      </c>
      <c r="H46" s="426">
        <f>Costs!$B$16</f>
        <v>0</v>
      </c>
      <c r="I46" s="519">
        <v>0</v>
      </c>
      <c r="J46" s="519">
        <f>'EX 1'!J199</f>
        <v>0</v>
      </c>
      <c r="K46" s="428">
        <f t="shared" si="5"/>
        <v>0</v>
      </c>
      <c r="L46" s="426">
        <f t="shared" si="6"/>
        <v>0</v>
      </c>
      <c r="M46" s="476"/>
      <c r="N46" s="130">
        <f t="shared" si="7"/>
        <v>0</v>
      </c>
      <c r="O46" s="130">
        <f t="shared" si="8"/>
        <v>0</v>
      </c>
      <c r="P46" s="130">
        <f t="shared" si="9"/>
        <v>0</v>
      </c>
    </row>
    <row r="47" spans="1:16" ht="10.8" thickBot="1" x14ac:dyDescent="0.25">
      <c r="A47" s="430" t="s">
        <v>596</v>
      </c>
      <c r="B47" s="431" t="s">
        <v>597</v>
      </c>
      <c r="C47" s="431" t="s">
        <v>597</v>
      </c>
      <c r="D47" s="431" t="s">
        <v>597</v>
      </c>
      <c r="E47" s="431" t="s">
        <v>597</v>
      </c>
      <c r="F47" s="431" t="s">
        <v>597</v>
      </c>
      <c r="G47" s="431" t="s">
        <v>597</v>
      </c>
      <c r="H47" s="431" t="s">
        <v>597</v>
      </c>
      <c r="I47" s="432" t="s">
        <v>597</v>
      </c>
      <c r="J47" s="432" t="s">
        <v>597</v>
      </c>
      <c r="K47" s="434">
        <f>SUM(K37:K46)</f>
        <v>169.5</v>
      </c>
      <c r="L47" s="355">
        <f>SUM(L37:L46)</f>
        <v>8071.59</v>
      </c>
      <c r="M47" s="476"/>
      <c r="N47" s="482">
        <f>SUM(N37:N46)</f>
        <v>8071.59</v>
      </c>
      <c r="O47" s="482">
        <f>SUM(O37:O46)</f>
        <v>0</v>
      </c>
      <c r="P47" s="482">
        <f>SUM(P37:P46)</f>
        <v>0</v>
      </c>
    </row>
    <row r="48" spans="1:16" x14ac:dyDescent="0.2">
      <c r="A48" s="486" t="s">
        <v>675</v>
      </c>
      <c r="B48" s="487"/>
      <c r="C48" s="487"/>
      <c r="D48" s="487"/>
      <c r="E48" s="487"/>
      <c r="F48" s="487"/>
      <c r="G48" s="487"/>
      <c r="H48" s="487"/>
      <c r="I48" s="331"/>
      <c r="J48" s="331"/>
      <c r="K48" s="491"/>
      <c r="L48" s="492"/>
      <c r="M48" s="476"/>
      <c r="N48" s="477"/>
    </row>
    <row r="49" spans="1:16" x14ac:dyDescent="0.2">
      <c r="A49" s="421" t="s">
        <v>16</v>
      </c>
      <c r="B49" s="131">
        <v>0</v>
      </c>
      <c r="C49" s="131">
        <v>0.25</v>
      </c>
      <c r="D49" s="131">
        <v>1</v>
      </c>
      <c r="E49" s="131">
        <v>0.1</v>
      </c>
      <c r="F49" s="135">
        <f>ROUND(B49*Costs!$B$10+C49*Costs!$B$11+D49*Costs!$B$12+E49*Costs!$B$13,2)</f>
        <v>67.48</v>
      </c>
      <c r="G49" s="32" t="str">
        <f>Costs!$B$62</f>
        <v xml:space="preserve"> </v>
      </c>
      <c r="H49" s="135">
        <f>Costs!$B$16</f>
        <v>0</v>
      </c>
      <c r="I49" s="112">
        <f>'EX 1'!I323</f>
        <v>11</v>
      </c>
      <c r="J49" s="112" t="str">
        <f>'EX 1'!J323</f>
        <v>N/A</v>
      </c>
      <c r="K49" s="132">
        <f t="shared" ref="K49:K58" si="10">ROUND((B49+C49+D49+E49)*(I49+J49),2)</f>
        <v>14.85</v>
      </c>
      <c r="L49" s="135">
        <f t="shared" ref="L49:L58" si="11">(F49+G49+H49)*(I49+J49)</f>
        <v>742.28000000000009</v>
      </c>
      <c r="M49" s="476"/>
      <c r="N49" s="130">
        <f t="shared" ref="N49:N58" si="12">F49*(I49+J49)</f>
        <v>742.28000000000009</v>
      </c>
      <c r="O49" s="130">
        <f t="shared" ref="O49:O58" si="13">G49*(I49+J49)</f>
        <v>0</v>
      </c>
      <c r="P49" s="130">
        <f t="shared" ref="P49:P58" si="14">H49*(I49+J49)</f>
        <v>0</v>
      </c>
    </row>
    <row r="50" spans="1:16" ht="20.399999999999999" x14ac:dyDescent="0.2">
      <c r="A50" s="421" t="s">
        <v>177</v>
      </c>
      <c r="B50" s="131">
        <v>0</v>
      </c>
      <c r="C50" s="131">
        <v>0</v>
      </c>
      <c r="D50" s="131">
        <v>1</v>
      </c>
      <c r="E50" s="131">
        <v>0.1</v>
      </c>
      <c r="F50" s="135">
        <f>ROUND(B50*Costs!$B$10+C50*Costs!$B$11+D50*Costs!$B$12+E50*Costs!$B$13,2)</f>
        <v>50.52</v>
      </c>
      <c r="G50" s="32" t="str">
        <f>Costs!$B$62</f>
        <v xml:space="preserve"> </v>
      </c>
      <c r="H50" s="135">
        <f>Costs!$B$16</f>
        <v>0</v>
      </c>
      <c r="I50" s="112">
        <f>'EX 1'!I324</f>
        <v>2</v>
      </c>
      <c r="J50" s="112" t="str">
        <f>'EX 1'!J324</f>
        <v>N/A</v>
      </c>
      <c r="K50" s="132">
        <f t="shared" si="10"/>
        <v>2.2000000000000002</v>
      </c>
      <c r="L50" s="135">
        <f t="shared" si="11"/>
        <v>101.04</v>
      </c>
      <c r="M50" s="476"/>
      <c r="N50" s="130">
        <f t="shared" si="12"/>
        <v>101.04</v>
      </c>
      <c r="O50" s="130">
        <f t="shared" si="13"/>
        <v>0</v>
      </c>
      <c r="P50" s="130">
        <f t="shared" si="14"/>
        <v>0</v>
      </c>
    </row>
    <row r="51" spans="1:16" x14ac:dyDescent="0.2">
      <c r="A51" s="421" t="s">
        <v>17</v>
      </c>
      <c r="B51" s="131">
        <v>0</v>
      </c>
      <c r="C51" s="131">
        <v>0.25</v>
      </c>
      <c r="D51" s="131">
        <v>1</v>
      </c>
      <c r="E51" s="131">
        <v>0.1</v>
      </c>
      <c r="F51" s="135">
        <f>ROUND(B51*Costs!$B$10+C51*Costs!$B$11+D51*Costs!$B$12+E51*Costs!$B$13,2)</f>
        <v>67.48</v>
      </c>
      <c r="G51" s="32" t="str">
        <f>Costs!$B$62</f>
        <v xml:space="preserve"> </v>
      </c>
      <c r="H51" s="135">
        <f>Costs!$B$16</f>
        <v>0</v>
      </c>
      <c r="I51" s="112">
        <f>'EX 1'!I325</f>
        <v>1</v>
      </c>
      <c r="J51" s="112" t="str">
        <f>'EX 1'!J325</f>
        <v>N/A</v>
      </c>
      <c r="K51" s="132">
        <f t="shared" si="10"/>
        <v>1.35</v>
      </c>
      <c r="L51" s="135">
        <f t="shared" si="11"/>
        <v>67.48</v>
      </c>
      <c r="M51" s="476"/>
      <c r="N51" s="130">
        <f t="shared" si="12"/>
        <v>67.48</v>
      </c>
      <c r="O51" s="130">
        <f t="shared" si="13"/>
        <v>0</v>
      </c>
      <c r="P51" s="130">
        <f t="shared" si="14"/>
        <v>0</v>
      </c>
    </row>
    <row r="52" spans="1:16" x14ac:dyDescent="0.2">
      <c r="A52" s="421" t="s">
        <v>18</v>
      </c>
      <c r="B52" s="131">
        <v>0</v>
      </c>
      <c r="C52" s="131">
        <v>0.25</v>
      </c>
      <c r="D52" s="131">
        <v>1</v>
      </c>
      <c r="E52" s="131">
        <v>0.1</v>
      </c>
      <c r="F52" s="135">
        <f>ROUND(B52*Costs!$B$10+C52*Costs!$B$11+D52*Costs!$B$12+E52*Costs!$B$13,2)</f>
        <v>67.48</v>
      </c>
      <c r="G52" s="32" t="str">
        <f>Costs!$B$62</f>
        <v xml:space="preserve"> </v>
      </c>
      <c r="H52" s="135">
        <f>Costs!$B$16</f>
        <v>0</v>
      </c>
      <c r="I52" s="112">
        <f>'EX 1'!I326</f>
        <v>1</v>
      </c>
      <c r="J52" s="112" t="str">
        <f>'EX 1'!J326</f>
        <v>N/A</v>
      </c>
      <c r="K52" s="132">
        <f t="shared" si="10"/>
        <v>1.35</v>
      </c>
      <c r="L52" s="135">
        <f t="shared" si="11"/>
        <v>67.48</v>
      </c>
      <c r="M52" s="476"/>
      <c r="N52" s="130">
        <f t="shared" si="12"/>
        <v>67.48</v>
      </c>
      <c r="O52" s="130">
        <f t="shared" si="13"/>
        <v>0</v>
      </c>
      <c r="P52" s="130">
        <f t="shared" si="14"/>
        <v>0</v>
      </c>
    </row>
    <row r="53" spans="1:16" x14ac:dyDescent="0.2">
      <c r="A53" s="421" t="s">
        <v>19</v>
      </c>
      <c r="B53" s="131">
        <v>0</v>
      </c>
      <c r="C53" s="131">
        <v>0</v>
      </c>
      <c r="D53" s="131">
        <v>5</v>
      </c>
      <c r="E53" s="131">
        <v>0</v>
      </c>
      <c r="F53" s="135">
        <f>ROUND(B53*Costs!$B$10+C53*Costs!$B$11+D53*Costs!$B$12+E53*Costs!$B$13,2)</f>
        <v>238.1</v>
      </c>
      <c r="G53" s="32" t="str">
        <f>Costs!$B$62</f>
        <v xml:space="preserve"> </v>
      </c>
      <c r="H53" s="135">
        <f>Costs!$B$16</f>
        <v>0</v>
      </c>
      <c r="I53" s="112">
        <f>'EX 1'!I327</f>
        <v>36</v>
      </c>
      <c r="J53" s="112" t="str">
        <f>'EX 1'!J327</f>
        <v>N/A</v>
      </c>
      <c r="K53" s="132">
        <f t="shared" si="10"/>
        <v>180</v>
      </c>
      <c r="L53" s="135">
        <f t="shared" si="11"/>
        <v>8571.6</v>
      </c>
      <c r="M53" s="476"/>
      <c r="N53" s="130">
        <f t="shared" si="12"/>
        <v>8571.6</v>
      </c>
      <c r="O53" s="130">
        <f t="shared" si="13"/>
        <v>0</v>
      </c>
      <c r="P53" s="130">
        <f t="shared" si="14"/>
        <v>0</v>
      </c>
    </row>
    <row r="54" spans="1:16" ht="20.399999999999999" x14ac:dyDescent="0.2">
      <c r="A54" s="421" t="s">
        <v>20</v>
      </c>
      <c r="B54" s="131">
        <v>0</v>
      </c>
      <c r="C54" s="131">
        <v>0</v>
      </c>
      <c r="D54" s="131">
        <v>3</v>
      </c>
      <c r="E54" s="131">
        <v>0.1</v>
      </c>
      <c r="F54" s="135">
        <f>ROUND(B54*Costs!$B$10+C54*Costs!$B$11+D54*Costs!$B$12+E54*Costs!$B$13,2)</f>
        <v>145.76</v>
      </c>
      <c r="G54" s="32" t="str">
        <f>Costs!$B$62</f>
        <v xml:space="preserve"> </v>
      </c>
      <c r="H54" s="135">
        <f>Costs!$B$16</f>
        <v>0</v>
      </c>
      <c r="I54" s="112">
        <f>'EX 1'!I328</f>
        <v>4</v>
      </c>
      <c r="J54" s="112" t="str">
        <f>'EX 1'!J328</f>
        <v>N/A</v>
      </c>
      <c r="K54" s="132">
        <f t="shared" si="10"/>
        <v>12.4</v>
      </c>
      <c r="L54" s="135">
        <f t="shared" si="11"/>
        <v>583.04</v>
      </c>
      <c r="M54" s="476"/>
      <c r="N54" s="130">
        <f t="shared" si="12"/>
        <v>583.04</v>
      </c>
      <c r="O54" s="130">
        <f t="shared" si="13"/>
        <v>0</v>
      </c>
      <c r="P54" s="130">
        <f t="shared" si="14"/>
        <v>0</v>
      </c>
    </row>
    <row r="55" spans="1:16" ht="20.399999999999999" x14ac:dyDescent="0.2">
      <c r="A55" s="421" t="s">
        <v>178</v>
      </c>
      <c r="B55" s="131">
        <v>0</v>
      </c>
      <c r="C55" s="131">
        <v>0</v>
      </c>
      <c r="D55" s="131">
        <v>1</v>
      </c>
      <c r="E55" s="131">
        <v>0.1</v>
      </c>
      <c r="F55" s="135">
        <f>ROUND(B55*Costs!$B$10+C55*Costs!$B$11+D55*Costs!$B$12+E55*Costs!$B$13,2)</f>
        <v>50.52</v>
      </c>
      <c r="G55" s="32" t="str">
        <f>Costs!$B$62</f>
        <v xml:space="preserve"> </v>
      </c>
      <c r="H55" s="135">
        <f>Costs!$B$16</f>
        <v>0</v>
      </c>
      <c r="I55" s="112">
        <f>'EX 1'!I329</f>
        <v>4</v>
      </c>
      <c r="J55" s="112" t="str">
        <f>'EX 1'!J329</f>
        <v>N/A</v>
      </c>
      <c r="K55" s="132">
        <f t="shared" si="10"/>
        <v>4.4000000000000004</v>
      </c>
      <c r="L55" s="135">
        <f t="shared" si="11"/>
        <v>202.08</v>
      </c>
      <c r="M55" s="476"/>
      <c r="N55" s="130">
        <f t="shared" si="12"/>
        <v>202.08</v>
      </c>
      <c r="O55" s="130">
        <f t="shared" si="13"/>
        <v>0</v>
      </c>
      <c r="P55" s="130">
        <f t="shared" si="14"/>
        <v>0</v>
      </c>
    </row>
    <row r="56" spans="1:16" x14ac:dyDescent="0.2">
      <c r="A56" s="421" t="s">
        <v>21</v>
      </c>
      <c r="B56" s="131">
        <v>0</v>
      </c>
      <c r="C56" s="131">
        <v>0</v>
      </c>
      <c r="D56" s="131">
        <v>1</v>
      </c>
      <c r="E56" s="131">
        <v>0.1</v>
      </c>
      <c r="F56" s="135">
        <f>ROUND(B56*Costs!$B$10+C56*Costs!$B$11+D56*Costs!$B$12+E56*Costs!$B$13,2)</f>
        <v>50.52</v>
      </c>
      <c r="G56" s="32" t="str">
        <f>Costs!$B$62</f>
        <v xml:space="preserve"> </v>
      </c>
      <c r="H56" s="135">
        <f>Costs!$B$16</f>
        <v>0</v>
      </c>
      <c r="I56" s="112">
        <f>'EX 1'!I330</f>
        <v>4</v>
      </c>
      <c r="J56" s="112" t="str">
        <f>'EX 1'!J330</f>
        <v>N/A</v>
      </c>
      <c r="K56" s="132">
        <f t="shared" si="10"/>
        <v>4.4000000000000004</v>
      </c>
      <c r="L56" s="135">
        <f t="shared" si="11"/>
        <v>202.08</v>
      </c>
      <c r="M56" s="476"/>
      <c r="N56" s="130">
        <f t="shared" si="12"/>
        <v>202.08</v>
      </c>
      <c r="O56" s="130">
        <f t="shared" si="13"/>
        <v>0</v>
      </c>
      <c r="P56" s="130">
        <f t="shared" si="14"/>
        <v>0</v>
      </c>
    </row>
    <row r="57" spans="1:16" x14ac:dyDescent="0.2">
      <c r="A57" s="421" t="s">
        <v>22</v>
      </c>
      <c r="B57" s="131">
        <v>0</v>
      </c>
      <c r="C57" s="131">
        <v>0</v>
      </c>
      <c r="D57" s="131">
        <v>1</v>
      </c>
      <c r="E57" s="131">
        <v>0.1</v>
      </c>
      <c r="F57" s="135">
        <f>ROUND(B57*Costs!$B$10+C57*Costs!$B$11+D57*Costs!$B$12+E57*Costs!$B$13,2)</f>
        <v>50.52</v>
      </c>
      <c r="G57" s="32" t="str">
        <f>Costs!$B$62</f>
        <v xml:space="preserve"> </v>
      </c>
      <c r="H57" s="135">
        <f>Costs!$B$16</f>
        <v>0</v>
      </c>
      <c r="I57" s="112">
        <f>'EX 1'!I331</f>
        <v>7</v>
      </c>
      <c r="J57" s="112" t="str">
        <f>'EX 1'!J331</f>
        <v>N/A</v>
      </c>
      <c r="K57" s="132">
        <f t="shared" si="10"/>
        <v>7.7</v>
      </c>
      <c r="L57" s="135">
        <f t="shared" si="11"/>
        <v>353.64000000000004</v>
      </c>
      <c r="M57" s="476"/>
      <c r="N57" s="130">
        <f t="shared" si="12"/>
        <v>353.64000000000004</v>
      </c>
      <c r="O57" s="130">
        <f t="shared" si="13"/>
        <v>0</v>
      </c>
      <c r="P57" s="130">
        <f t="shared" si="14"/>
        <v>0</v>
      </c>
    </row>
    <row r="58" spans="1:16" ht="10.8" thickBot="1" x14ac:dyDescent="0.25">
      <c r="A58" s="424" t="s">
        <v>23</v>
      </c>
      <c r="B58" s="425">
        <v>0</v>
      </c>
      <c r="C58" s="425">
        <v>0</v>
      </c>
      <c r="D58" s="425">
        <v>1</v>
      </c>
      <c r="E58" s="425">
        <v>0.25</v>
      </c>
      <c r="F58" s="426">
        <f>ROUND(B58*Costs!$B$10+C58*Costs!$B$11+D58*Costs!$B$12+E58*Costs!$B$13,2)</f>
        <v>54.86</v>
      </c>
      <c r="G58" s="191" t="str">
        <f>Costs!$B$62</f>
        <v xml:space="preserve"> </v>
      </c>
      <c r="H58" s="426">
        <f>Costs!$B$16</f>
        <v>0</v>
      </c>
      <c r="I58" s="427">
        <f>'EX 1'!I332</f>
        <v>4</v>
      </c>
      <c r="J58" s="427" t="str">
        <f>'EX 1'!J332</f>
        <v>N/A</v>
      </c>
      <c r="K58" s="428">
        <f t="shared" si="10"/>
        <v>5</v>
      </c>
      <c r="L58" s="426">
        <f t="shared" si="11"/>
        <v>219.44</v>
      </c>
      <c r="M58" s="476"/>
      <c r="N58" s="130">
        <f t="shared" si="12"/>
        <v>219.44</v>
      </c>
      <c r="O58" s="130">
        <f t="shared" si="13"/>
        <v>0</v>
      </c>
      <c r="P58" s="130">
        <f t="shared" si="14"/>
        <v>0</v>
      </c>
    </row>
    <row r="59" spans="1:16" ht="10.8" thickBot="1" x14ac:dyDescent="0.25">
      <c r="A59" s="430" t="s">
        <v>596</v>
      </c>
      <c r="B59" s="431" t="s">
        <v>597</v>
      </c>
      <c r="C59" s="431" t="s">
        <v>597</v>
      </c>
      <c r="D59" s="431" t="s">
        <v>597</v>
      </c>
      <c r="E59" s="431" t="s">
        <v>597</v>
      </c>
      <c r="F59" s="431" t="s">
        <v>597</v>
      </c>
      <c r="G59" s="431" t="s">
        <v>597</v>
      </c>
      <c r="H59" s="431" t="s">
        <v>597</v>
      </c>
      <c r="I59" s="432" t="s">
        <v>597</v>
      </c>
      <c r="J59" s="432" t="s">
        <v>597</v>
      </c>
      <c r="K59" s="433">
        <f>SUM(K49:K58)</f>
        <v>233.65</v>
      </c>
      <c r="L59" s="355">
        <f>SUM(L49:L58)</f>
        <v>11110.160000000002</v>
      </c>
      <c r="M59" s="476"/>
      <c r="N59" s="482">
        <f>SUM(N49:N58)</f>
        <v>11110.160000000002</v>
      </c>
      <c r="O59" s="482">
        <f>SUM(O49:O58)</f>
        <v>0</v>
      </c>
      <c r="P59" s="482">
        <f>SUM(P49:P58)</f>
        <v>0</v>
      </c>
    </row>
    <row r="60" spans="1:16" s="485" customFormat="1" ht="10.8" thickBot="1" x14ac:dyDescent="0.25">
      <c r="A60" s="435" t="s">
        <v>567</v>
      </c>
      <c r="B60" s="436" t="s">
        <v>597</v>
      </c>
      <c r="C60" s="436" t="s">
        <v>597</v>
      </c>
      <c r="D60" s="436" t="s">
        <v>597</v>
      </c>
      <c r="E60" s="436" t="s">
        <v>597</v>
      </c>
      <c r="F60" s="436" t="s">
        <v>597</v>
      </c>
      <c r="G60" s="436" t="s">
        <v>597</v>
      </c>
      <c r="H60" s="436" t="s">
        <v>597</v>
      </c>
      <c r="I60" s="437" t="s">
        <v>597</v>
      </c>
      <c r="J60" s="437" t="s">
        <v>597</v>
      </c>
      <c r="K60" s="434">
        <f>K17+K20+K26+K35+K47+K59</f>
        <v>733.15</v>
      </c>
      <c r="L60" s="438">
        <f>L17+L20+L26+L35+L47+L59</f>
        <v>34896.350000000006</v>
      </c>
      <c r="M60" s="483"/>
      <c r="N60" s="484">
        <f>N17+N20+N26+N35+N47+N59</f>
        <v>34896.350000000006</v>
      </c>
      <c r="O60" s="484">
        <f>O17+O20+O26+O35+O47+O59</f>
        <v>0</v>
      </c>
      <c r="P60" s="484">
        <f>P17+P20+P26+P35+P47+P59</f>
        <v>0</v>
      </c>
    </row>
    <row r="61" spans="1:16" x14ac:dyDescent="0.2">
      <c r="B61" s="38"/>
      <c r="C61" s="38"/>
      <c r="D61" s="38"/>
      <c r="E61" s="38"/>
      <c r="F61" s="38"/>
      <c r="G61" s="38"/>
      <c r="H61" s="38"/>
      <c r="K61" s="41"/>
      <c r="L61" s="4"/>
      <c r="M61" s="476"/>
      <c r="N61" s="477"/>
    </row>
    <row r="62" spans="1:16" x14ac:dyDescent="0.2">
      <c r="B62" s="38"/>
      <c r="C62" s="38"/>
      <c r="D62" s="38"/>
      <c r="E62" s="38"/>
      <c r="F62" s="38"/>
      <c r="G62" s="38"/>
      <c r="H62" s="38"/>
      <c r="K62" s="41"/>
      <c r="L62" s="4"/>
      <c r="M62" s="476"/>
      <c r="N62" s="477"/>
    </row>
    <row r="63" spans="1:16" x14ac:dyDescent="0.2">
      <c r="B63" s="38"/>
      <c r="C63" s="38"/>
      <c r="D63" s="38"/>
      <c r="E63" s="38"/>
      <c r="F63" s="38"/>
      <c r="G63" s="38"/>
      <c r="H63" s="38"/>
      <c r="K63" s="41"/>
      <c r="L63" s="4"/>
      <c r="M63" s="476"/>
      <c r="N63" s="477"/>
    </row>
    <row r="64" spans="1:16" x14ac:dyDescent="0.2">
      <c r="B64" s="38"/>
      <c r="M64" s="476"/>
      <c r="N64" s="477"/>
    </row>
    <row r="65" spans="1:14" x14ac:dyDescent="0.2">
      <c r="B65" s="38"/>
      <c r="M65" s="476"/>
      <c r="N65" s="477"/>
    </row>
    <row r="66" spans="1:14" x14ac:dyDescent="0.2">
      <c r="A66" s="11"/>
      <c r="B66" s="38"/>
      <c r="M66" s="476"/>
      <c r="N66" s="477"/>
    </row>
    <row r="67" spans="1:14" x14ac:dyDescent="0.2">
      <c r="B67" s="38"/>
      <c r="M67" s="476"/>
      <c r="N67" s="477"/>
    </row>
    <row r="68" spans="1:14" x14ac:dyDescent="0.2">
      <c r="B68" s="38"/>
      <c r="M68" s="476"/>
      <c r="N68" s="477"/>
    </row>
    <row r="70" spans="1:14" x14ac:dyDescent="0.2">
      <c r="B70" s="38"/>
      <c r="M70" s="476"/>
      <c r="N70" s="477"/>
    </row>
    <row r="71" spans="1:14" x14ac:dyDescent="0.2">
      <c r="B71" s="38"/>
      <c r="M71" s="476"/>
      <c r="N71" s="477"/>
    </row>
    <row r="72" spans="1:14" x14ac:dyDescent="0.2">
      <c r="B72" s="38"/>
      <c r="M72" s="476"/>
      <c r="N72" s="477"/>
    </row>
    <row r="73" spans="1:14" x14ac:dyDescent="0.2">
      <c r="B73" s="38"/>
      <c r="M73" s="476"/>
      <c r="N73" s="477"/>
    </row>
    <row r="75" spans="1:14" x14ac:dyDescent="0.2">
      <c r="B75" s="38"/>
      <c r="M75" s="476"/>
      <c r="N75" s="477"/>
    </row>
    <row r="76" spans="1:14" x14ac:dyDescent="0.2">
      <c r="B76" s="38"/>
      <c r="M76" s="476"/>
      <c r="N76" s="477"/>
    </row>
    <row r="77" spans="1:14" x14ac:dyDescent="0.2">
      <c r="B77" s="38"/>
      <c r="M77" s="476"/>
      <c r="N77" s="477"/>
    </row>
    <row r="78" spans="1:14" x14ac:dyDescent="0.2">
      <c r="B78" s="38"/>
      <c r="M78" s="476"/>
      <c r="N78" s="477"/>
    </row>
    <row r="80" spans="1:14" x14ac:dyDescent="0.2">
      <c r="B80" s="38"/>
      <c r="M80" s="476"/>
      <c r="N80" s="477"/>
    </row>
    <row r="82" spans="2:14" x14ac:dyDescent="0.2">
      <c r="B82" s="38"/>
      <c r="M82" s="476"/>
      <c r="N82" s="477"/>
    </row>
    <row r="83" spans="2:14" x14ac:dyDescent="0.2">
      <c r="B83" s="38"/>
      <c r="M83" s="476"/>
      <c r="N83" s="477"/>
    </row>
    <row r="84" spans="2:14" x14ac:dyDescent="0.2">
      <c r="B84" s="38"/>
      <c r="M84" s="476"/>
      <c r="N84" s="477"/>
    </row>
    <row r="85" spans="2:14" x14ac:dyDescent="0.2">
      <c r="B85" s="38"/>
      <c r="M85" s="476"/>
      <c r="N85" s="477"/>
    </row>
    <row r="86" spans="2:14" x14ac:dyDescent="0.2">
      <c r="B86" s="38"/>
      <c r="M86" s="476"/>
      <c r="N86" s="477"/>
    </row>
    <row r="87" spans="2:14" x14ac:dyDescent="0.2">
      <c r="B87" s="38"/>
      <c r="M87" s="476"/>
      <c r="N87" s="477"/>
    </row>
    <row r="88" spans="2:14" x14ac:dyDescent="0.2">
      <c r="B88" s="38"/>
      <c r="M88" s="476"/>
      <c r="N88" s="477"/>
    </row>
    <row r="89" spans="2:14" x14ac:dyDescent="0.2">
      <c r="B89" s="38"/>
      <c r="M89" s="476"/>
      <c r="N89" s="477"/>
    </row>
    <row r="90" spans="2:14" x14ac:dyDescent="0.2">
      <c r="B90" s="38"/>
      <c r="M90" s="476"/>
      <c r="N90" s="477"/>
    </row>
    <row r="91" spans="2:14" x14ac:dyDescent="0.2">
      <c r="B91" s="38"/>
      <c r="M91" s="476"/>
      <c r="N91" s="477"/>
    </row>
    <row r="92" spans="2:14" x14ac:dyDescent="0.2">
      <c r="B92" s="38"/>
      <c r="M92" s="476"/>
      <c r="N92" s="477"/>
    </row>
    <row r="93" spans="2:14" x14ac:dyDescent="0.2">
      <c r="B93" s="38"/>
      <c r="M93" s="476"/>
      <c r="N93" s="477"/>
    </row>
    <row r="94" spans="2:14" x14ac:dyDescent="0.2">
      <c r="B94" s="38"/>
      <c r="M94" s="476"/>
      <c r="N94" s="477"/>
    </row>
    <row r="95" spans="2:14" x14ac:dyDescent="0.2">
      <c r="B95" s="38"/>
      <c r="M95" s="476"/>
      <c r="N95" s="477"/>
    </row>
    <row r="96" spans="2:14" x14ac:dyDescent="0.2">
      <c r="B96" s="38"/>
      <c r="M96" s="476"/>
      <c r="N96" s="477"/>
    </row>
    <row r="97" spans="2:14" x14ac:dyDescent="0.2">
      <c r="B97" s="38"/>
      <c r="M97" s="476"/>
      <c r="N97" s="477"/>
    </row>
    <row r="98" spans="2:14" x14ac:dyDescent="0.2">
      <c r="B98" s="38"/>
      <c r="M98" s="476"/>
      <c r="N98" s="477"/>
    </row>
    <row r="99" spans="2:14" x14ac:dyDescent="0.2">
      <c r="B99" s="38"/>
      <c r="M99" s="476"/>
      <c r="N99" s="477"/>
    </row>
    <row r="100" spans="2:14" x14ac:dyDescent="0.2">
      <c r="B100" s="38"/>
      <c r="M100" s="476"/>
      <c r="N100" s="477"/>
    </row>
  </sheetData>
  <phoneticPr fontId="8" type="noConversion"/>
  <printOptions horizontalCentered="1" gridLinesSet="0"/>
  <pageMargins left="0.1" right="0.1" top="0.5" bottom="0.5" header="0.5" footer="0.5"/>
  <pageSetup scale="88" orientation="landscape" r:id="rId1"/>
  <headerFooter alignWithMargins="0">
    <oddFooter>&amp;CPage &amp;P of &amp;N</oddFooter>
  </headerFooter>
  <rowBreaks count="2" manualBreakCount="2">
    <brk id="47" max="16383" man="1"/>
    <brk id="8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8B57-2048-4BB2-8413-B9E777ADEA44}">
  <sheetPr syncVertical="1" syncRef="B4" transitionEvaluation="1" transitionEntry="1" codeName="Sheet7"/>
  <dimension ref="A2:AS245"/>
  <sheetViews>
    <sheetView showGridLines="0" topLeftCell="B4" zoomScaleNormal="100" workbookViewId="0">
      <selection activeCell="S14" sqref="S14"/>
    </sheetView>
  </sheetViews>
  <sheetFormatPr defaultColWidth="9.7109375" defaultRowHeight="10.199999999999999" x14ac:dyDescent="0.2"/>
  <cols>
    <col min="1" max="1" width="46.7109375" customWidth="1"/>
    <col min="2" max="2" width="8.7109375" bestFit="1" customWidth="1"/>
    <col min="3" max="5" width="8.7109375" customWidth="1"/>
    <col min="6" max="6" width="10.42578125" customWidth="1"/>
    <col min="7" max="9" width="8.7109375" customWidth="1"/>
    <col min="10" max="10" width="9" customWidth="1"/>
    <col min="11" max="11" width="12.28515625" style="42" customWidth="1"/>
    <col min="12" max="12" width="14.7109375" customWidth="1"/>
    <col min="13" max="13" width="13.7109375" style="83" customWidth="1"/>
    <col min="14" max="14" width="14.7109375" style="83" hidden="1" customWidth="1"/>
    <col min="15" max="15" width="13.7109375" style="83" hidden="1" customWidth="1"/>
    <col min="16" max="16" width="16.7109375" style="83" hidden="1" customWidth="1"/>
    <col min="17" max="17" width="13.7109375" style="83" customWidth="1"/>
    <col min="18" max="21" width="15.7109375" style="83" customWidth="1"/>
    <col min="22" max="23" width="9.7109375" style="83"/>
    <col min="24" max="24" width="9.7109375" style="83" customWidth="1"/>
    <col min="25" max="25" width="45.7109375" style="83" customWidth="1"/>
    <col min="26" max="26" width="0.85546875" style="83" customWidth="1"/>
    <col min="27" max="27" width="11.7109375" style="83" customWidth="1"/>
    <col min="28" max="28" width="9.7109375" style="83" customWidth="1"/>
    <col min="29" max="29" width="11.7109375" style="83" customWidth="1"/>
    <col min="30" max="30" width="0.85546875" style="83" customWidth="1"/>
    <col min="31" max="31" width="11.7109375" style="83" customWidth="1"/>
    <col min="32" max="32" width="9.7109375" style="83" customWidth="1"/>
    <col min="33" max="33" width="11.7109375" style="83" customWidth="1"/>
    <col min="34" max="34" width="0.85546875" style="83" customWidth="1"/>
    <col min="35" max="35" width="11.7109375" style="83" customWidth="1"/>
    <col min="36" max="36" width="9.7109375" style="83" customWidth="1"/>
    <col min="37" max="37" width="11.7109375" style="83" customWidth="1"/>
    <col min="38" max="41" width="9.7109375" style="83" customWidth="1"/>
    <col min="42" max="42" width="0.85546875" style="83" customWidth="1"/>
    <col min="43" max="45" width="9.7109375" style="83" customWidth="1"/>
    <col min="46" max="46" width="1.140625" style="83" customWidth="1"/>
    <col min="47" max="16384" width="9.7109375" style="83"/>
  </cols>
  <sheetData>
    <row r="2" spans="1:16" ht="18" x14ac:dyDescent="0.35">
      <c r="A2" s="572" t="s">
        <v>270</v>
      </c>
      <c r="D2" s="4"/>
      <c r="K2" s="41"/>
      <c r="N2" s="481"/>
    </row>
    <row r="3" spans="1:16" ht="18" x14ac:dyDescent="0.35">
      <c r="A3" s="572" t="s">
        <v>239</v>
      </c>
      <c r="B3" s="6"/>
      <c r="C3" s="6"/>
      <c r="D3" s="6"/>
      <c r="E3" s="6"/>
      <c r="F3" s="6"/>
      <c r="G3" s="6"/>
      <c r="H3" s="6"/>
      <c r="K3" s="41"/>
      <c r="L3" s="4"/>
      <c r="N3" s="481"/>
    </row>
    <row r="4" spans="1:16" ht="18" x14ac:dyDescent="0.35">
      <c r="A4" s="573" t="s">
        <v>230</v>
      </c>
      <c r="B4" s="6"/>
      <c r="C4" s="6"/>
      <c r="D4" s="6"/>
      <c r="E4" s="6"/>
      <c r="F4" s="6"/>
      <c r="G4" s="6"/>
      <c r="H4" s="6"/>
      <c r="K4" s="41"/>
      <c r="L4" s="4"/>
      <c r="N4" s="481"/>
    </row>
    <row r="5" spans="1:16" x14ac:dyDescent="0.2">
      <c r="B5" s="6"/>
      <c r="C5" s="6"/>
      <c r="D5" s="6"/>
      <c r="E5" s="6"/>
      <c r="F5" s="6"/>
      <c r="G5" s="6"/>
      <c r="H5" s="6"/>
      <c r="K5" s="41"/>
      <c r="L5" s="4"/>
      <c r="N5" s="481"/>
    </row>
    <row r="6" spans="1:16" x14ac:dyDescent="0.2">
      <c r="B6" s="14"/>
      <c r="C6" s="14"/>
      <c r="D6" s="14"/>
      <c r="E6" s="14"/>
      <c r="F6" s="14"/>
      <c r="G6" s="27"/>
      <c r="H6" s="14"/>
      <c r="I6" s="69" t="s">
        <v>681</v>
      </c>
      <c r="J6" s="70"/>
      <c r="K6" s="73"/>
      <c r="L6" s="58"/>
      <c r="M6" s="520"/>
      <c r="N6" s="481"/>
    </row>
    <row r="7" spans="1:16" x14ac:dyDescent="0.2">
      <c r="B7" s="57" t="s">
        <v>682</v>
      </c>
      <c r="C7" s="58"/>
      <c r="D7" s="58"/>
      <c r="E7" s="58"/>
      <c r="F7" s="58"/>
      <c r="G7" s="61"/>
      <c r="H7" s="58"/>
      <c r="I7" s="71" t="s">
        <v>683</v>
      </c>
      <c r="J7" s="69"/>
      <c r="K7" s="66" t="s">
        <v>577</v>
      </c>
      <c r="L7" s="60"/>
      <c r="N7" s="481"/>
    </row>
    <row r="8" spans="1:16" x14ac:dyDescent="0.2">
      <c r="B8" s="54"/>
      <c r="C8" s="51"/>
      <c r="D8" s="51"/>
      <c r="E8" s="51"/>
      <c r="F8" s="51"/>
      <c r="G8" s="52"/>
      <c r="H8" s="51"/>
      <c r="I8" s="72"/>
      <c r="J8" s="55"/>
      <c r="K8" s="74"/>
      <c r="L8" s="56"/>
      <c r="N8" s="481"/>
    </row>
    <row r="9" spans="1:16" x14ac:dyDescent="0.2">
      <c r="B9" s="9" t="s">
        <v>569</v>
      </c>
      <c r="C9" s="13" t="s">
        <v>570</v>
      </c>
      <c r="D9" s="13" t="s">
        <v>571</v>
      </c>
      <c r="E9" s="13" t="s">
        <v>572</v>
      </c>
      <c r="F9" s="13" t="s">
        <v>578</v>
      </c>
      <c r="G9" s="10" t="s">
        <v>579</v>
      </c>
      <c r="H9" s="31"/>
      <c r="K9" s="43" t="s">
        <v>580</v>
      </c>
      <c r="L9" s="4"/>
      <c r="N9" s="481"/>
    </row>
    <row r="10" spans="1:16" x14ac:dyDescent="0.2">
      <c r="B10" s="10">
        <f>Costs!$B$10</f>
        <v>94.34</v>
      </c>
      <c r="C10" s="10">
        <f>Costs!$B$11</f>
        <v>67.86</v>
      </c>
      <c r="D10" s="10">
        <f>Costs!$B$12</f>
        <v>47.62</v>
      </c>
      <c r="E10" s="10">
        <f>Costs!$B$13</f>
        <v>28.96</v>
      </c>
      <c r="F10" s="10" t="s">
        <v>275</v>
      </c>
      <c r="G10" s="10" t="s">
        <v>584</v>
      </c>
      <c r="H10" s="10" t="s">
        <v>585</v>
      </c>
      <c r="J10" s="13" t="s">
        <v>604</v>
      </c>
      <c r="K10" s="43" t="s">
        <v>582</v>
      </c>
      <c r="L10" s="13" t="s">
        <v>271</v>
      </c>
      <c r="N10" s="521" t="s">
        <v>578</v>
      </c>
      <c r="O10" s="400" t="s">
        <v>280</v>
      </c>
      <c r="P10" s="400" t="s">
        <v>586</v>
      </c>
    </row>
    <row r="11" spans="1:16" x14ac:dyDescent="0.2">
      <c r="A11" s="11" t="s">
        <v>588</v>
      </c>
      <c r="B11" s="9" t="s">
        <v>590</v>
      </c>
      <c r="C11" s="9" t="s">
        <v>590</v>
      </c>
      <c r="D11" s="9" t="s">
        <v>590</v>
      </c>
      <c r="E11" s="9" t="s">
        <v>590</v>
      </c>
      <c r="F11" s="40" t="s">
        <v>276</v>
      </c>
      <c r="G11" s="10" t="s">
        <v>592</v>
      </c>
      <c r="H11" s="10" t="s">
        <v>592</v>
      </c>
      <c r="I11" s="13" t="s">
        <v>574</v>
      </c>
      <c r="J11" s="13" t="s">
        <v>606</v>
      </c>
      <c r="K11" s="43" t="s">
        <v>591</v>
      </c>
      <c r="L11" s="13" t="s">
        <v>272</v>
      </c>
      <c r="N11" s="522" t="s">
        <v>592</v>
      </c>
      <c r="O11" s="400"/>
      <c r="P11" s="400" t="s">
        <v>592</v>
      </c>
    </row>
    <row r="12" spans="1:16" x14ac:dyDescent="0.2">
      <c r="A12" s="456" t="s">
        <v>250</v>
      </c>
      <c r="B12" s="470"/>
      <c r="C12" s="470"/>
      <c r="D12" s="470"/>
      <c r="E12" s="470"/>
      <c r="F12" s="470"/>
      <c r="G12" s="470"/>
      <c r="H12" s="470"/>
      <c r="I12" s="252"/>
      <c r="J12" s="252"/>
      <c r="K12" s="253"/>
      <c r="L12" s="254"/>
      <c r="N12" s="481"/>
    </row>
    <row r="13" spans="1:16" x14ac:dyDescent="0.2">
      <c r="A13" s="461" t="s">
        <v>251</v>
      </c>
      <c r="B13" s="471"/>
      <c r="C13" s="310"/>
      <c r="D13" s="310"/>
      <c r="E13" s="310"/>
      <c r="F13" s="310"/>
      <c r="G13" s="310"/>
      <c r="H13" s="310"/>
      <c r="I13" s="310"/>
      <c r="J13" s="310"/>
      <c r="K13" s="259"/>
      <c r="L13" s="313"/>
      <c r="N13" s="481"/>
    </row>
    <row r="14" spans="1:16" x14ac:dyDescent="0.2">
      <c r="A14" s="421" t="s">
        <v>179</v>
      </c>
      <c r="B14" s="92">
        <v>0</v>
      </c>
      <c r="C14" s="92">
        <v>0.25</v>
      </c>
      <c r="D14" s="92">
        <v>1</v>
      </c>
      <c r="E14" s="92">
        <v>0</v>
      </c>
      <c r="F14" s="135">
        <f>ROUND(B14*Costs!$B$10+C14*Costs!$B$11+D14*Costs!$B$12+E14*Costs!$B$13,2)</f>
        <v>64.59</v>
      </c>
      <c r="G14" s="32" t="str">
        <f>Costs!$B$62</f>
        <v xml:space="preserve"> </v>
      </c>
      <c r="H14" s="135">
        <f>Costs!$B$16</f>
        <v>0</v>
      </c>
      <c r="I14" s="112" t="str">
        <f>'EX 2'!I15</f>
        <v>N/A</v>
      </c>
      <c r="J14" s="111">
        <f>'EX 2'!J15</f>
        <v>0</v>
      </c>
      <c r="K14" s="94">
        <f>ROUND((I14+J14)*(B14+C14+D14+E14),2)</f>
        <v>0</v>
      </c>
      <c r="L14" s="136">
        <f>(F14+G14+H14)*(I14+J14)</f>
        <v>0</v>
      </c>
      <c r="N14" s="130">
        <f>F14*(I14+J14)</f>
        <v>0</v>
      </c>
      <c r="O14" s="130">
        <f>G14*(I14+J14)</f>
        <v>0</v>
      </c>
      <c r="P14" s="130">
        <f>H14*(I14+J14)</f>
        <v>0</v>
      </c>
    </row>
    <row r="15" spans="1:16" ht="51" x14ac:dyDescent="0.2">
      <c r="A15" s="421" t="s">
        <v>456</v>
      </c>
      <c r="B15" s="92">
        <v>0</v>
      </c>
      <c r="C15" s="92">
        <v>0.25</v>
      </c>
      <c r="D15" s="92">
        <v>1</v>
      </c>
      <c r="E15" s="92">
        <v>0</v>
      </c>
      <c r="F15" s="135">
        <f>ROUND(B15*Costs!$B$10+C15*Costs!$B$11+D15*Costs!$B$12+E15*Costs!$B$13,2)</f>
        <v>64.59</v>
      </c>
      <c r="G15" s="32" t="str">
        <f>Costs!$B$62</f>
        <v xml:space="preserve"> </v>
      </c>
      <c r="H15" s="135">
        <f>Costs!$B$16</f>
        <v>0</v>
      </c>
      <c r="I15" s="112" t="str">
        <f>'EX 2'!I18</f>
        <v>N/A</v>
      </c>
      <c r="J15" s="111">
        <f>'EX 2'!J18</f>
        <v>0</v>
      </c>
      <c r="K15" s="94">
        <f>ROUND((I15+J15)*(B15+C15+D15+E15),2)</f>
        <v>0</v>
      </c>
      <c r="L15" s="136">
        <f>(F15+G15+H15)*(I15+J15)</f>
        <v>0</v>
      </c>
      <c r="N15" s="130">
        <f>F15*(I15+J15)</f>
        <v>0</v>
      </c>
      <c r="O15" s="130">
        <f>G15*(I15+J15)</f>
        <v>0</v>
      </c>
      <c r="P15" s="130">
        <f>H15*(I15+J15)</f>
        <v>0</v>
      </c>
    </row>
    <row r="16" spans="1:16" s="521" customFormat="1" x14ac:dyDescent="0.2">
      <c r="A16" s="422" t="s">
        <v>80</v>
      </c>
      <c r="B16" s="101">
        <v>0</v>
      </c>
      <c r="C16" s="101">
        <v>0</v>
      </c>
      <c r="D16" s="101">
        <v>0</v>
      </c>
      <c r="E16" s="101">
        <v>0.25</v>
      </c>
      <c r="F16" s="135">
        <f>ROUND(B16*Costs!$B$10+C16*Costs!$B$11+D16*Costs!$B$12+E16*Costs!$B$13,2)</f>
        <v>7.24</v>
      </c>
      <c r="G16" s="32" t="str">
        <f>Costs!$B$62</f>
        <v xml:space="preserve"> </v>
      </c>
      <c r="H16" s="135">
        <f>Costs!$B$16</f>
        <v>0</v>
      </c>
      <c r="I16" s="115" t="s">
        <v>677</v>
      </c>
      <c r="J16" s="116">
        <f>J15+J14</f>
        <v>0</v>
      </c>
      <c r="K16" s="94">
        <f>ROUND((I16+J16)*(B16+C16+D16+E16),2)</f>
        <v>0</v>
      </c>
      <c r="L16" s="136">
        <f>(F16+G16+H16)*(I16+J16)</f>
        <v>0</v>
      </c>
      <c r="N16" s="130">
        <f>F16*(I16+J16)</f>
        <v>0</v>
      </c>
      <c r="O16" s="130">
        <f>G16*(I16+J16)</f>
        <v>0</v>
      </c>
      <c r="P16" s="130">
        <f>H16*(I16+J16)</f>
        <v>0</v>
      </c>
    </row>
    <row r="17" spans="1:16" ht="12.6" customHeight="1" x14ac:dyDescent="0.45">
      <c r="A17" s="461" t="s">
        <v>277</v>
      </c>
      <c r="B17" s="256"/>
      <c r="C17" s="256"/>
      <c r="D17" s="256"/>
      <c r="E17" s="256"/>
      <c r="F17" s="256"/>
      <c r="G17" s="256"/>
      <c r="H17" s="256"/>
      <c r="I17" s="314"/>
      <c r="J17" s="310"/>
      <c r="K17" s="259"/>
      <c r="L17" s="472"/>
      <c r="N17" s="481"/>
    </row>
    <row r="18" spans="1:16" x14ac:dyDescent="0.2">
      <c r="A18" s="421" t="s">
        <v>181</v>
      </c>
      <c r="B18" s="92">
        <v>0</v>
      </c>
      <c r="C18" s="92">
        <v>0.25</v>
      </c>
      <c r="D18" s="92">
        <v>1</v>
      </c>
      <c r="E18" s="92">
        <v>0</v>
      </c>
      <c r="F18" s="135">
        <f>ROUND(B18*Costs!$B$10+C18*Costs!$B$11+D18*Costs!$B$12+E18*Costs!$B$13,2)</f>
        <v>64.59</v>
      </c>
      <c r="G18" s="32" t="str">
        <f>Costs!$B$62</f>
        <v xml:space="preserve"> </v>
      </c>
      <c r="H18" s="135">
        <f>Costs!$B$16</f>
        <v>0</v>
      </c>
      <c r="I18" s="112" t="str">
        <f>'EX 2'!I21</f>
        <v>N/A</v>
      </c>
      <c r="J18" s="112">
        <f>'EX 2'!J21</f>
        <v>0</v>
      </c>
      <c r="K18" s="94">
        <f>ROUND((I18+J18)*(B18+C18+D18+E18),2)</f>
        <v>0</v>
      </c>
      <c r="L18" s="136">
        <f>(F18+G18+H18)*(I18+J18)</f>
        <v>0</v>
      </c>
      <c r="N18" s="130">
        <f>F18*(I18+J18)</f>
        <v>0</v>
      </c>
      <c r="O18" s="130">
        <f>G18*(I18+J18)</f>
        <v>0</v>
      </c>
      <c r="P18" s="130">
        <f>H18*(I18+J18)</f>
        <v>0</v>
      </c>
    </row>
    <row r="19" spans="1:16" x14ac:dyDescent="0.2">
      <c r="A19" s="421" t="s">
        <v>80</v>
      </c>
      <c r="B19" s="92">
        <v>0</v>
      </c>
      <c r="C19" s="92">
        <v>0</v>
      </c>
      <c r="D19" s="92">
        <v>0</v>
      </c>
      <c r="E19" s="92">
        <v>0.5</v>
      </c>
      <c r="F19" s="135">
        <f>ROUND(B19*Costs!$B$10+C19*Costs!$B$11+D19*Costs!$B$12+E19*Costs!$B$13,2)</f>
        <v>14.48</v>
      </c>
      <c r="G19" s="32" t="str">
        <f>Costs!$B$62</f>
        <v xml:space="preserve"> </v>
      </c>
      <c r="H19" s="135">
        <f>Costs!$B$16</f>
        <v>0</v>
      </c>
      <c r="I19" s="115" t="s">
        <v>677</v>
      </c>
      <c r="J19" s="112">
        <f>SUM(J18)</f>
        <v>0</v>
      </c>
      <c r="K19" s="94">
        <f>ROUND((I19+J19)*(B19+C19+D19+E19),2)</f>
        <v>0</v>
      </c>
      <c r="L19" s="136">
        <f>(F19+G19+H19)*(I19+J19)</f>
        <v>0</v>
      </c>
      <c r="N19" s="130">
        <f>F19*(I19+J19)</f>
        <v>0</v>
      </c>
      <c r="O19" s="130">
        <f>G19*(I19+J19)</f>
        <v>0</v>
      </c>
      <c r="P19" s="130">
        <f>H19*(I19+J19)</f>
        <v>0</v>
      </c>
    </row>
    <row r="20" spans="1:16" ht="15.6" customHeight="1" x14ac:dyDescent="0.45">
      <c r="A20" s="461" t="s">
        <v>81</v>
      </c>
      <c r="B20" s="256"/>
      <c r="C20" s="256"/>
      <c r="D20" s="256"/>
      <c r="E20" s="256"/>
      <c r="F20" s="256"/>
      <c r="G20" s="256"/>
      <c r="H20" s="256"/>
      <c r="I20" s="314"/>
      <c r="J20" s="310"/>
      <c r="K20" s="259"/>
      <c r="L20" s="472"/>
      <c r="N20" s="130"/>
      <c r="O20" s="130"/>
      <c r="P20" s="130"/>
    </row>
    <row r="21" spans="1:16" x14ac:dyDescent="0.2">
      <c r="A21" s="421" t="s">
        <v>82</v>
      </c>
      <c r="B21" s="92">
        <v>0</v>
      </c>
      <c r="C21" s="92">
        <v>0.25</v>
      </c>
      <c r="D21" s="92">
        <v>0.5</v>
      </c>
      <c r="E21" s="92">
        <v>0.25</v>
      </c>
      <c r="F21" s="135">
        <f>ROUND(B21*Costs!$B$10+C21*Costs!$B$11+D21*Costs!$B$12+E21*Costs!$B$13,2)</f>
        <v>48.02</v>
      </c>
      <c r="G21" s="32" t="str">
        <f>Costs!$B$62</f>
        <v xml:space="preserve"> </v>
      </c>
      <c r="H21" s="135">
        <f>Costs!$B$16</f>
        <v>0</v>
      </c>
      <c r="I21" s="95" t="str">
        <f>'EX 2'!I25</f>
        <v>N/A</v>
      </c>
      <c r="J21" s="95">
        <f>'EX 2'!J25</f>
        <v>0</v>
      </c>
      <c r="K21" s="94">
        <f>ROUND((I21+J21)*(B21+C21+D21+E21),2)</f>
        <v>0</v>
      </c>
      <c r="L21" s="136">
        <f>(F21+G21+H21)*(I21+J21)</f>
        <v>0</v>
      </c>
      <c r="M21" s="481"/>
      <c r="N21" s="130">
        <f>F21*(I21+J21)</f>
        <v>0</v>
      </c>
      <c r="O21" s="130">
        <f>G21*(I21+J21)</f>
        <v>0</v>
      </c>
      <c r="P21" s="130">
        <f>H21*(I21+J21)</f>
        <v>0</v>
      </c>
    </row>
    <row r="22" spans="1:16" x14ac:dyDescent="0.2">
      <c r="A22" s="421" t="s">
        <v>80</v>
      </c>
      <c r="B22" s="92">
        <v>0</v>
      </c>
      <c r="C22" s="92">
        <v>0</v>
      </c>
      <c r="D22" s="92">
        <v>0</v>
      </c>
      <c r="E22" s="92">
        <v>0.5</v>
      </c>
      <c r="F22" s="135">
        <f>ROUND(B22*Costs!$B$10+C22*Costs!$B$11+D22*Costs!$B$12+E22*Costs!$B$13,2)</f>
        <v>14.48</v>
      </c>
      <c r="G22" s="32" t="str">
        <f>Costs!$B$62</f>
        <v xml:space="preserve"> </v>
      </c>
      <c r="H22" s="135">
        <f>Costs!$B$16</f>
        <v>0</v>
      </c>
      <c r="I22" s="115" t="s">
        <v>677</v>
      </c>
      <c r="J22" s="112">
        <f>J21</f>
        <v>0</v>
      </c>
      <c r="K22" s="94">
        <f>ROUND((I22+J22)*(B22+C22+D22+E22),2)</f>
        <v>0</v>
      </c>
      <c r="L22" s="136">
        <f>(F22+G22+H22)*(I22+J22)</f>
        <v>0</v>
      </c>
      <c r="N22" s="130">
        <f>F22*(I22+J22)</f>
        <v>0</v>
      </c>
      <c r="O22" s="130">
        <f>G22*(I22+J22)</f>
        <v>0</v>
      </c>
      <c r="P22" s="130">
        <f>H22*(I22+J22)</f>
        <v>0</v>
      </c>
    </row>
    <row r="23" spans="1:16" x14ac:dyDescent="0.2">
      <c r="A23" s="461" t="s">
        <v>253</v>
      </c>
      <c r="B23" s="256"/>
      <c r="C23" s="256"/>
      <c r="D23" s="256"/>
      <c r="E23" s="256"/>
      <c r="F23" s="256"/>
      <c r="G23" s="256"/>
      <c r="H23" s="256"/>
      <c r="I23" s="314"/>
      <c r="J23" s="314"/>
      <c r="K23" s="259"/>
      <c r="L23" s="262"/>
      <c r="N23" s="481"/>
    </row>
    <row r="24" spans="1:16" ht="20.399999999999999" x14ac:dyDescent="0.2">
      <c r="A24" s="421" t="s">
        <v>457</v>
      </c>
      <c r="B24" s="92">
        <v>0</v>
      </c>
      <c r="C24" s="92">
        <v>0.25</v>
      </c>
      <c r="D24" s="92">
        <v>1</v>
      </c>
      <c r="E24" s="92">
        <v>0</v>
      </c>
      <c r="F24" s="135">
        <f>ROUND(B24*Costs!$B$10+C24*Costs!$B$11+D24*Costs!$B$12+E24*Costs!$B$13,2)</f>
        <v>64.59</v>
      </c>
      <c r="G24" s="32" t="str">
        <f>Costs!$B$62</f>
        <v xml:space="preserve"> </v>
      </c>
      <c r="H24" s="135">
        <f>Costs!$B$16</f>
        <v>0</v>
      </c>
      <c r="I24" s="112" t="str">
        <f>'EX 2'!I30</f>
        <v>N/A</v>
      </c>
      <c r="J24" s="112">
        <f>'EX 2'!J30</f>
        <v>0</v>
      </c>
      <c r="K24" s="94">
        <f>ROUND((I24+J24)*(B24+C24+D24+E24),2)</f>
        <v>0</v>
      </c>
      <c r="L24" s="136">
        <f>(F24+G24+H24)*(I24+J24)</f>
        <v>0</v>
      </c>
      <c r="N24" s="130">
        <f>F24*(I24+J24)</f>
        <v>0</v>
      </c>
      <c r="O24" s="130">
        <f>G24*(I24+J24)</f>
        <v>0</v>
      </c>
      <c r="P24" s="130">
        <f>H24*(I24+J24)</f>
        <v>0</v>
      </c>
    </row>
    <row r="25" spans="1:16" ht="10.8" thickBot="1" x14ac:dyDescent="0.25">
      <c r="A25" s="424" t="s">
        <v>80</v>
      </c>
      <c r="B25" s="282">
        <v>0</v>
      </c>
      <c r="C25" s="282">
        <v>0</v>
      </c>
      <c r="D25" s="282">
        <v>0</v>
      </c>
      <c r="E25" s="282">
        <v>0.25</v>
      </c>
      <c r="F25" s="426">
        <f>ROUND(B25*Costs!$B$10+C25*Costs!$B$11+D25*Costs!$B$12+E25*Costs!$B$13,2)</f>
        <v>7.24</v>
      </c>
      <c r="G25" s="191" t="str">
        <f>Costs!$B$62</f>
        <v xml:space="preserve"> </v>
      </c>
      <c r="H25" s="426">
        <f>Costs!$B$16</f>
        <v>0</v>
      </c>
      <c r="I25" s="439" t="s">
        <v>677</v>
      </c>
      <c r="J25" s="440">
        <f>SUM(J24)</f>
        <v>0</v>
      </c>
      <c r="K25" s="285">
        <f>ROUND((I25+J25)*(B25+C25+D25+E25),2)</f>
        <v>0</v>
      </c>
      <c r="L25" s="441">
        <f>(F25+G25+H25)*(I25+J25)</f>
        <v>0</v>
      </c>
      <c r="N25" s="130">
        <f>F25*(I25+J25)</f>
        <v>0</v>
      </c>
      <c r="O25" s="130">
        <f>G25*(I25+J25)</f>
        <v>0</v>
      </c>
      <c r="P25" s="130">
        <f>H25*(I25+J25)</f>
        <v>0</v>
      </c>
    </row>
    <row r="26" spans="1:16" ht="10.8" thickBot="1" x14ac:dyDescent="0.25">
      <c r="A26" s="443" t="s">
        <v>596</v>
      </c>
      <c r="B26" s="324" t="s">
        <v>597</v>
      </c>
      <c r="C26" s="324" t="s">
        <v>597</v>
      </c>
      <c r="D26" s="324" t="s">
        <v>597</v>
      </c>
      <c r="E26" s="324" t="s">
        <v>597</v>
      </c>
      <c r="F26" s="324" t="s">
        <v>597</v>
      </c>
      <c r="G26" s="324" t="s">
        <v>597</v>
      </c>
      <c r="H26" s="324" t="s">
        <v>597</v>
      </c>
      <c r="I26" s="444" t="s">
        <v>597</v>
      </c>
      <c r="J26" s="444" t="s">
        <v>597</v>
      </c>
      <c r="K26" s="304">
        <f>SUM(K14:K25)</f>
        <v>0</v>
      </c>
      <c r="L26" s="294">
        <f>SUM(L14:L25)</f>
        <v>0</v>
      </c>
      <c r="N26" s="123">
        <f>SUM(N14:N25)</f>
        <v>0</v>
      </c>
      <c r="O26" s="123">
        <f>SUM(O14:O25)</f>
        <v>0</v>
      </c>
      <c r="P26" s="123">
        <f>SUM(P14:P25)</f>
        <v>0</v>
      </c>
    </row>
    <row r="27" spans="1:16" x14ac:dyDescent="0.2">
      <c r="A27" s="486" t="s">
        <v>254</v>
      </c>
      <c r="B27" s="288"/>
      <c r="C27" s="288"/>
      <c r="D27" s="288"/>
      <c r="E27" s="288"/>
      <c r="F27" s="288"/>
      <c r="G27" s="288"/>
      <c r="H27" s="288"/>
      <c r="I27" s="493"/>
      <c r="J27" s="493"/>
      <c r="K27" s="291"/>
      <c r="L27" s="292"/>
      <c r="N27" s="481"/>
    </row>
    <row r="28" spans="1:16" x14ac:dyDescent="0.2">
      <c r="A28" s="461" t="s">
        <v>255</v>
      </c>
      <c r="B28" s="256"/>
      <c r="C28" s="256"/>
      <c r="D28" s="256"/>
      <c r="E28" s="256"/>
      <c r="F28" s="256"/>
      <c r="G28" s="256"/>
      <c r="H28" s="256"/>
      <c r="I28" s="310"/>
      <c r="J28" s="310"/>
      <c r="K28" s="259"/>
      <c r="L28" s="262"/>
      <c r="N28" s="481"/>
    </row>
    <row r="29" spans="1:16" ht="20.399999999999999" x14ac:dyDescent="0.2">
      <c r="A29" s="421" t="s">
        <v>458</v>
      </c>
      <c r="B29" s="92">
        <v>0</v>
      </c>
      <c r="C29" s="92">
        <v>0.5</v>
      </c>
      <c r="D29" s="92">
        <v>4</v>
      </c>
      <c r="E29" s="92">
        <v>0</v>
      </c>
      <c r="F29" s="135">
        <f>ROUND(B29*Costs!$B$10+C29*Costs!$B$11+D29*Costs!$B$12+E29*Costs!$B$13,2)</f>
        <v>224.41</v>
      </c>
      <c r="G29" s="32" t="str">
        <f>Costs!$B$62</f>
        <v xml:space="preserve"> </v>
      </c>
      <c r="H29" s="135">
        <f>Costs!$B$16</f>
        <v>0</v>
      </c>
      <c r="I29" s="111">
        <f>'EX 2'!I35</f>
        <v>30.599999999999998</v>
      </c>
      <c r="J29" s="112" t="str">
        <f>'EX 2'!J35</f>
        <v>N/A</v>
      </c>
      <c r="K29" s="94">
        <f>ROUND((I29+J29)*(B29+C29+D29+E29),2)</f>
        <v>137.69999999999999</v>
      </c>
      <c r="L29" s="136">
        <f>(F29+G29+H29)*(I29+J29)</f>
        <v>6866.945999999999</v>
      </c>
      <c r="N29" s="130">
        <f>F29*(I29+J29)</f>
        <v>6866.945999999999</v>
      </c>
      <c r="O29" s="130">
        <f>G29*(I29+J29)</f>
        <v>0</v>
      </c>
      <c r="P29" s="130">
        <f>H29*(I29+J29)</f>
        <v>0</v>
      </c>
    </row>
    <row r="30" spans="1:16" ht="30.6" x14ac:dyDescent="0.2">
      <c r="A30" s="421" t="s">
        <v>459</v>
      </c>
      <c r="B30" s="92">
        <v>0</v>
      </c>
      <c r="C30" s="92">
        <v>4</v>
      </c>
      <c r="D30" s="92">
        <v>24</v>
      </c>
      <c r="E30" s="92">
        <v>0</v>
      </c>
      <c r="F30" s="135">
        <f>ROUND(B30*Costs!$B$10+C30*Costs!$B$11+D30*Costs!$B$12+E30*Costs!$B$13,2)</f>
        <v>1414.32</v>
      </c>
      <c r="G30" s="32" t="str">
        <f>Costs!$B$62</f>
        <v xml:space="preserve"> </v>
      </c>
      <c r="H30" s="135">
        <f>Costs!$B$16</f>
        <v>0</v>
      </c>
      <c r="I30" s="111">
        <f>'EX 2'!I36</f>
        <v>30.599999999999998</v>
      </c>
      <c r="J30" s="112" t="str">
        <f>'EX 2'!J36</f>
        <v>N/A</v>
      </c>
      <c r="K30" s="94">
        <f>ROUND((I30+J30)*(B30+C30+D30+E30),2)</f>
        <v>856.8</v>
      </c>
      <c r="L30" s="136">
        <f>(F30+G30+H30)*(I30+J30)</f>
        <v>43278.191999999995</v>
      </c>
      <c r="N30" s="130">
        <f>F30*(I30+J30)</f>
        <v>43278.191999999995</v>
      </c>
      <c r="O30" s="130">
        <f>G30*(I30+J30)</f>
        <v>0</v>
      </c>
      <c r="P30" s="130">
        <f>H30*(I30+J30)</f>
        <v>0</v>
      </c>
    </row>
    <row r="31" spans="1:16" ht="20.399999999999999" x14ac:dyDescent="0.2">
      <c r="A31" s="421" t="s">
        <v>460</v>
      </c>
      <c r="B31" s="92">
        <v>0</v>
      </c>
      <c r="C31" s="92">
        <v>0.5</v>
      </c>
      <c r="D31" s="92">
        <v>4</v>
      </c>
      <c r="E31" s="92">
        <v>0</v>
      </c>
      <c r="F31" s="135">
        <f>ROUND(B31*Costs!$B$10+C31*Costs!$B$11+D31*Costs!$B$12+E31*Costs!$B$13,2)</f>
        <v>224.41</v>
      </c>
      <c r="G31" s="32" t="str">
        <f>Costs!$B$62</f>
        <v xml:space="preserve"> </v>
      </c>
      <c r="H31" s="135">
        <f>Costs!$B$16</f>
        <v>0</v>
      </c>
      <c r="I31" s="111">
        <f>'EX 2'!I44</f>
        <v>2</v>
      </c>
      <c r="J31" s="112" t="str">
        <f>'EX 2'!J44</f>
        <v>N/A</v>
      </c>
      <c r="K31" s="94">
        <f>ROUND((I31+J31)*(B31+C31+D31+E31),2)</f>
        <v>9</v>
      </c>
      <c r="L31" s="136">
        <f>(F31+G31+H31)*(I31+J31)</f>
        <v>448.82</v>
      </c>
      <c r="N31" s="130">
        <f>F31*(I31+J31)</f>
        <v>448.82</v>
      </c>
      <c r="O31" s="130">
        <f>G31*(I31+J31)</f>
        <v>0</v>
      </c>
      <c r="P31" s="130">
        <f>H31*(I31+J31)</f>
        <v>0</v>
      </c>
    </row>
    <row r="32" spans="1:16" ht="30.6" x14ac:dyDescent="0.2">
      <c r="A32" s="421" t="s">
        <v>461</v>
      </c>
      <c r="B32" s="92">
        <v>0</v>
      </c>
      <c r="C32" s="92">
        <v>0.25</v>
      </c>
      <c r="D32" s="92">
        <v>1</v>
      </c>
      <c r="E32" s="92">
        <v>0</v>
      </c>
      <c r="F32" s="135">
        <f>ROUND(B32*Costs!$B$10+C32*Costs!$B$11+D32*Costs!$B$12+E32*Costs!$B$13,2)</f>
        <v>64.59</v>
      </c>
      <c r="G32" s="32" t="str">
        <f>Costs!$B$62</f>
        <v xml:space="preserve"> </v>
      </c>
      <c r="H32" s="135">
        <f>Costs!$B$16</f>
        <v>0</v>
      </c>
      <c r="I32" s="111">
        <f>'EX 2'!I54</f>
        <v>4</v>
      </c>
      <c r="J32" s="112" t="str">
        <f>'EX 2'!J54</f>
        <v>N/A</v>
      </c>
      <c r="K32" s="94">
        <f>ROUND((I32+J32)*(B32+C32+D32+E32),2)</f>
        <v>5</v>
      </c>
      <c r="L32" s="136">
        <f>(F32+G32+H32)*(I32+J32)</f>
        <v>258.36</v>
      </c>
      <c r="N32" s="130">
        <f>F32*(I32+J32)</f>
        <v>258.36</v>
      </c>
      <c r="O32" s="130">
        <f>G32*(I32+J32)</f>
        <v>0</v>
      </c>
      <c r="P32" s="130">
        <f>H32*(I32+J32)</f>
        <v>0</v>
      </c>
    </row>
    <row r="33" spans="1:16" ht="10.8" thickBot="1" x14ac:dyDescent="0.25">
      <c r="A33" s="424" t="s">
        <v>80</v>
      </c>
      <c r="B33" s="282">
        <v>0</v>
      </c>
      <c r="C33" s="282">
        <v>0</v>
      </c>
      <c r="D33" s="282">
        <v>0</v>
      </c>
      <c r="E33" s="282">
        <v>1</v>
      </c>
      <c r="F33" s="426">
        <f>ROUND(B33*Costs!$B$10+C33*Costs!$B$11+D33*Costs!$B$12+E33*Costs!$B$13,2)</f>
        <v>28.96</v>
      </c>
      <c r="G33" s="191" t="str">
        <f>Costs!$B$62</f>
        <v xml:space="preserve"> </v>
      </c>
      <c r="H33" s="426">
        <f>Costs!$B$16</f>
        <v>0</v>
      </c>
      <c r="I33" s="440">
        <f>SUM(I29:I32)</f>
        <v>67.199999999999989</v>
      </c>
      <c r="J33" s="427" t="s">
        <v>677</v>
      </c>
      <c r="K33" s="285">
        <f>ROUND((I33+J33)*(B33+C33+D33+E33),2)</f>
        <v>67.2</v>
      </c>
      <c r="L33" s="441">
        <f>(F33+G33+H33)*(I33+J33)</f>
        <v>1946.1119999999996</v>
      </c>
      <c r="N33" s="130">
        <f>F33*(I33+J33)</f>
        <v>1946.1119999999996</v>
      </c>
      <c r="O33" s="130">
        <f>G33*(I33+J33)</f>
        <v>0</v>
      </c>
      <c r="P33" s="130">
        <f>H33*(I33+J33)</f>
        <v>0</v>
      </c>
    </row>
    <row r="34" spans="1:16" ht="10.8" thickBot="1" x14ac:dyDescent="0.25">
      <c r="A34" s="430" t="s">
        <v>596</v>
      </c>
      <c r="B34" s="324" t="s">
        <v>597</v>
      </c>
      <c r="C34" s="324" t="s">
        <v>597</v>
      </c>
      <c r="D34" s="324" t="s">
        <v>597</v>
      </c>
      <c r="E34" s="324" t="s">
        <v>597</v>
      </c>
      <c r="F34" s="324" t="s">
        <v>597</v>
      </c>
      <c r="G34" s="324" t="s">
        <v>597</v>
      </c>
      <c r="H34" s="324" t="s">
        <v>597</v>
      </c>
      <c r="I34" s="444" t="s">
        <v>597</v>
      </c>
      <c r="J34" s="444" t="s">
        <v>597</v>
      </c>
      <c r="K34" s="304">
        <f>SUM(K29:K33)</f>
        <v>1075.7</v>
      </c>
      <c r="L34" s="294">
        <f>SUM(L29:L33)</f>
        <v>52798.429999999993</v>
      </c>
      <c r="N34" s="123">
        <f>SUM(N29:N33)</f>
        <v>52798.429999999993</v>
      </c>
      <c r="O34" s="123">
        <f>SUM(O29:O33)</f>
        <v>0</v>
      </c>
      <c r="P34" s="123">
        <f>SUM(P29:P33)</f>
        <v>0</v>
      </c>
    </row>
    <row r="35" spans="1:16" x14ac:dyDescent="0.2">
      <c r="A35" s="486" t="s">
        <v>278</v>
      </c>
      <c r="B35" s="288"/>
      <c r="C35" s="288"/>
      <c r="D35" s="288"/>
      <c r="E35" s="288"/>
      <c r="F35" s="288"/>
      <c r="G35" s="288"/>
      <c r="H35" s="288"/>
      <c r="I35" s="493"/>
      <c r="J35" s="493"/>
      <c r="K35" s="295" t="s">
        <v>240</v>
      </c>
      <c r="L35" s="296" t="s">
        <v>240</v>
      </c>
      <c r="N35" s="481"/>
    </row>
    <row r="36" spans="1:16" x14ac:dyDescent="0.2">
      <c r="A36" s="461" t="s">
        <v>257</v>
      </c>
      <c r="B36" s="256"/>
      <c r="C36" s="256"/>
      <c r="D36" s="256"/>
      <c r="E36" s="256"/>
      <c r="F36" s="256"/>
      <c r="G36" s="256"/>
      <c r="H36" s="256"/>
      <c r="I36" s="310"/>
      <c r="J36" s="310"/>
      <c r="K36" s="259"/>
      <c r="L36" s="260"/>
      <c r="N36" s="481"/>
    </row>
    <row r="37" spans="1:16" ht="30.6" x14ac:dyDescent="0.2">
      <c r="A37" s="421" t="s">
        <v>462</v>
      </c>
      <c r="B37" s="92">
        <v>0</v>
      </c>
      <c r="C37" s="92">
        <v>0.25</v>
      </c>
      <c r="D37" s="92">
        <v>1</v>
      </c>
      <c r="E37" s="92">
        <v>0</v>
      </c>
      <c r="F37" s="135">
        <f>ROUND(B37*Costs!$B$10+C37*Costs!$B$11+D37*Costs!$B$12+E37*Costs!$B$13,2)</f>
        <v>64.59</v>
      </c>
      <c r="G37" s="32" t="str">
        <f>Costs!$B$62</f>
        <v xml:space="preserve"> </v>
      </c>
      <c r="H37" s="135">
        <f>Costs!$B$16</f>
        <v>0</v>
      </c>
      <c r="I37" s="112" t="str">
        <f>'EX 2'!I68</f>
        <v>N/A</v>
      </c>
      <c r="J37" s="112">
        <f>'EX 2'!J68</f>
        <v>0</v>
      </c>
      <c r="K37" s="94">
        <f>ROUND((I37+J37)*(B37+C37+D37+E37),2)</f>
        <v>0</v>
      </c>
      <c r="L37" s="136">
        <f>(F37+G37+H37)*(I37+J37)</f>
        <v>0</v>
      </c>
      <c r="N37" s="130">
        <f>F37*(I37+J37)</f>
        <v>0</v>
      </c>
      <c r="O37" s="130">
        <f>G37*(I37+J37)</f>
        <v>0</v>
      </c>
      <c r="P37" s="130">
        <f>H37*(I37+J37)</f>
        <v>0</v>
      </c>
    </row>
    <row r="38" spans="1:16" x14ac:dyDescent="0.2">
      <c r="A38" s="421" t="s">
        <v>80</v>
      </c>
      <c r="B38" s="92">
        <v>0</v>
      </c>
      <c r="C38" s="92">
        <v>0</v>
      </c>
      <c r="D38" s="92">
        <v>0</v>
      </c>
      <c r="E38" s="92">
        <v>0.1</v>
      </c>
      <c r="F38" s="135">
        <f>ROUND(B38*Costs!$B$10+C38*Costs!$B$11+D38*Costs!$B$12+E38*Costs!$B$13,2)</f>
        <v>2.9</v>
      </c>
      <c r="G38" s="32" t="str">
        <f>Costs!$B$62</f>
        <v xml:space="preserve"> </v>
      </c>
      <c r="H38" s="135">
        <f>Costs!$B$16</f>
        <v>0</v>
      </c>
      <c r="I38" s="112" t="s">
        <v>677</v>
      </c>
      <c r="J38" s="112">
        <f>SUM(J37)</f>
        <v>0</v>
      </c>
      <c r="K38" s="94">
        <f>ROUND((I38+J38)*(B38+C38+D38+E38),2)</f>
        <v>0</v>
      </c>
      <c r="L38" s="136">
        <f>(F38+G38+H38)*(I38+J38)</f>
        <v>0</v>
      </c>
      <c r="N38" s="130">
        <f>F38*(I38+J38)</f>
        <v>0</v>
      </c>
      <c r="O38" s="130">
        <f>G38*(I38+J38)</f>
        <v>0</v>
      </c>
      <c r="P38" s="130">
        <f>H38*(I38+J38)</f>
        <v>0</v>
      </c>
    </row>
    <row r="39" spans="1:16" x14ac:dyDescent="0.2">
      <c r="A39" s="461" t="s">
        <v>258</v>
      </c>
      <c r="B39" s="256"/>
      <c r="C39" s="256"/>
      <c r="D39" s="256"/>
      <c r="E39" s="256"/>
      <c r="F39" s="256"/>
      <c r="G39" s="256"/>
      <c r="H39" s="256"/>
      <c r="I39" s="314"/>
      <c r="J39" s="314"/>
      <c r="K39" s="259"/>
      <c r="L39" s="262"/>
      <c r="N39" s="481"/>
    </row>
    <row r="40" spans="1:16" ht="30.6" x14ac:dyDescent="0.2">
      <c r="A40" s="421" t="s">
        <v>463</v>
      </c>
      <c r="B40" s="92">
        <v>0</v>
      </c>
      <c r="C40" s="92">
        <v>1</v>
      </c>
      <c r="D40" s="92">
        <v>4</v>
      </c>
      <c r="E40" s="92">
        <v>0</v>
      </c>
      <c r="F40" s="135">
        <f>ROUND(B40*Costs!$B$10+C40*Costs!$B$11+D40*Costs!$B$12+E40*Costs!$B$13,2)</f>
        <v>258.33999999999997</v>
      </c>
      <c r="G40" s="32" t="str">
        <f>Costs!$B$62</f>
        <v xml:space="preserve"> </v>
      </c>
      <c r="H40" s="135">
        <f>Costs!$B$16</f>
        <v>0</v>
      </c>
      <c r="I40" s="112" t="str">
        <f>'EX 2'!I73</f>
        <v>N/A</v>
      </c>
      <c r="J40" s="112">
        <f>'EX 2'!J73</f>
        <v>0</v>
      </c>
      <c r="K40" s="94">
        <f t="shared" ref="K40:K46" si="0">ROUND((I40+J40)*(B40+C40+D40+E40),2)</f>
        <v>0</v>
      </c>
      <c r="L40" s="136">
        <f t="shared" ref="L40:L46" si="1">(F40+G40+H40)*(I40+J40)</f>
        <v>0</v>
      </c>
      <c r="N40" s="130">
        <f t="shared" ref="N40:N46" si="2">F40*(I40+J40)</f>
        <v>0</v>
      </c>
      <c r="O40" s="130">
        <f t="shared" ref="O40:O46" si="3">G40*(I40+J40)</f>
        <v>0</v>
      </c>
      <c r="P40" s="130">
        <f t="shared" ref="P40:P46" si="4">H40*(I40+J40)</f>
        <v>0</v>
      </c>
    </row>
    <row r="41" spans="1:16" ht="20.399999999999999" x14ac:dyDescent="0.2">
      <c r="A41" s="421" t="s">
        <v>464</v>
      </c>
      <c r="B41" s="92">
        <v>0</v>
      </c>
      <c r="C41" s="92">
        <v>3</v>
      </c>
      <c r="D41" s="92">
        <v>24</v>
      </c>
      <c r="E41" s="92">
        <v>0</v>
      </c>
      <c r="F41" s="135">
        <f>ROUND(B41*Costs!$B$10+C41*Costs!$B$11+D41*Costs!$B$12+E41*Costs!$B$13,2)</f>
        <v>1346.46</v>
      </c>
      <c r="G41" s="32" t="str">
        <f>Costs!$B$62</f>
        <v xml:space="preserve"> </v>
      </c>
      <c r="H41" s="135">
        <f>Costs!$B$16</f>
        <v>0</v>
      </c>
      <c r="I41" s="112" t="str">
        <f>'EX 2'!I74</f>
        <v>N/A</v>
      </c>
      <c r="J41" s="112">
        <f>'EX 2'!J74</f>
        <v>0</v>
      </c>
      <c r="K41" s="94">
        <f t="shared" si="0"/>
        <v>0</v>
      </c>
      <c r="L41" s="136">
        <f t="shared" si="1"/>
        <v>0</v>
      </c>
      <c r="N41" s="130">
        <f t="shared" si="2"/>
        <v>0</v>
      </c>
      <c r="O41" s="130">
        <f t="shared" si="3"/>
        <v>0</v>
      </c>
      <c r="P41" s="130">
        <f t="shared" si="4"/>
        <v>0</v>
      </c>
    </row>
    <row r="42" spans="1:16" ht="20.399999999999999" x14ac:dyDescent="0.2">
      <c r="A42" s="421" t="s">
        <v>465</v>
      </c>
      <c r="B42" s="92">
        <v>0</v>
      </c>
      <c r="C42" s="92">
        <v>1</v>
      </c>
      <c r="D42" s="92">
        <v>4</v>
      </c>
      <c r="E42" s="92">
        <v>0</v>
      </c>
      <c r="F42" s="135">
        <f>ROUND(B42*Costs!$B$10+C42*Costs!$B$11+D42*Costs!$B$12+E42*Costs!$B$13,2)</f>
        <v>258.33999999999997</v>
      </c>
      <c r="G42" s="32" t="str">
        <f>Costs!$B$62</f>
        <v xml:space="preserve"> </v>
      </c>
      <c r="H42" s="135">
        <f>Costs!$B$16</f>
        <v>0</v>
      </c>
      <c r="I42" s="112" t="str">
        <f>'EX 2'!I75</f>
        <v>N/A</v>
      </c>
      <c r="J42" s="112">
        <f>'EX 2'!J75</f>
        <v>0</v>
      </c>
      <c r="K42" s="94">
        <f t="shared" si="0"/>
        <v>0</v>
      </c>
      <c r="L42" s="136">
        <f t="shared" si="1"/>
        <v>0</v>
      </c>
      <c r="N42" s="130">
        <f t="shared" si="2"/>
        <v>0</v>
      </c>
      <c r="O42" s="130">
        <f t="shared" si="3"/>
        <v>0</v>
      </c>
      <c r="P42" s="130">
        <f t="shared" si="4"/>
        <v>0</v>
      </c>
    </row>
    <row r="43" spans="1:16" ht="20.399999999999999" x14ac:dyDescent="0.2">
      <c r="A43" s="421" t="s">
        <v>466</v>
      </c>
      <c r="B43" s="92">
        <v>0</v>
      </c>
      <c r="C43" s="92">
        <v>0</v>
      </c>
      <c r="D43" s="92">
        <v>0.25</v>
      </c>
      <c r="E43" s="92">
        <v>0</v>
      </c>
      <c r="F43" s="135">
        <f>ROUND(B43*Costs!$B$10+C43*Costs!$B$11+D43*Costs!$B$12+E43*Costs!$B$13,2)</f>
        <v>11.91</v>
      </c>
      <c r="G43" s="32" t="str">
        <f>Costs!$B$62</f>
        <v xml:space="preserve"> </v>
      </c>
      <c r="H43" s="135">
        <f>Costs!$B$16</f>
        <v>0</v>
      </c>
      <c r="I43" s="112" t="str">
        <f>'EX 2'!I77</f>
        <v>N/A</v>
      </c>
      <c r="J43" s="112">
        <f>'EX 2'!J77</f>
        <v>0</v>
      </c>
      <c r="K43" s="94">
        <f t="shared" si="0"/>
        <v>0</v>
      </c>
      <c r="L43" s="136">
        <f t="shared" si="1"/>
        <v>0</v>
      </c>
      <c r="N43" s="130">
        <f t="shared" si="2"/>
        <v>0</v>
      </c>
      <c r="O43" s="130">
        <f t="shared" si="3"/>
        <v>0</v>
      </c>
      <c r="P43" s="130">
        <f t="shared" si="4"/>
        <v>0</v>
      </c>
    </row>
    <row r="44" spans="1:16" ht="20.399999999999999" x14ac:dyDescent="0.2">
      <c r="A44" s="421" t="s">
        <v>467</v>
      </c>
      <c r="B44" s="92">
        <v>0</v>
      </c>
      <c r="C44" s="92">
        <v>2</v>
      </c>
      <c r="D44" s="92">
        <v>16</v>
      </c>
      <c r="E44" s="92">
        <v>0</v>
      </c>
      <c r="F44" s="135">
        <f>ROUND(B44*Costs!$B$10+C44*Costs!$B$11+D44*Costs!$B$12+E44*Costs!$B$13,2)</f>
        <v>897.64</v>
      </c>
      <c r="G44" s="32" t="str">
        <f>Costs!$B$62</f>
        <v xml:space="preserve"> </v>
      </c>
      <c r="H44" s="135">
        <f>Costs!$B$16</f>
        <v>0</v>
      </c>
      <c r="I44" s="112" t="str">
        <f>'EX 2'!I80</f>
        <v>N/A</v>
      </c>
      <c r="J44" s="112">
        <f>'EX 2'!J80</f>
        <v>0</v>
      </c>
      <c r="K44" s="94">
        <f t="shared" si="0"/>
        <v>0</v>
      </c>
      <c r="L44" s="136">
        <f t="shared" si="1"/>
        <v>0</v>
      </c>
      <c r="N44" s="130">
        <f t="shared" si="2"/>
        <v>0</v>
      </c>
      <c r="O44" s="130">
        <f t="shared" si="3"/>
        <v>0</v>
      </c>
      <c r="P44" s="130">
        <f t="shared" si="4"/>
        <v>0</v>
      </c>
    </row>
    <row r="45" spans="1:16" ht="20.399999999999999" x14ac:dyDescent="0.2">
      <c r="A45" s="421" t="s">
        <v>468</v>
      </c>
      <c r="B45" s="92">
        <v>0</v>
      </c>
      <c r="C45" s="92">
        <v>0</v>
      </c>
      <c r="D45" s="92">
        <v>0.25</v>
      </c>
      <c r="E45" s="92">
        <v>0</v>
      </c>
      <c r="F45" s="135">
        <f>ROUND(B45*Costs!$B$10+C45*Costs!$B$11+D45*Costs!$B$12+E45*Costs!$B$13,2)</f>
        <v>11.91</v>
      </c>
      <c r="G45" s="32" t="str">
        <f>Costs!$B$62</f>
        <v xml:space="preserve"> </v>
      </c>
      <c r="H45" s="135">
        <f>Costs!$B$16</f>
        <v>0</v>
      </c>
      <c r="I45" s="112" t="str">
        <f>'EX 2'!I81</f>
        <v>N/A</v>
      </c>
      <c r="J45" s="112">
        <f>'EX 2'!J81</f>
        <v>0</v>
      </c>
      <c r="K45" s="94">
        <f t="shared" si="0"/>
        <v>0</v>
      </c>
      <c r="L45" s="136">
        <f t="shared" si="1"/>
        <v>0</v>
      </c>
      <c r="N45" s="130">
        <f t="shared" si="2"/>
        <v>0</v>
      </c>
      <c r="O45" s="130">
        <f t="shared" si="3"/>
        <v>0</v>
      </c>
      <c r="P45" s="130">
        <f t="shared" si="4"/>
        <v>0</v>
      </c>
    </row>
    <row r="46" spans="1:16" x14ac:dyDescent="0.2">
      <c r="A46" s="421" t="s">
        <v>80</v>
      </c>
      <c r="B46" s="92">
        <v>0</v>
      </c>
      <c r="C46" s="92">
        <v>0</v>
      </c>
      <c r="D46" s="92">
        <v>0</v>
      </c>
      <c r="E46" s="92">
        <v>2</v>
      </c>
      <c r="F46" s="135">
        <f>ROUND(B46*Costs!$B$10+C46*Costs!$B$11+D46*Costs!$B$12+E46*Costs!$B$13,2)</f>
        <v>57.92</v>
      </c>
      <c r="G46" s="32" t="str">
        <f>Costs!$B$62</f>
        <v xml:space="preserve"> </v>
      </c>
      <c r="H46" s="135">
        <f>Costs!$B$16</f>
        <v>0</v>
      </c>
      <c r="I46" s="112" t="s">
        <v>677</v>
      </c>
      <c r="J46" s="112">
        <f>SUM(J37:J45)</f>
        <v>0</v>
      </c>
      <c r="K46" s="94">
        <f t="shared" si="0"/>
        <v>0</v>
      </c>
      <c r="L46" s="136">
        <f t="shared" si="1"/>
        <v>0</v>
      </c>
      <c r="N46" s="130">
        <f t="shared" si="2"/>
        <v>0</v>
      </c>
      <c r="O46" s="130">
        <f t="shared" si="3"/>
        <v>0</v>
      </c>
      <c r="P46" s="130">
        <f t="shared" si="4"/>
        <v>0</v>
      </c>
    </row>
    <row r="47" spans="1:16" x14ac:dyDescent="0.2">
      <c r="A47" s="461" t="s">
        <v>259</v>
      </c>
      <c r="B47" s="256"/>
      <c r="C47" s="256"/>
      <c r="D47" s="256"/>
      <c r="E47" s="256"/>
      <c r="F47" s="256"/>
      <c r="G47" s="256"/>
      <c r="H47" s="256"/>
      <c r="I47" s="314"/>
      <c r="J47" s="314"/>
      <c r="K47" s="259"/>
      <c r="L47" s="262"/>
      <c r="N47" s="481"/>
    </row>
    <row r="48" spans="1:16" x14ac:dyDescent="0.2">
      <c r="A48" s="421" t="s">
        <v>453</v>
      </c>
      <c r="B48" s="92">
        <v>0</v>
      </c>
      <c r="C48" s="92">
        <v>1</v>
      </c>
      <c r="D48" s="92">
        <v>4</v>
      </c>
      <c r="E48" s="92">
        <v>0</v>
      </c>
      <c r="F48" s="135">
        <f>ROUND(B48*Costs!$B$10+C48*Costs!$B$11+D48*Costs!$B$12+E48*Costs!$B$13,2)</f>
        <v>258.33999999999997</v>
      </c>
      <c r="G48" s="32" t="str">
        <f>Costs!$B$62</f>
        <v xml:space="preserve"> </v>
      </c>
      <c r="H48" s="135">
        <f>Costs!$B$16</f>
        <v>0</v>
      </c>
      <c r="I48" s="112" t="str">
        <f>'EX 2'!I84</f>
        <v>N/A</v>
      </c>
      <c r="J48" s="112">
        <f>'EX 2'!J84</f>
        <v>0</v>
      </c>
      <c r="K48" s="94">
        <f t="shared" ref="K48:K57" si="5">ROUND((I48+J48)*(B48+C48+D48+E48),2)</f>
        <v>0</v>
      </c>
      <c r="L48" s="136">
        <f t="shared" ref="L48:L57" si="6">(F48+G48+H48)*(I48+J48)</f>
        <v>0</v>
      </c>
      <c r="N48" s="130">
        <f t="shared" ref="N48:N57" si="7">F48*(I48+J48)</f>
        <v>0</v>
      </c>
      <c r="O48" s="130">
        <f t="shared" ref="O48:O57" si="8">G48*(I48+J48)</f>
        <v>0</v>
      </c>
      <c r="P48" s="130">
        <f t="shared" ref="P48:P57" si="9">H48*(I48+J48)</f>
        <v>0</v>
      </c>
    </row>
    <row r="49" spans="1:16" x14ac:dyDescent="0.2">
      <c r="A49" s="421" t="s">
        <v>454</v>
      </c>
      <c r="B49" s="92">
        <v>0</v>
      </c>
      <c r="C49" s="92">
        <v>0</v>
      </c>
      <c r="D49" s="92">
        <v>0.25</v>
      </c>
      <c r="E49" s="92">
        <v>0</v>
      </c>
      <c r="F49" s="135">
        <f>ROUND(B49*Costs!$B$10+C49*Costs!$B$11+D49*Costs!$B$12+E49*Costs!$B$13,2)</f>
        <v>11.91</v>
      </c>
      <c r="G49" s="32" t="str">
        <f>Costs!$B$62</f>
        <v xml:space="preserve"> </v>
      </c>
      <c r="H49" s="135">
        <f>Costs!$B$16</f>
        <v>0</v>
      </c>
      <c r="I49" s="112" t="str">
        <f>'EX 2'!I85</f>
        <v>N/A</v>
      </c>
      <c r="J49" s="112">
        <f>'EX 2'!J85</f>
        <v>0</v>
      </c>
      <c r="K49" s="94">
        <f t="shared" si="5"/>
        <v>0</v>
      </c>
      <c r="L49" s="136">
        <f t="shared" si="6"/>
        <v>0</v>
      </c>
      <c r="N49" s="130">
        <f t="shared" si="7"/>
        <v>0</v>
      </c>
      <c r="O49" s="130">
        <f t="shared" si="8"/>
        <v>0</v>
      </c>
      <c r="P49" s="130">
        <f t="shared" si="9"/>
        <v>0</v>
      </c>
    </row>
    <row r="50" spans="1:16" ht="30.6" x14ac:dyDescent="0.2">
      <c r="A50" s="421" t="s">
        <v>469</v>
      </c>
      <c r="B50" s="92">
        <v>0</v>
      </c>
      <c r="C50" s="92">
        <v>2</v>
      </c>
      <c r="D50" s="92">
        <v>16</v>
      </c>
      <c r="E50" s="92">
        <v>0</v>
      </c>
      <c r="F50" s="135">
        <f>ROUND(B50*Costs!$B$10+C50*Costs!$B$11+D50*Costs!$B$12+E50*Costs!$B$13,2)</f>
        <v>897.64</v>
      </c>
      <c r="G50" s="32" t="str">
        <f>Costs!$B$62</f>
        <v xml:space="preserve"> </v>
      </c>
      <c r="H50" s="135">
        <f>Costs!$B$16</f>
        <v>0</v>
      </c>
      <c r="I50" s="112" t="str">
        <f>'EX 2'!I87</f>
        <v>N/A</v>
      </c>
      <c r="J50" s="112">
        <f>'EX 2'!J87</f>
        <v>0</v>
      </c>
      <c r="K50" s="94">
        <f t="shared" si="5"/>
        <v>0</v>
      </c>
      <c r="L50" s="136">
        <f t="shared" si="6"/>
        <v>0</v>
      </c>
      <c r="N50" s="130">
        <f t="shared" si="7"/>
        <v>0</v>
      </c>
      <c r="O50" s="130">
        <f t="shared" si="8"/>
        <v>0</v>
      </c>
      <c r="P50" s="130">
        <f t="shared" si="9"/>
        <v>0</v>
      </c>
    </row>
    <row r="51" spans="1:16" ht="30.6" x14ac:dyDescent="0.2">
      <c r="A51" s="421" t="s">
        <v>470</v>
      </c>
      <c r="B51" s="92">
        <v>0</v>
      </c>
      <c r="C51" s="92">
        <v>5</v>
      </c>
      <c r="D51" s="92">
        <v>40</v>
      </c>
      <c r="E51" s="92">
        <v>0</v>
      </c>
      <c r="F51" s="135">
        <f>ROUND(B51*Costs!$B$10+C51*Costs!$B$11+D51*Costs!$B$12+E51*Costs!$B$13,2)</f>
        <v>2244.1</v>
      </c>
      <c r="G51" s="32" t="str">
        <f>Costs!$B$62</f>
        <v xml:space="preserve"> </v>
      </c>
      <c r="H51" s="135">
        <f>Costs!$B$16</f>
        <v>0</v>
      </c>
      <c r="I51" s="112" t="str">
        <f>'EX 2'!I88</f>
        <v>N/A</v>
      </c>
      <c r="J51" s="112">
        <f>'EX 2'!J88</f>
        <v>0</v>
      </c>
      <c r="K51" s="94">
        <f t="shared" si="5"/>
        <v>0</v>
      </c>
      <c r="L51" s="136">
        <f t="shared" si="6"/>
        <v>0</v>
      </c>
      <c r="N51" s="130">
        <f t="shared" si="7"/>
        <v>0</v>
      </c>
      <c r="O51" s="130">
        <f t="shared" si="8"/>
        <v>0</v>
      </c>
      <c r="P51" s="130">
        <f t="shared" si="9"/>
        <v>0</v>
      </c>
    </row>
    <row r="52" spans="1:16" ht="30.6" x14ac:dyDescent="0.2">
      <c r="A52" s="421" t="s">
        <v>471</v>
      </c>
      <c r="B52" s="92">
        <v>0</v>
      </c>
      <c r="C52" s="92">
        <v>0.5</v>
      </c>
      <c r="D52" s="92">
        <v>2</v>
      </c>
      <c r="E52" s="92">
        <v>0</v>
      </c>
      <c r="F52" s="135">
        <f>ROUND(B52*Costs!$B$10+C52*Costs!$B$11+D52*Costs!$B$12+E52*Costs!$B$13,2)</f>
        <v>129.16999999999999</v>
      </c>
      <c r="G52" s="32" t="str">
        <f>Costs!$B$62</f>
        <v xml:space="preserve"> </v>
      </c>
      <c r="H52" s="135">
        <f>Costs!$B$16</f>
        <v>0</v>
      </c>
      <c r="I52" s="112" t="str">
        <f>'EX 2'!I89</f>
        <v>N/A</v>
      </c>
      <c r="J52" s="112">
        <f>'EX 2'!J89</f>
        <v>0</v>
      </c>
      <c r="K52" s="94">
        <f t="shared" si="5"/>
        <v>0</v>
      </c>
      <c r="L52" s="136">
        <f t="shared" si="6"/>
        <v>0</v>
      </c>
      <c r="N52" s="130">
        <f t="shared" si="7"/>
        <v>0</v>
      </c>
      <c r="O52" s="130">
        <f t="shared" si="8"/>
        <v>0</v>
      </c>
      <c r="P52" s="130">
        <f t="shared" si="9"/>
        <v>0</v>
      </c>
    </row>
    <row r="53" spans="1:16" ht="20.399999999999999" x14ac:dyDescent="0.2">
      <c r="A53" s="421" t="s">
        <v>472</v>
      </c>
      <c r="B53" s="92">
        <v>0</v>
      </c>
      <c r="C53" s="92">
        <v>0.25</v>
      </c>
      <c r="D53" s="92">
        <v>1</v>
      </c>
      <c r="E53" s="92">
        <v>0</v>
      </c>
      <c r="F53" s="135">
        <f>ROUND(B53*Costs!$B$10+C53*Costs!$B$11+D53*Costs!$B$12+E53*Costs!$B$13,2)</f>
        <v>64.59</v>
      </c>
      <c r="G53" s="32" t="str">
        <f>Costs!$B$62</f>
        <v xml:space="preserve"> </v>
      </c>
      <c r="H53" s="135">
        <f>Costs!$B$16</f>
        <v>0</v>
      </c>
      <c r="I53" s="112" t="str">
        <f>'EX 2'!I90</f>
        <v>N/A</v>
      </c>
      <c r="J53" s="112">
        <f>'EX 2'!J90</f>
        <v>0</v>
      </c>
      <c r="K53" s="94">
        <f t="shared" si="5"/>
        <v>0</v>
      </c>
      <c r="L53" s="136">
        <f t="shared" si="6"/>
        <v>0</v>
      </c>
      <c r="N53" s="130">
        <f t="shared" si="7"/>
        <v>0</v>
      </c>
      <c r="O53" s="130">
        <f t="shared" si="8"/>
        <v>0</v>
      </c>
      <c r="P53" s="130">
        <f t="shared" si="9"/>
        <v>0</v>
      </c>
    </row>
    <row r="54" spans="1:16" ht="20.399999999999999" x14ac:dyDescent="0.2">
      <c r="A54" s="421" t="s">
        <v>473</v>
      </c>
      <c r="B54" s="92">
        <v>0</v>
      </c>
      <c r="C54" s="92">
        <v>4</v>
      </c>
      <c r="D54" s="92">
        <v>16</v>
      </c>
      <c r="E54" s="92">
        <v>0</v>
      </c>
      <c r="F54" s="135">
        <f>ROUND(B54*Costs!$B$10+C54*Costs!$B$11+D54*Costs!$B$12+E54*Costs!$B$13,2)</f>
        <v>1033.3599999999999</v>
      </c>
      <c r="G54" s="32" t="str">
        <f>Costs!$B$62</f>
        <v xml:space="preserve"> </v>
      </c>
      <c r="H54" s="135">
        <f>Costs!$B$16</f>
        <v>0</v>
      </c>
      <c r="I54" s="112" t="str">
        <f>'EX 2'!I91</f>
        <v>N/A</v>
      </c>
      <c r="J54" s="112">
        <f>'EX 2'!J91</f>
        <v>0</v>
      </c>
      <c r="K54" s="94">
        <f t="shared" si="5"/>
        <v>0</v>
      </c>
      <c r="L54" s="136">
        <f t="shared" si="6"/>
        <v>0</v>
      </c>
      <c r="N54" s="130">
        <f t="shared" si="7"/>
        <v>0</v>
      </c>
      <c r="O54" s="130">
        <f t="shared" si="8"/>
        <v>0</v>
      </c>
      <c r="P54" s="130">
        <f t="shared" si="9"/>
        <v>0</v>
      </c>
    </row>
    <row r="55" spans="1:16" ht="20.399999999999999" x14ac:dyDescent="0.2">
      <c r="A55" s="421" t="s">
        <v>474</v>
      </c>
      <c r="B55" s="92">
        <v>0</v>
      </c>
      <c r="C55" s="92">
        <v>0.25</v>
      </c>
      <c r="D55" s="92">
        <v>1</v>
      </c>
      <c r="E55" s="92">
        <v>0</v>
      </c>
      <c r="F55" s="135">
        <f>ROUND(B55*Costs!$B$10+C55*Costs!$B$11+D55*Costs!$B$12+E55*Costs!$B$13,2)</f>
        <v>64.59</v>
      </c>
      <c r="G55" s="32" t="str">
        <f>Costs!$B$62</f>
        <v xml:space="preserve"> </v>
      </c>
      <c r="H55" s="135">
        <f>Costs!$B$16</f>
        <v>0</v>
      </c>
      <c r="I55" s="112" t="str">
        <f>'EX 2'!I92</f>
        <v>N/A</v>
      </c>
      <c r="J55" s="112">
        <f>'EX 2'!J92</f>
        <v>0</v>
      </c>
      <c r="K55" s="94">
        <f t="shared" si="5"/>
        <v>0</v>
      </c>
      <c r="L55" s="136">
        <f t="shared" si="6"/>
        <v>0</v>
      </c>
      <c r="N55" s="130">
        <f t="shared" si="7"/>
        <v>0</v>
      </c>
      <c r="O55" s="130">
        <f t="shared" si="8"/>
        <v>0</v>
      </c>
      <c r="P55" s="130">
        <f t="shared" si="9"/>
        <v>0</v>
      </c>
    </row>
    <row r="56" spans="1:16" ht="20.399999999999999" x14ac:dyDescent="0.2">
      <c r="A56" s="421" t="s">
        <v>475</v>
      </c>
      <c r="B56" s="92">
        <v>0</v>
      </c>
      <c r="C56" s="92">
        <v>4</v>
      </c>
      <c r="D56" s="92">
        <v>32</v>
      </c>
      <c r="E56" s="92">
        <v>0</v>
      </c>
      <c r="F56" s="135">
        <f>ROUND(B56*Costs!$B$10+C56*Costs!$B$11+D56*Costs!$B$12+E56*Costs!$B$13,2)</f>
        <v>1795.28</v>
      </c>
      <c r="G56" s="32" t="str">
        <f>Costs!$B$62</f>
        <v xml:space="preserve"> </v>
      </c>
      <c r="H56" s="135">
        <f>Costs!$B$16</f>
        <v>0</v>
      </c>
      <c r="I56" s="112" t="str">
        <f>'EX 2'!I94</f>
        <v>N/A</v>
      </c>
      <c r="J56" s="112">
        <f>'EX 2'!J94</f>
        <v>0</v>
      </c>
      <c r="K56" s="94">
        <f t="shared" si="5"/>
        <v>0</v>
      </c>
      <c r="L56" s="136">
        <f t="shared" si="6"/>
        <v>0</v>
      </c>
      <c r="N56" s="130">
        <f t="shared" si="7"/>
        <v>0</v>
      </c>
      <c r="O56" s="130">
        <f t="shared" si="8"/>
        <v>0</v>
      </c>
      <c r="P56" s="130">
        <f t="shared" si="9"/>
        <v>0</v>
      </c>
    </row>
    <row r="57" spans="1:16" x14ac:dyDescent="0.2">
      <c r="A57" s="421" t="s">
        <v>80</v>
      </c>
      <c r="B57" s="92">
        <v>0</v>
      </c>
      <c r="C57" s="92">
        <v>0</v>
      </c>
      <c r="D57" s="92">
        <v>0</v>
      </c>
      <c r="E57" s="92">
        <v>2</v>
      </c>
      <c r="F57" s="135">
        <f>ROUND(B57*Costs!$B$10+C57*Costs!$B$11+D57*Costs!$B$12+E57*Costs!$B$13,2)</f>
        <v>57.92</v>
      </c>
      <c r="G57" s="32" t="str">
        <f>Costs!$B$62</f>
        <v xml:space="preserve"> </v>
      </c>
      <c r="H57" s="135">
        <f>Costs!$B$16</f>
        <v>0</v>
      </c>
      <c r="I57" s="112" t="s">
        <v>677</v>
      </c>
      <c r="J57" s="111">
        <f>SUM(J48:J56)</f>
        <v>0</v>
      </c>
      <c r="K57" s="94">
        <f t="shared" si="5"/>
        <v>0</v>
      </c>
      <c r="L57" s="136">
        <f t="shared" si="6"/>
        <v>0</v>
      </c>
      <c r="N57" s="130">
        <f t="shared" si="7"/>
        <v>0</v>
      </c>
      <c r="O57" s="130">
        <f t="shared" si="8"/>
        <v>0</v>
      </c>
      <c r="P57" s="130">
        <f t="shared" si="9"/>
        <v>0</v>
      </c>
    </row>
    <row r="58" spans="1:16" x14ac:dyDescent="0.2">
      <c r="A58" s="461" t="s">
        <v>260</v>
      </c>
      <c r="B58" s="256"/>
      <c r="C58" s="263"/>
      <c r="D58" s="263"/>
      <c r="E58" s="263"/>
      <c r="F58" s="263"/>
      <c r="G58" s="263"/>
      <c r="H58" s="263"/>
      <c r="I58" s="310"/>
      <c r="J58" s="310"/>
      <c r="K58" s="265"/>
      <c r="L58" s="260"/>
      <c r="N58" s="481"/>
    </row>
    <row r="59" spans="1:16" x14ac:dyDescent="0.2">
      <c r="A59" s="421" t="s">
        <v>455</v>
      </c>
      <c r="B59" s="92">
        <v>0</v>
      </c>
      <c r="C59" s="92">
        <v>4</v>
      </c>
      <c r="D59" s="92">
        <v>32</v>
      </c>
      <c r="E59" s="92">
        <v>0</v>
      </c>
      <c r="F59" s="135">
        <f>ROUND(B59*Costs!$B$10+C59*Costs!$B$11+D59*Costs!$B$12+E59*Costs!$B$13,2)</f>
        <v>1795.28</v>
      </c>
      <c r="G59" s="32" t="str">
        <f>Costs!$B$62</f>
        <v xml:space="preserve"> </v>
      </c>
      <c r="H59" s="135">
        <f>Costs!$B$16</f>
        <v>0</v>
      </c>
      <c r="I59" s="112" t="str">
        <f>'EX 2'!I97</f>
        <v>N/A</v>
      </c>
      <c r="J59" s="112">
        <f>'EX 2'!J97</f>
        <v>0</v>
      </c>
      <c r="K59" s="94">
        <f>ROUND((I59+J59)*(B59+C59+D59+E59),2)</f>
        <v>0</v>
      </c>
      <c r="L59" s="136">
        <f>(F59+G59+H59)*(I59+J59)</f>
        <v>0</v>
      </c>
      <c r="N59" s="130">
        <f>F59*(I59+J59)</f>
        <v>0</v>
      </c>
      <c r="O59" s="130">
        <f>G59*(I59+J59)</f>
        <v>0</v>
      </c>
      <c r="P59" s="130">
        <f>H59*(I59+J59)</f>
        <v>0</v>
      </c>
    </row>
    <row r="60" spans="1:16" x14ac:dyDescent="0.2">
      <c r="A60" s="421" t="s">
        <v>80</v>
      </c>
      <c r="B60" s="92">
        <v>0</v>
      </c>
      <c r="C60" s="92">
        <v>0</v>
      </c>
      <c r="D60" s="92">
        <v>0</v>
      </c>
      <c r="E60" s="92">
        <v>2</v>
      </c>
      <c r="F60" s="135">
        <f>ROUND(B60*Costs!$B$10+C60*Costs!$B$11+D60*Costs!$B$12+E60*Costs!$B$13,2)</f>
        <v>57.92</v>
      </c>
      <c r="G60" s="32" t="str">
        <f>Costs!$B$62</f>
        <v xml:space="preserve"> </v>
      </c>
      <c r="H60" s="135">
        <f>Costs!$B$16</f>
        <v>0</v>
      </c>
      <c r="I60" s="112" t="s">
        <v>677</v>
      </c>
      <c r="J60" s="111">
        <f>SUM(J59)</f>
        <v>0</v>
      </c>
      <c r="K60" s="94">
        <f>ROUND((I60+J60)*(B60+C60+D60+E60),2)</f>
        <v>0</v>
      </c>
      <c r="L60" s="136">
        <f>(F60+G60+H60)*(I60+J60)</f>
        <v>0</v>
      </c>
      <c r="N60" s="130">
        <f>F60*(I60+J60)</f>
        <v>0</v>
      </c>
      <c r="O60" s="130">
        <f>G60*(I60+J60)</f>
        <v>0</v>
      </c>
      <c r="P60" s="130">
        <f>H60*(I60+J60)</f>
        <v>0</v>
      </c>
    </row>
    <row r="61" spans="1:16" x14ac:dyDescent="0.2">
      <c r="A61" s="461" t="s">
        <v>262</v>
      </c>
      <c r="B61" s="256"/>
      <c r="C61" s="263"/>
      <c r="D61" s="263"/>
      <c r="E61" s="263"/>
      <c r="F61" s="263"/>
      <c r="G61" s="263"/>
      <c r="H61" s="263"/>
      <c r="I61" s="310"/>
      <c r="J61" s="310"/>
      <c r="K61" s="265"/>
      <c r="L61" s="260"/>
      <c r="N61" s="481"/>
    </row>
    <row r="62" spans="1:16" ht="20.399999999999999" x14ac:dyDescent="0.2">
      <c r="A62" s="421" t="s">
        <v>476</v>
      </c>
      <c r="B62" s="92">
        <v>0</v>
      </c>
      <c r="C62" s="92">
        <v>0.5</v>
      </c>
      <c r="D62" s="92">
        <v>2</v>
      </c>
      <c r="E62" s="92">
        <v>0</v>
      </c>
      <c r="F62" s="135">
        <f>ROUND(B62*Costs!$B$10+C62*Costs!$B$11+D62*Costs!$B$12+E62*Costs!$B$13,2)</f>
        <v>129.16999999999999</v>
      </c>
      <c r="G62" s="32" t="str">
        <f>Costs!$B$62</f>
        <v xml:space="preserve"> </v>
      </c>
      <c r="H62" s="135">
        <f>Costs!$B$16</f>
        <v>0</v>
      </c>
      <c r="I62" s="112" t="str">
        <f>'EX 2'!I104</f>
        <v>N/A</v>
      </c>
      <c r="J62" s="111">
        <f>'EX 2'!J104</f>
        <v>0</v>
      </c>
      <c r="K62" s="94">
        <f>ROUND((I62+J62)*(B62+C62+D62+E62),2)</f>
        <v>0</v>
      </c>
      <c r="L62" s="136">
        <f>(F62+G62+H62)*(I62+J62)</f>
        <v>0</v>
      </c>
      <c r="N62" s="130">
        <f>F62*(I62+J62)</f>
        <v>0</v>
      </c>
      <c r="O62" s="130">
        <f>G62*(I62+J62)</f>
        <v>0</v>
      </c>
      <c r="P62" s="130">
        <f>H62*(I62+J62)</f>
        <v>0</v>
      </c>
    </row>
    <row r="63" spans="1:16" x14ac:dyDescent="0.2">
      <c r="A63" s="421" t="s">
        <v>80</v>
      </c>
      <c r="B63" s="92">
        <v>0</v>
      </c>
      <c r="C63" s="92">
        <v>0</v>
      </c>
      <c r="D63" s="92">
        <v>0</v>
      </c>
      <c r="E63" s="92">
        <v>0.25</v>
      </c>
      <c r="F63" s="135">
        <f>ROUND(B63*Costs!$B$10+C63*Costs!$B$11+D63*Costs!$B$12+E63*Costs!$B$13,2)</f>
        <v>7.24</v>
      </c>
      <c r="G63" s="32" t="str">
        <f>Costs!$B$62</f>
        <v xml:space="preserve"> </v>
      </c>
      <c r="H63" s="135">
        <f>Costs!$B$16</f>
        <v>0</v>
      </c>
      <c r="I63" s="111">
        <f>SUM(I62)</f>
        <v>0</v>
      </c>
      <c r="J63" s="111">
        <f>SUM(J62)</f>
        <v>0</v>
      </c>
      <c r="K63" s="94">
        <f>ROUND((I63+J63)*(B63+C63+D63+E63),2)</f>
        <v>0</v>
      </c>
      <c r="L63" s="136">
        <f>(F63+G63+H63)*(I63+J63)</f>
        <v>0</v>
      </c>
      <c r="N63" s="130">
        <f>F63*(I63+J63)</f>
        <v>0</v>
      </c>
      <c r="O63" s="130">
        <f>G63*(I63+J63)</f>
        <v>0</v>
      </c>
      <c r="P63" s="130">
        <f>H63*(I63+J63)</f>
        <v>0</v>
      </c>
    </row>
    <row r="64" spans="1:16" x14ac:dyDescent="0.2">
      <c r="A64" s="469" t="s">
        <v>381</v>
      </c>
      <c r="B64" s="250"/>
      <c r="C64" s="457"/>
      <c r="D64" s="457"/>
      <c r="E64" s="457"/>
      <c r="F64" s="457"/>
      <c r="G64" s="457"/>
      <c r="H64" s="457"/>
      <c r="I64" s="252"/>
      <c r="J64" s="252"/>
      <c r="K64" s="459"/>
      <c r="L64" s="460"/>
      <c r="N64" s="481"/>
    </row>
    <row r="65" spans="1:16" x14ac:dyDescent="0.2">
      <c r="A65" s="461" t="s">
        <v>263</v>
      </c>
      <c r="B65" s="256"/>
      <c r="C65" s="263"/>
      <c r="D65" s="263"/>
      <c r="E65" s="263"/>
      <c r="F65" s="263"/>
      <c r="G65" s="263"/>
      <c r="H65" s="263"/>
      <c r="I65" s="310"/>
      <c r="J65" s="310"/>
      <c r="K65" s="265"/>
      <c r="L65" s="260"/>
      <c r="N65" s="481"/>
    </row>
    <row r="66" spans="1:16" ht="20.399999999999999" x14ac:dyDescent="0.2">
      <c r="A66" s="421" t="s">
        <v>458</v>
      </c>
      <c r="B66" s="92">
        <v>0</v>
      </c>
      <c r="C66" s="92">
        <v>0.5</v>
      </c>
      <c r="D66" s="92">
        <v>4</v>
      </c>
      <c r="E66" s="92">
        <v>0</v>
      </c>
      <c r="F66" s="135">
        <f>ROUND(B66*Costs!$B$10+C66*Costs!$B$11+D66*Costs!$B$12+E66*Costs!$B$13,2)</f>
        <v>224.41</v>
      </c>
      <c r="G66" s="32" t="str">
        <f>Costs!$B$62</f>
        <v xml:space="preserve"> </v>
      </c>
      <c r="H66" s="135">
        <f>Costs!$B$16</f>
        <v>0</v>
      </c>
      <c r="I66" s="112" t="str">
        <f>'EX 2'!I107</f>
        <v>N/A</v>
      </c>
      <c r="J66" s="112">
        <f>'EX 2'!J107</f>
        <v>0</v>
      </c>
      <c r="K66" s="94">
        <f>ROUND((I66+J66)*(B66+C66+D66+E66),2)</f>
        <v>0</v>
      </c>
      <c r="L66" s="136">
        <f>(F66+G66+H66)*(I66+J66)</f>
        <v>0</v>
      </c>
      <c r="N66" s="130">
        <f>F66*(I66+J66)</f>
        <v>0</v>
      </c>
      <c r="O66" s="130">
        <f>G66*(I66+J66)</f>
        <v>0</v>
      </c>
      <c r="P66" s="130">
        <f>H66*(I66+J66)</f>
        <v>0</v>
      </c>
    </row>
    <row r="67" spans="1:16" ht="30.6" x14ac:dyDescent="0.2">
      <c r="A67" s="421" t="s">
        <v>459</v>
      </c>
      <c r="B67" s="92">
        <v>0</v>
      </c>
      <c r="C67" s="92">
        <v>4</v>
      </c>
      <c r="D67" s="92">
        <v>24</v>
      </c>
      <c r="E67" s="92">
        <v>0</v>
      </c>
      <c r="F67" s="135">
        <f>ROUND(B67*Costs!$B$10+C67*Costs!$B$11+D67*Costs!$B$12+E67*Costs!$B$13,2)</f>
        <v>1414.32</v>
      </c>
      <c r="G67" s="32" t="str">
        <f>Costs!$B$62</f>
        <v xml:space="preserve"> </v>
      </c>
      <c r="H67" s="135">
        <f>Costs!$B$16</f>
        <v>0</v>
      </c>
      <c r="I67" s="112" t="str">
        <f>'EX 2'!I107</f>
        <v>N/A</v>
      </c>
      <c r="J67" s="112">
        <f>'EX 2'!J107</f>
        <v>0</v>
      </c>
      <c r="K67" s="94">
        <f>ROUND((I67+J67)*(B67+C67+D67+E67),2)</f>
        <v>0</v>
      </c>
      <c r="L67" s="136">
        <f>(F67+G67+H67)*(I67+J67)</f>
        <v>0</v>
      </c>
      <c r="N67" s="130">
        <f>F67*(I67+J67)</f>
        <v>0</v>
      </c>
      <c r="O67" s="130">
        <f>G67*(I67+J67)</f>
        <v>0</v>
      </c>
      <c r="P67" s="130">
        <f>H67*(I67+J67)</f>
        <v>0</v>
      </c>
    </row>
    <row r="68" spans="1:16" ht="20.399999999999999" x14ac:dyDescent="0.2">
      <c r="A68" s="421" t="s">
        <v>460</v>
      </c>
      <c r="B68" s="92">
        <v>0</v>
      </c>
      <c r="C68" s="92">
        <v>0.5</v>
      </c>
      <c r="D68" s="92">
        <v>4</v>
      </c>
      <c r="E68" s="92">
        <v>0</v>
      </c>
      <c r="F68" s="135">
        <f>ROUND(B68*Costs!$B$10+C68*Costs!$B$11+D68*Costs!$B$12+E68*Costs!$B$13,2)</f>
        <v>224.41</v>
      </c>
      <c r="G68" s="32" t="str">
        <f>Costs!$B$62</f>
        <v xml:space="preserve"> </v>
      </c>
      <c r="H68" s="135">
        <f>Costs!$B$16</f>
        <v>0</v>
      </c>
      <c r="I68" s="112" t="str">
        <f>'EX 2'!I115</f>
        <v>N/A</v>
      </c>
      <c r="J68" s="112">
        <f>'EX 2'!J115</f>
        <v>0</v>
      </c>
      <c r="K68" s="94">
        <f>ROUND((I68+J68)*(B68+C68+D68+E68),2)</f>
        <v>0</v>
      </c>
      <c r="L68" s="136">
        <f>(F68+G68+H68)*(I68+J68)</f>
        <v>0</v>
      </c>
      <c r="N68" s="130">
        <f>F68*(I68+J68)</f>
        <v>0</v>
      </c>
      <c r="O68" s="130">
        <f>G68*(I68+J68)</f>
        <v>0</v>
      </c>
      <c r="P68" s="130">
        <f>H68*(I68+J68)</f>
        <v>0</v>
      </c>
    </row>
    <row r="69" spans="1:16" ht="30.6" x14ac:dyDescent="0.2">
      <c r="A69" s="421" t="s">
        <v>477</v>
      </c>
      <c r="B69" s="92">
        <v>0</v>
      </c>
      <c r="C69" s="92">
        <v>0.25</v>
      </c>
      <c r="D69" s="92">
        <v>1</v>
      </c>
      <c r="E69" s="92">
        <v>0</v>
      </c>
      <c r="F69" s="135">
        <f>ROUND(B69*Costs!$B$10+C69*Costs!$B$11+D69*Costs!$B$12+E69*Costs!$B$13,2)</f>
        <v>64.59</v>
      </c>
      <c r="G69" s="32" t="str">
        <f>Costs!$B$62</f>
        <v xml:space="preserve"> </v>
      </c>
      <c r="H69" s="135">
        <f>Costs!$B$16</f>
        <v>0</v>
      </c>
      <c r="I69" s="112" t="str">
        <f>'EX 2'!I124</f>
        <v>N/A</v>
      </c>
      <c r="J69" s="423">
        <f>'EX 2'!J125</f>
        <v>0</v>
      </c>
      <c r="K69" s="94">
        <f>ROUND((I69+J69)*(B69+C69+D69+E69),2)</f>
        <v>0</v>
      </c>
      <c r="L69" s="136">
        <f>(F69+G69+H69)*(I69+J69)</f>
        <v>0</v>
      </c>
      <c r="N69" s="130">
        <f>F69*(I69+J69)</f>
        <v>0</v>
      </c>
      <c r="O69" s="130">
        <f>G69*(I69+J69)</f>
        <v>0</v>
      </c>
      <c r="P69" s="130">
        <f>H69*(I69+J69)</f>
        <v>0</v>
      </c>
    </row>
    <row r="70" spans="1:16" ht="10.8" thickBot="1" x14ac:dyDescent="0.25">
      <c r="A70" s="424" t="s">
        <v>80</v>
      </c>
      <c r="B70" s="282">
        <v>0</v>
      </c>
      <c r="C70" s="282">
        <v>0</v>
      </c>
      <c r="D70" s="282">
        <v>0</v>
      </c>
      <c r="E70" s="282">
        <v>1</v>
      </c>
      <c r="F70" s="426">
        <f>ROUND(B70*Costs!$B$10+C70*Costs!$B$11+D70*Costs!$B$12+E70*Costs!$B$13,2)</f>
        <v>28.96</v>
      </c>
      <c r="G70" s="191" t="str">
        <f>Costs!$B$62</f>
        <v xml:space="preserve"> </v>
      </c>
      <c r="H70" s="426">
        <f>Costs!$B$16</f>
        <v>0</v>
      </c>
      <c r="I70" s="427" t="s">
        <v>677</v>
      </c>
      <c r="J70" s="445">
        <f>SUM(J66:J69)</f>
        <v>0</v>
      </c>
      <c r="K70" s="285">
        <f>ROUND((I70+J70)*(B70+C70+D70+E70),2)</f>
        <v>0</v>
      </c>
      <c r="L70" s="441">
        <f>(F70+G70+H70)*(I70+J70)</f>
        <v>0</v>
      </c>
      <c r="N70" s="130">
        <f>F70*(I70+J70)</f>
        <v>0</v>
      </c>
      <c r="O70" s="130">
        <f>G70*(I70+J70)</f>
        <v>0</v>
      </c>
      <c r="P70" s="130">
        <f>H70*(I70+J70)</f>
        <v>0</v>
      </c>
    </row>
    <row r="71" spans="1:16" ht="10.8" thickBot="1" x14ac:dyDescent="0.25">
      <c r="A71" s="443" t="s">
        <v>596</v>
      </c>
      <c r="B71" s="324" t="s">
        <v>597</v>
      </c>
      <c r="C71" s="324" t="s">
        <v>597</v>
      </c>
      <c r="D71" s="324" t="s">
        <v>597</v>
      </c>
      <c r="E71" s="324" t="s">
        <v>597</v>
      </c>
      <c r="F71" s="324" t="s">
        <v>597</v>
      </c>
      <c r="G71" s="324" t="s">
        <v>597</v>
      </c>
      <c r="H71" s="324" t="s">
        <v>597</v>
      </c>
      <c r="I71" s="444" t="s">
        <v>597</v>
      </c>
      <c r="J71" s="444" t="s">
        <v>597</v>
      </c>
      <c r="K71" s="449">
        <f>SUM(K37:K70)</f>
        <v>0</v>
      </c>
      <c r="L71" s="294">
        <f>SUM(L37:L70)</f>
        <v>0</v>
      </c>
      <c r="N71" s="123">
        <f>SUM(N37:N70)</f>
        <v>0</v>
      </c>
      <c r="O71" s="123">
        <f>SUM(O37:O70)</f>
        <v>0</v>
      </c>
      <c r="P71" s="123">
        <f>SUM(P37:P70)</f>
        <v>0</v>
      </c>
    </row>
    <row r="72" spans="1:16" x14ac:dyDescent="0.2">
      <c r="A72" s="486" t="s">
        <v>376</v>
      </c>
      <c r="B72" s="288"/>
      <c r="C72" s="340"/>
      <c r="D72" s="340"/>
      <c r="E72" s="340"/>
      <c r="F72" s="340"/>
      <c r="G72" s="340"/>
      <c r="H72" s="340"/>
      <c r="I72" s="331"/>
      <c r="J72" s="331"/>
      <c r="K72" s="343"/>
      <c r="L72" s="344"/>
    </row>
    <row r="73" spans="1:16" ht="20.399999999999999" x14ac:dyDescent="0.2">
      <c r="A73" s="421" t="s">
        <v>478</v>
      </c>
      <c r="B73" s="92">
        <v>0</v>
      </c>
      <c r="C73" s="92">
        <v>1</v>
      </c>
      <c r="D73" s="92">
        <v>8</v>
      </c>
      <c r="E73" s="92">
        <v>0</v>
      </c>
      <c r="F73" s="135">
        <f>ROUND(B73*Costs!$B$10+C73*Costs!$B$11+D73*Costs!$B$12+E73*Costs!$B$13,2)</f>
        <v>448.82</v>
      </c>
      <c r="G73" s="32" t="str">
        <f>Costs!$B$62</f>
        <v xml:space="preserve"> </v>
      </c>
      <c r="H73" s="135">
        <f>Costs!$B$16</f>
        <v>0</v>
      </c>
      <c r="I73" s="112" t="str">
        <f>'EX 2'!I132</f>
        <v>N/A</v>
      </c>
      <c r="J73" s="112">
        <f>'EX 2'!J132</f>
        <v>0</v>
      </c>
      <c r="K73" s="94">
        <f>ROUND((I73+J73)*(B73+C73+D73+E73),2)</f>
        <v>0</v>
      </c>
      <c r="L73" s="136">
        <f>(F73+G73+H73)*(I73+J73)</f>
        <v>0</v>
      </c>
      <c r="N73" s="130">
        <f>F73*(I73+J73)</f>
        <v>0</v>
      </c>
      <c r="O73" s="130">
        <f>G73*(I73+J73)</f>
        <v>0</v>
      </c>
      <c r="P73" s="130">
        <f>H73*(I73+J73)</f>
        <v>0</v>
      </c>
    </row>
    <row r="74" spans="1:16" ht="10.8" thickBot="1" x14ac:dyDescent="0.25">
      <c r="A74" s="424" t="s">
        <v>80</v>
      </c>
      <c r="B74" s="282">
        <v>0</v>
      </c>
      <c r="C74" s="282">
        <v>0</v>
      </c>
      <c r="D74" s="282">
        <v>0</v>
      </c>
      <c r="E74" s="282">
        <v>0.25</v>
      </c>
      <c r="F74" s="426">
        <f>ROUND(B74*Costs!$B$10+C74*Costs!$B$11+D74*Costs!$B$12+E74*Costs!$B$13,2)</f>
        <v>7.24</v>
      </c>
      <c r="G74" s="191" t="str">
        <f>Costs!$B$62</f>
        <v xml:space="preserve"> </v>
      </c>
      <c r="H74" s="426">
        <f>Costs!$B$16</f>
        <v>0</v>
      </c>
      <c r="I74" s="427" t="s">
        <v>677</v>
      </c>
      <c r="J74" s="427">
        <f>SUM(J73)</f>
        <v>0</v>
      </c>
      <c r="K74" s="285">
        <f>ROUND((I74+J74)*(B74+C74+D74+E74),2)</f>
        <v>0</v>
      </c>
      <c r="L74" s="441">
        <f>(F74+G74+H74)*(I74+J74)</f>
        <v>0</v>
      </c>
      <c r="N74" s="130">
        <f>F74*(I74+J74)</f>
        <v>0</v>
      </c>
      <c r="O74" s="130">
        <f>G74*(I74+J74)</f>
        <v>0</v>
      </c>
      <c r="P74" s="130">
        <f>H74*(I74+J74)</f>
        <v>0</v>
      </c>
    </row>
    <row r="75" spans="1:16" ht="10.8" thickBot="1" x14ac:dyDescent="0.25">
      <c r="A75" s="443" t="s">
        <v>596</v>
      </c>
      <c r="B75" s="324" t="s">
        <v>597</v>
      </c>
      <c r="C75" s="324" t="s">
        <v>597</v>
      </c>
      <c r="D75" s="324" t="s">
        <v>597</v>
      </c>
      <c r="E75" s="324" t="s">
        <v>597</v>
      </c>
      <c r="F75" s="324" t="s">
        <v>597</v>
      </c>
      <c r="G75" s="324" t="s">
        <v>597</v>
      </c>
      <c r="H75" s="324" t="s">
        <v>597</v>
      </c>
      <c r="I75" s="444" t="s">
        <v>597</v>
      </c>
      <c r="J75" s="444" t="s">
        <v>597</v>
      </c>
      <c r="K75" s="304">
        <f>SUM(K73:K74)</f>
        <v>0</v>
      </c>
      <c r="L75" s="294">
        <f>SUM(L73:L74)</f>
        <v>0</v>
      </c>
      <c r="N75" s="123">
        <f>SUM(N73:N74)</f>
        <v>0</v>
      </c>
      <c r="O75" s="123">
        <f>SUM(O73:O74)</f>
        <v>0</v>
      </c>
      <c r="P75" s="123">
        <f>SUM(P73:P74)</f>
        <v>0</v>
      </c>
    </row>
    <row r="76" spans="1:16" x14ac:dyDescent="0.2">
      <c r="A76" s="486" t="s">
        <v>265</v>
      </c>
      <c r="B76" s="288"/>
      <c r="C76" s="340"/>
      <c r="D76" s="340"/>
      <c r="E76" s="340"/>
      <c r="F76" s="340"/>
      <c r="G76" s="340"/>
      <c r="H76" s="340"/>
      <c r="I76" s="331"/>
      <c r="J76" s="493"/>
      <c r="K76" s="343"/>
      <c r="L76" s="344"/>
    </row>
    <row r="77" spans="1:16" ht="20.399999999999999" x14ac:dyDescent="0.2">
      <c r="A77" s="421" t="s">
        <v>412</v>
      </c>
      <c r="B77" s="92">
        <v>0</v>
      </c>
      <c r="C77" s="92">
        <v>1</v>
      </c>
      <c r="D77" s="92">
        <v>8</v>
      </c>
      <c r="E77" s="92">
        <v>0</v>
      </c>
      <c r="F77" s="135">
        <f>ROUND(B77*Costs!$B$10+C77*Costs!$B$11+D77*Costs!$B$12+E77*Costs!$B$13,2)</f>
        <v>448.82</v>
      </c>
      <c r="G77" s="32" t="str">
        <f>Costs!$B$62</f>
        <v xml:space="preserve"> </v>
      </c>
      <c r="H77" s="135">
        <f>Costs!$B$16</f>
        <v>0</v>
      </c>
      <c r="I77" s="112" t="str">
        <f>'EX 2'!I136</f>
        <v>N/A</v>
      </c>
      <c r="J77" s="112">
        <f>'EX 2'!J136</f>
        <v>0</v>
      </c>
      <c r="K77" s="94">
        <f>ROUND((I77+J77)*(B77+C77+D77+E77),2)</f>
        <v>0</v>
      </c>
      <c r="L77" s="136">
        <f>(F77+G77+H77)*(I77+J77)</f>
        <v>0</v>
      </c>
      <c r="N77" s="130">
        <f>F77*(I77+J77)</f>
        <v>0</v>
      </c>
      <c r="O77" s="130">
        <f>G77*(I77+J77)</f>
        <v>0</v>
      </c>
      <c r="P77" s="130">
        <f>H77*(I77+J77)</f>
        <v>0</v>
      </c>
    </row>
    <row r="78" spans="1:16" ht="10.8" thickBot="1" x14ac:dyDescent="0.25">
      <c r="A78" s="424" t="s">
        <v>80</v>
      </c>
      <c r="B78" s="282">
        <v>0</v>
      </c>
      <c r="C78" s="282">
        <v>0</v>
      </c>
      <c r="D78" s="282">
        <v>0</v>
      </c>
      <c r="E78" s="282">
        <v>0.25</v>
      </c>
      <c r="F78" s="426">
        <f>ROUND(B78*Costs!$B$10+C78*Costs!$B$11+D78*Costs!$B$12+E78*Costs!$B$13,2)</f>
        <v>7.24</v>
      </c>
      <c r="G78" s="191" t="str">
        <f>Costs!$B$62</f>
        <v xml:space="preserve"> </v>
      </c>
      <c r="H78" s="426">
        <f>Costs!$B$16</f>
        <v>0</v>
      </c>
      <c r="I78" s="427" t="s">
        <v>677</v>
      </c>
      <c r="J78" s="427">
        <f>SUM(J77)</f>
        <v>0</v>
      </c>
      <c r="K78" s="285">
        <f>ROUND((I78+J78)*(B78+C78+D78+E78),2)</f>
        <v>0</v>
      </c>
      <c r="L78" s="441">
        <f>(F78+G78+H78)*(I78+J78)</f>
        <v>0</v>
      </c>
      <c r="N78" s="130">
        <f>F78*(I78+J78)</f>
        <v>0</v>
      </c>
      <c r="O78" s="130">
        <f>G78*(I78+J78)</f>
        <v>0</v>
      </c>
      <c r="P78" s="130">
        <f>H78*(I78+J78)</f>
        <v>0</v>
      </c>
    </row>
    <row r="79" spans="1:16" ht="10.8" thickBot="1" x14ac:dyDescent="0.25">
      <c r="A79" s="443" t="s">
        <v>596</v>
      </c>
      <c r="B79" s="324" t="s">
        <v>597</v>
      </c>
      <c r="C79" s="324" t="s">
        <v>597</v>
      </c>
      <c r="D79" s="324" t="s">
        <v>597</v>
      </c>
      <c r="E79" s="324" t="s">
        <v>597</v>
      </c>
      <c r="F79" s="324" t="s">
        <v>597</v>
      </c>
      <c r="G79" s="324" t="s">
        <v>597</v>
      </c>
      <c r="H79" s="324" t="s">
        <v>597</v>
      </c>
      <c r="I79" s="444" t="s">
        <v>597</v>
      </c>
      <c r="J79" s="444" t="s">
        <v>597</v>
      </c>
      <c r="K79" s="304">
        <f>SUM(K77:K78)</f>
        <v>0</v>
      </c>
      <c r="L79" s="294">
        <f>SUM(L77:L78)</f>
        <v>0</v>
      </c>
      <c r="N79" s="123">
        <f>SUM(N77:N78)</f>
        <v>0</v>
      </c>
      <c r="O79" s="123">
        <f>SUM(O77:O78)</f>
        <v>0</v>
      </c>
      <c r="P79" s="123">
        <f>SUM(P77:P78)</f>
        <v>0</v>
      </c>
    </row>
    <row r="80" spans="1:16" x14ac:dyDescent="0.2">
      <c r="A80" s="494" t="s">
        <v>267</v>
      </c>
      <c r="B80" s="288"/>
      <c r="C80" s="340"/>
      <c r="D80" s="340"/>
      <c r="E80" s="340"/>
      <c r="F80" s="340"/>
      <c r="G80" s="340"/>
      <c r="H80" s="340"/>
      <c r="I80" s="331"/>
      <c r="J80" s="331"/>
      <c r="K80" s="343"/>
      <c r="L80" s="344"/>
    </row>
    <row r="81" spans="1:16" ht="20.399999999999999" x14ac:dyDescent="0.2">
      <c r="A81" s="421" t="s">
        <v>413</v>
      </c>
      <c r="B81" s="92">
        <v>0</v>
      </c>
      <c r="C81" s="92">
        <v>1</v>
      </c>
      <c r="D81" s="92">
        <v>8</v>
      </c>
      <c r="E81" s="92">
        <v>0</v>
      </c>
      <c r="F81" s="135">
        <f>ROUND(B81*Costs!$B$10+C81*Costs!$B$11+D81*Costs!$B$12+E81*Costs!$B$13,2)</f>
        <v>448.82</v>
      </c>
      <c r="G81" s="32" t="str">
        <f>Costs!$B$62</f>
        <v xml:space="preserve"> </v>
      </c>
      <c r="H81" s="135">
        <f>Costs!$B$16</f>
        <v>0</v>
      </c>
      <c r="I81" s="112" t="str">
        <f>'EX 2'!I154</f>
        <v>N/A</v>
      </c>
      <c r="J81" s="112">
        <f>'EX 2'!J154</f>
        <v>0</v>
      </c>
      <c r="K81" s="94">
        <f>ROUND((I81+J81)*(B81+C81+D81+E81),2)</f>
        <v>0</v>
      </c>
      <c r="L81" s="136">
        <f>(F81+G81+H81)*(I81+J81)</f>
        <v>0</v>
      </c>
      <c r="N81" s="130">
        <f>F81*(I81+J81)</f>
        <v>0</v>
      </c>
      <c r="O81" s="130">
        <f>G81*(I81+J81)</f>
        <v>0</v>
      </c>
      <c r="P81" s="130">
        <f>H81*(I81+J81)</f>
        <v>0</v>
      </c>
    </row>
    <row r="82" spans="1:16" ht="10.8" thickBot="1" x14ac:dyDescent="0.25">
      <c r="A82" s="424" t="s">
        <v>80</v>
      </c>
      <c r="B82" s="282">
        <v>0</v>
      </c>
      <c r="C82" s="282">
        <v>0</v>
      </c>
      <c r="D82" s="282">
        <v>0</v>
      </c>
      <c r="E82" s="282">
        <v>0.25</v>
      </c>
      <c r="F82" s="426">
        <f>ROUND(B82*Costs!$B$10+C82*Costs!$B$11+D82*Costs!$B$12+E82*Costs!$B$13,2)</f>
        <v>7.24</v>
      </c>
      <c r="G82" s="191" t="str">
        <f>Costs!$B$62</f>
        <v xml:space="preserve"> </v>
      </c>
      <c r="H82" s="426">
        <f>Costs!$B$16</f>
        <v>0</v>
      </c>
      <c r="I82" s="427" t="s">
        <v>677</v>
      </c>
      <c r="J82" s="427">
        <f>SUM(J81)</f>
        <v>0</v>
      </c>
      <c r="K82" s="285">
        <f>ROUND((I82+J82)*(B82+C82+D82+E82),2)</f>
        <v>0</v>
      </c>
      <c r="L82" s="441">
        <f>(F82+G82+H82)*(I82+J82)</f>
        <v>0</v>
      </c>
      <c r="N82" s="130">
        <f>F82*(I82+J82)</f>
        <v>0</v>
      </c>
      <c r="O82" s="130">
        <f>G82*(I82+J82)</f>
        <v>0</v>
      </c>
      <c r="P82" s="130">
        <f>H82*(I82+J82)</f>
        <v>0</v>
      </c>
    </row>
    <row r="83" spans="1:16" ht="10.8" thickBot="1" x14ac:dyDescent="0.25">
      <c r="A83" s="430" t="s">
        <v>596</v>
      </c>
      <c r="B83" s="324" t="s">
        <v>597</v>
      </c>
      <c r="C83" s="324" t="s">
        <v>597</v>
      </c>
      <c r="D83" s="324" t="s">
        <v>597</v>
      </c>
      <c r="E83" s="324" t="s">
        <v>597</v>
      </c>
      <c r="F83" s="324" t="s">
        <v>597</v>
      </c>
      <c r="G83" s="324" t="s">
        <v>597</v>
      </c>
      <c r="H83" s="324" t="s">
        <v>597</v>
      </c>
      <c r="I83" s="444" t="s">
        <v>597</v>
      </c>
      <c r="J83" s="444" t="s">
        <v>597</v>
      </c>
      <c r="K83" s="304">
        <f>SUM(K81:K82)</f>
        <v>0</v>
      </c>
      <c r="L83" s="294">
        <f>SUM(L81:L82)</f>
        <v>0</v>
      </c>
      <c r="N83" s="123">
        <f>SUM(N81:N82)</f>
        <v>0</v>
      </c>
      <c r="O83" s="123">
        <f>SUM(O81:O82)</f>
        <v>0</v>
      </c>
      <c r="P83" s="123">
        <f>SUM(P81:P82)</f>
        <v>0</v>
      </c>
    </row>
    <row r="84" spans="1:16" ht="10.8" thickBot="1" x14ac:dyDescent="0.25">
      <c r="A84" s="450" t="s">
        <v>567</v>
      </c>
      <c r="B84" s="451" t="s">
        <v>597</v>
      </c>
      <c r="C84" s="451" t="s">
        <v>597</v>
      </c>
      <c r="D84" s="451" t="s">
        <v>597</v>
      </c>
      <c r="E84" s="451" t="s">
        <v>597</v>
      </c>
      <c r="F84" s="451" t="s">
        <v>597</v>
      </c>
      <c r="G84" s="451" t="s">
        <v>597</v>
      </c>
      <c r="H84" s="451" t="s">
        <v>597</v>
      </c>
      <c r="I84" s="452" t="s">
        <v>597</v>
      </c>
      <c r="J84" s="452" t="s">
        <v>597</v>
      </c>
      <c r="K84" s="453">
        <f>K26+K34+K71+K75+K79+K83</f>
        <v>1075.7</v>
      </c>
      <c r="L84" s="454">
        <f>L26+L34+L71+L75+L79+L83</f>
        <v>52798.429999999993</v>
      </c>
      <c r="N84" s="123">
        <f>N26+N34+N71+N75+N79+N83</f>
        <v>52798.429999999993</v>
      </c>
      <c r="O84" s="123">
        <f>O26+O34+O71+O75+O79+O83</f>
        <v>0</v>
      </c>
      <c r="P84" s="123">
        <f>P26+P34+P71+P75+P79+P83</f>
        <v>0</v>
      </c>
    </row>
    <row r="85" spans="1:16" x14ac:dyDescent="0.2">
      <c r="B85" s="39"/>
      <c r="C85" s="39"/>
      <c r="D85" s="39"/>
      <c r="E85" s="39"/>
      <c r="F85" s="39"/>
      <c r="G85" s="39"/>
      <c r="H85" s="39"/>
      <c r="L85" s="31"/>
    </row>
    <row r="86" spans="1:16" x14ac:dyDescent="0.2">
      <c r="B86" s="39"/>
      <c r="C86" s="39"/>
      <c r="D86" s="39"/>
      <c r="E86" s="39"/>
      <c r="F86" s="39"/>
      <c r="G86" s="39"/>
      <c r="H86" s="39"/>
      <c r="L86" s="31"/>
    </row>
    <row r="87" spans="1:16" x14ac:dyDescent="0.2">
      <c r="B87" s="39"/>
      <c r="C87" s="39"/>
      <c r="D87" s="39"/>
      <c r="E87" s="39"/>
      <c r="F87" s="39"/>
      <c r="G87" s="39"/>
      <c r="H87" s="39"/>
      <c r="L87" s="31"/>
    </row>
    <row r="88" spans="1:16" x14ac:dyDescent="0.2">
      <c r="B88" s="39"/>
      <c r="C88" s="39"/>
      <c r="D88" s="39"/>
      <c r="E88" s="39"/>
      <c r="F88" s="39"/>
      <c r="G88" s="39"/>
      <c r="H88" s="39"/>
      <c r="L88" s="11"/>
    </row>
    <row r="89" spans="1:16" x14ac:dyDescent="0.2">
      <c r="B89" s="39"/>
      <c r="C89" s="39"/>
      <c r="D89" s="39"/>
      <c r="E89" s="39"/>
      <c r="F89" s="39"/>
      <c r="G89" s="39"/>
      <c r="H89" s="39"/>
      <c r="L89" s="12"/>
    </row>
    <row r="90" spans="1:16" x14ac:dyDescent="0.2">
      <c r="B90" s="39"/>
      <c r="C90" s="39"/>
      <c r="D90" s="39"/>
      <c r="E90" s="39"/>
      <c r="F90" s="39"/>
      <c r="G90" s="39"/>
      <c r="H90" s="39"/>
    </row>
    <row r="91" spans="1:16" x14ac:dyDescent="0.2">
      <c r="B91" s="39"/>
      <c r="C91" s="39"/>
      <c r="D91" s="39"/>
      <c r="E91" s="39"/>
      <c r="F91" s="39"/>
      <c r="G91" s="39"/>
      <c r="H91" s="39"/>
      <c r="L91" s="11"/>
    </row>
    <row r="92" spans="1:16" x14ac:dyDescent="0.2">
      <c r="A92" s="11"/>
      <c r="B92" s="39"/>
      <c r="C92" s="39"/>
      <c r="D92" s="39"/>
      <c r="E92" s="39"/>
      <c r="F92" s="39"/>
      <c r="G92" s="39"/>
      <c r="H92" s="39"/>
      <c r="L92" s="12"/>
    </row>
    <row r="93" spans="1:16" x14ac:dyDescent="0.2">
      <c r="B93" s="39"/>
      <c r="C93" s="39"/>
      <c r="D93" s="39"/>
      <c r="E93" s="39"/>
      <c r="F93" s="39"/>
      <c r="G93" s="39"/>
      <c r="H93" s="39"/>
      <c r="L93" s="31"/>
    </row>
    <row r="94" spans="1:16" x14ac:dyDescent="0.2">
      <c r="B94" s="39"/>
      <c r="C94" s="39"/>
      <c r="D94" s="39"/>
      <c r="E94" s="39"/>
      <c r="F94" s="39"/>
      <c r="G94" s="39"/>
      <c r="H94" s="39"/>
      <c r="L94" s="31"/>
    </row>
    <row r="95" spans="1:16" x14ac:dyDescent="0.2">
      <c r="B95" s="39"/>
      <c r="C95" s="39"/>
      <c r="D95" s="39"/>
      <c r="E95" s="39"/>
      <c r="F95" s="39"/>
      <c r="G95" s="39"/>
      <c r="H95" s="39"/>
      <c r="L95" s="31"/>
    </row>
    <row r="96" spans="1:16" x14ac:dyDescent="0.2">
      <c r="B96" s="39"/>
      <c r="C96" s="39"/>
      <c r="D96" s="39"/>
      <c r="E96" s="39"/>
      <c r="F96" s="39"/>
      <c r="G96" s="39"/>
      <c r="H96" s="39"/>
      <c r="L96" s="31"/>
    </row>
    <row r="97" spans="2:45" x14ac:dyDescent="0.2">
      <c r="B97" s="39"/>
      <c r="C97" s="39"/>
      <c r="D97" s="39"/>
      <c r="E97" s="39"/>
      <c r="F97" s="39"/>
      <c r="G97" s="39"/>
      <c r="H97" s="39"/>
      <c r="L97" s="31"/>
    </row>
    <row r="98" spans="2:45" x14ac:dyDescent="0.2">
      <c r="B98" s="39"/>
      <c r="C98" s="39"/>
      <c r="D98" s="39"/>
      <c r="E98" s="39"/>
      <c r="F98" s="39"/>
      <c r="G98" s="39"/>
      <c r="H98" s="39"/>
      <c r="L98" s="31"/>
    </row>
    <row r="99" spans="2:45" x14ac:dyDescent="0.2">
      <c r="B99" s="39"/>
      <c r="C99" s="39"/>
      <c r="D99" s="39"/>
      <c r="E99" s="39"/>
      <c r="F99" s="39"/>
      <c r="G99" s="39"/>
      <c r="H99" s="39"/>
      <c r="L99" s="31"/>
      <c r="AH99" s="523"/>
      <c r="AI99" s="523"/>
      <c r="AJ99" s="524" t="s">
        <v>526</v>
      </c>
      <c r="AK99" s="525"/>
    </row>
    <row r="100" spans="2:45" x14ac:dyDescent="0.2">
      <c r="B100" s="39"/>
      <c r="C100" s="39"/>
      <c r="D100" s="39"/>
      <c r="E100" s="39"/>
      <c r="F100" s="39"/>
      <c r="G100" s="39"/>
      <c r="H100" s="39"/>
      <c r="L100" s="31"/>
      <c r="AJ100" s="403" t="s">
        <v>268</v>
      </c>
      <c r="AK100" s="526"/>
    </row>
    <row r="101" spans="2:45" x14ac:dyDescent="0.2">
      <c r="B101" s="39"/>
      <c r="C101" s="39"/>
      <c r="D101" s="39"/>
      <c r="E101" s="39"/>
      <c r="F101" s="39"/>
      <c r="G101" s="39"/>
      <c r="H101" s="39"/>
      <c r="L101" s="31"/>
      <c r="AJ101" s="403" t="s">
        <v>269</v>
      </c>
      <c r="AK101" s="526"/>
    </row>
    <row r="102" spans="2:45" x14ac:dyDescent="0.2">
      <c r="B102" s="39"/>
      <c r="C102" s="39"/>
      <c r="D102" s="39"/>
      <c r="E102" s="39"/>
      <c r="F102" s="39"/>
      <c r="G102" s="39"/>
      <c r="H102" s="39"/>
      <c r="L102" s="31"/>
      <c r="AJ102" s="403" t="s">
        <v>564</v>
      </c>
      <c r="AK102" s="526"/>
    </row>
    <row r="103" spans="2:45" x14ac:dyDescent="0.2">
      <c r="B103" s="39"/>
      <c r="C103" s="39"/>
      <c r="D103" s="39"/>
      <c r="E103" s="39"/>
      <c r="F103" s="39"/>
      <c r="G103" s="39"/>
      <c r="H103" s="39"/>
      <c r="L103" s="31"/>
      <c r="AH103" s="527"/>
      <c r="AI103" s="527"/>
      <c r="AJ103" s="527"/>
      <c r="AK103" s="528"/>
    </row>
    <row r="104" spans="2:45" x14ac:dyDescent="0.2">
      <c r="B104" s="39"/>
      <c r="C104" s="39"/>
      <c r="D104" s="39"/>
      <c r="E104" s="39"/>
      <c r="F104" s="39"/>
      <c r="G104" s="39"/>
      <c r="H104" s="39"/>
      <c r="L104" s="31"/>
      <c r="AH104" s="526"/>
      <c r="AI104" s="526"/>
      <c r="AJ104" s="526"/>
      <c r="AK104" s="529" t="s">
        <v>565</v>
      </c>
    </row>
    <row r="105" spans="2:45" x14ac:dyDescent="0.2">
      <c r="B105" s="39"/>
      <c r="C105" s="39"/>
      <c r="D105" s="39"/>
      <c r="E105" s="39"/>
      <c r="F105" s="39"/>
      <c r="G105" s="39"/>
      <c r="H105" s="39"/>
      <c r="L105" s="31"/>
      <c r="AH105" s="528"/>
      <c r="AI105" s="530" t="s">
        <v>519</v>
      </c>
      <c r="AJ105" s="528"/>
      <c r="AK105" s="530" t="s">
        <v>566</v>
      </c>
    </row>
    <row r="106" spans="2:45" x14ac:dyDescent="0.2">
      <c r="B106" s="39"/>
      <c r="C106" s="39"/>
      <c r="D106" s="39"/>
      <c r="E106" s="39"/>
      <c r="F106" s="39"/>
      <c r="G106" s="39"/>
      <c r="H106" s="39"/>
      <c r="L106" s="31"/>
      <c r="AK106" s="526"/>
    </row>
    <row r="107" spans="2:45" x14ac:dyDescent="0.2">
      <c r="B107" s="39"/>
      <c r="C107" s="39"/>
      <c r="D107" s="39"/>
      <c r="E107" s="39"/>
      <c r="F107" s="39"/>
      <c r="G107" s="39"/>
      <c r="H107" s="39"/>
      <c r="L107" s="31"/>
      <c r="AH107" s="525"/>
      <c r="AI107" s="525"/>
      <c r="AJ107" s="525"/>
      <c r="AK107" s="525"/>
    </row>
    <row r="108" spans="2:45" x14ac:dyDescent="0.2">
      <c r="B108" s="39"/>
      <c r="C108" s="39"/>
      <c r="D108" s="39"/>
      <c r="E108" s="39"/>
      <c r="F108" s="39"/>
      <c r="G108" s="39"/>
      <c r="H108" s="39"/>
      <c r="L108" s="31"/>
      <c r="AH108" s="526"/>
      <c r="AI108" s="526"/>
      <c r="AJ108" s="526"/>
      <c r="AK108" s="526"/>
    </row>
    <row r="109" spans="2:45" x14ac:dyDescent="0.2">
      <c r="B109" s="39"/>
      <c r="C109" s="39"/>
      <c r="D109" s="39"/>
      <c r="E109" s="39"/>
      <c r="F109" s="39"/>
      <c r="G109" s="39"/>
      <c r="H109" s="39"/>
      <c r="L109" s="31"/>
      <c r="AH109" s="531"/>
      <c r="AI109" s="531"/>
      <c r="AJ109" s="531"/>
      <c r="AK109" s="531"/>
      <c r="AL109" s="532"/>
      <c r="AM109" s="533"/>
      <c r="AN109" s="533"/>
      <c r="AO109" s="533"/>
      <c r="AP109" s="533"/>
      <c r="AQ109" s="533"/>
      <c r="AR109" s="533"/>
      <c r="AS109" s="533"/>
    </row>
    <row r="110" spans="2:45" x14ac:dyDescent="0.2">
      <c r="B110" s="39"/>
      <c r="C110" s="39"/>
      <c r="D110" s="39"/>
      <c r="E110" s="39"/>
      <c r="F110" s="39"/>
      <c r="G110" s="39"/>
      <c r="H110" s="39"/>
      <c r="L110" s="31"/>
      <c r="AH110" s="534"/>
      <c r="AI110" s="534"/>
      <c r="AJ110" s="534"/>
      <c r="AK110" s="534"/>
      <c r="AL110" s="532"/>
      <c r="AM110" s="533"/>
      <c r="AN110" s="533"/>
      <c r="AO110" s="533"/>
      <c r="AP110" s="533"/>
      <c r="AQ110" s="533"/>
      <c r="AR110" s="533"/>
      <c r="AS110" s="533"/>
    </row>
    <row r="111" spans="2:45" x14ac:dyDescent="0.2">
      <c r="B111" s="39"/>
      <c r="C111" s="39"/>
      <c r="D111" s="39"/>
      <c r="E111" s="39"/>
      <c r="F111" s="39"/>
      <c r="G111" s="39"/>
      <c r="H111" s="39"/>
      <c r="L111" s="31"/>
      <c r="AH111" s="532"/>
      <c r="AI111" s="532"/>
      <c r="AJ111" s="532"/>
      <c r="AK111" s="532"/>
      <c r="AL111" s="532"/>
      <c r="AM111" s="533"/>
      <c r="AN111" s="533"/>
      <c r="AO111" s="533"/>
      <c r="AP111" s="533"/>
      <c r="AQ111" s="533"/>
      <c r="AR111" s="533"/>
      <c r="AS111" s="533"/>
    </row>
    <row r="112" spans="2:45" x14ac:dyDescent="0.2">
      <c r="B112" s="39"/>
      <c r="C112" s="39"/>
      <c r="D112" s="39"/>
      <c r="E112" s="39"/>
      <c r="F112" s="39"/>
      <c r="G112" s="39"/>
      <c r="H112" s="39"/>
      <c r="L112" s="31"/>
      <c r="AH112" s="532"/>
      <c r="AI112" s="532"/>
      <c r="AJ112" s="532"/>
      <c r="AK112" s="532"/>
      <c r="AL112" s="532"/>
    </row>
    <row r="113" spans="2:38" x14ac:dyDescent="0.2">
      <c r="B113" s="39"/>
      <c r="C113" s="39"/>
      <c r="D113" s="39"/>
      <c r="E113" s="39"/>
      <c r="F113" s="39"/>
      <c r="G113" s="39"/>
      <c r="H113" s="39"/>
      <c r="L113" s="31"/>
      <c r="AH113" s="532"/>
      <c r="AI113" s="532"/>
      <c r="AJ113" s="532"/>
      <c r="AK113" s="532"/>
      <c r="AL113" s="532"/>
    </row>
    <row r="114" spans="2:38" x14ac:dyDescent="0.2">
      <c r="B114" s="39"/>
      <c r="C114" s="39"/>
      <c r="D114" s="39"/>
      <c r="E114" s="39"/>
      <c r="F114" s="39"/>
      <c r="G114" s="39"/>
      <c r="H114" s="39"/>
      <c r="L114" s="31"/>
      <c r="AH114" s="532"/>
      <c r="AI114" s="532"/>
      <c r="AJ114" s="532"/>
      <c r="AK114" s="532"/>
      <c r="AL114" s="532"/>
    </row>
    <row r="115" spans="2:38" x14ac:dyDescent="0.2">
      <c r="B115" s="39"/>
      <c r="C115" s="39"/>
      <c r="D115" s="39"/>
      <c r="E115" s="39"/>
      <c r="F115" s="39"/>
      <c r="G115" s="39"/>
      <c r="H115" s="39"/>
      <c r="L115" s="31"/>
      <c r="AH115" s="532"/>
      <c r="AI115" s="532"/>
      <c r="AJ115" s="532"/>
      <c r="AK115" s="532"/>
      <c r="AL115" s="532"/>
    </row>
    <row r="116" spans="2:38" x14ac:dyDescent="0.2">
      <c r="B116" s="39"/>
      <c r="C116" s="39"/>
      <c r="D116" s="39"/>
      <c r="E116" s="39"/>
      <c r="F116" s="39"/>
      <c r="G116" s="39"/>
      <c r="H116" s="39"/>
      <c r="L116" s="31"/>
      <c r="AH116" s="532"/>
      <c r="AI116" s="532"/>
      <c r="AJ116" s="532"/>
      <c r="AK116" s="532"/>
      <c r="AL116" s="532"/>
    </row>
    <row r="117" spans="2:38" x14ac:dyDescent="0.2">
      <c r="B117" s="39"/>
      <c r="C117" s="39"/>
      <c r="D117" s="39"/>
      <c r="E117" s="39"/>
      <c r="F117" s="39"/>
      <c r="G117" s="39"/>
      <c r="H117" s="39"/>
      <c r="L117" s="31"/>
      <c r="AH117" s="532"/>
      <c r="AI117" s="532"/>
      <c r="AJ117" s="532"/>
      <c r="AK117" s="532"/>
      <c r="AL117" s="532"/>
    </row>
    <row r="118" spans="2:38" x14ac:dyDescent="0.2">
      <c r="B118" s="39"/>
      <c r="C118" s="39"/>
      <c r="D118" s="39"/>
      <c r="E118" s="39"/>
      <c r="F118" s="39"/>
      <c r="G118" s="39"/>
      <c r="H118" s="39"/>
      <c r="L118" s="31"/>
      <c r="AH118" s="532"/>
      <c r="AI118" s="532"/>
      <c r="AJ118" s="532"/>
      <c r="AK118" s="532"/>
      <c r="AL118" s="532"/>
    </row>
    <row r="119" spans="2:38" x14ac:dyDescent="0.2">
      <c r="B119" s="39"/>
      <c r="C119" s="39"/>
      <c r="D119" s="39"/>
      <c r="E119" s="39"/>
      <c r="F119" s="39"/>
      <c r="G119" s="39"/>
      <c r="H119" s="39"/>
      <c r="L119" s="31"/>
      <c r="AH119" s="532"/>
      <c r="AI119" s="532"/>
      <c r="AJ119" s="532"/>
      <c r="AK119" s="532"/>
      <c r="AL119" s="532"/>
    </row>
    <row r="120" spans="2:38" x14ac:dyDescent="0.2">
      <c r="B120" s="39"/>
      <c r="C120" s="39"/>
      <c r="D120" s="39"/>
      <c r="E120" s="39"/>
      <c r="F120" s="39"/>
      <c r="G120" s="39"/>
      <c r="H120" s="39"/>
      <c r="L120" s="31"/>
      <c r="AH120" s="532"/>
      <c r="AI120" s="532"/>
      <c r="AJ120" s="532"/>
      <c r="AK120" s="532"/>
      <c r="AL120" s="532"/>
    </row>
    <row r="121" spans="2:38" x14ac:dyDescent="0.2">
      <c r="B121" s="39"/>
      <c r="C121" s="39"/>
      <c r="D121" s="39"/>
      <c r="E121" s="39"/>
      <c r="F121" s="39"/>
      <c r="G121" s="39"/>
      <c r="H121" s="39"/>
      <c r="L121" s="31"/>
      <c r="AH121" s="532"/>
      <c r="AI121" s="532"/>
      <c r="AJ121" s="532"/>
      <c r="AK121" s="532"/>
      <c r="AL121" s="532"/>
    </row>
    <row r="122" spans="2:38" x14ac:dyDescent="0.2">
      <c r="B122" s="39"/>
      <c r="C122" s="39"/>
      <c r="D122" s="39"/>
      <c r="E122" s="39"/>
      <c r="F122" s="39"/>
      <c r="G122" s="39"/>
      <c r="H122" s="39"/>
      <c r="L122" s="31"/>
      <c r="AH122" s="532"/>
      <c r="AI122" s="532"/>
      <c r="AJ122" s="532"/>
      <c r="AK122" s="532"/>
      <c r="AL122" s="532"/>
    </row>
    <row r="123" spans="2:38" x14ac:dyDescent="0.2">
      <c r="B123" s="39"/>
      <c r="C123" s="39"/>
      <c r="D123" s="39"/>
      <c r="E123" s="39"/>
      <c r="F123" s="39"/>
      <c r="G123" s="39"/>
      <c r="H123" s="39"/>
      <c r="L123" s="31"/>
      <c r="AH123" s="532"/>
      <c r="AI123" s="532"/>
      <c r="AJ123" s="532"/>
      <c r="AK123" s="532"/>
      <c r="AL123" s="532"/>
    </row>
    <row r="124" spans="2:38" x14ac:dyDescent="0.2">
      <c r="B124" s="39"/>
      <c r="C124" s="39"/>
      <c r="D124" s="39"/>
      <c r="E124" s="39"/>
      <c r="F124" s="39"/>
      <c r="G124" s="39"/>
      <c r="H124" s="39"/>
      <c r="L124" s="31"/>
      <c r="AH124" s="532"/>
      <c r="AI124" s="532"/>
      <c r="AJ124" s="532"/>
      <c r="AK124" s="532"/>
      <c r="AL124" s="532"/>
    </row>
    <row r="125" spans="2:38" x14ac:dyDescent="0.2">
      <c r="B125" s="39"/>
      <c r="C125" s="39"/>
      <c r="D125" s="39"/>
      <c r="E125" s="39"/>
      <c r="F125" s="39"/>
      <c r="G125" s="39"/>
      <c r="H125" s="39"/>
      <c r="L125" s="31"/>
      <c r="AH125" s="532"/>
      <c r="AI125" s="532"/>
      <c r="AJ125" s="532"/>
      <c r="AK125" s="532"/>
      <c r="AL125" s="532"/>
    </row>
    <row r="126" spans="2:38" x14ac:dyDescent="0.2">
      <c r="B126" s="39"/>
      <c r="C126" s="39"/>
      <c r="D126" s="39"/>
      <c r="E126" s="39"/>
      <c r="F126" s="39"/>
      <c r="G126" s="39"/>
      <c r="H126" s="39"/>
      <c r="L126" s="31"/>
      <c r="AH126" s="532"/>
      <c r="AI126" s="532"/>
      <c r="AJ126" s="532"/>
      <c r="AK126" s="532"/>
      <c r="AL126" s="532"/>
    </row>
    <row r="127" spans="2:38" x14ac:dyDescent="0.2">
      <c r="B127" s="39"/>
      <c r="C127" s="39"/>
      <c r="D127" s="39"/>
      <c r="E127" s="39"/>
      <c r="F127" s="39"/>
      <c r="G127" s="39"/>
      <c r="H127" s="39"/>
      <c r="L127" s="31"/>
      <c r="AH127" s="532"/>
      <c r="AI127" s="532"/>
      <c r="AJ127" s="532"/>
      <c r="AK127" s="532"/>
      <c r="AL127" s="532"/>
    </row>
    <row r="128" spans="2:38" x14ac:dyDescent="0.2">
      <c r="B128" s="39"/>
      <c r="C128" s="39"/>
      <c r="D128" s="39"/>
      <c r="E128" s="39"/>
      <c r="F128" s="39"/>
      <c r="G128" s="39"/>
      <c r="H128" s="39"/>
      <c r="L128" s="31"/>
      <c r="AH128" s="532"/>
      <c r="AI128" s="532"/>
      <c r="AJ128" s="532"/>
      <c r="AK128" s="532"/>
      <c r="AL128" s="532"/>
    </row>
    <row r="129" spans="2:38" x14ac:dyDescent="0.2">
      <c r="B129" s="39"/>
      <c r="C129" s="39"/>
      <c r="D129" s="39"/>
      <c r="E129" s="39"/>
      <c r="F129" s="39"/>
      <c r="G129" s="39"/>
      <c r="H129" s="39"/>
      <c r="L129" s="31"/>
      <c r="AH129" s="532"/>
      <c r="AI129" s="532"/>
      <c r="AJ129" s="532"/>
      <c r="AK129" s="532"/>
      <c r="AL129" s="532"/>
    </row>
    <row r="130" spans="2:38" x14ac:dyDescent="0.2">
      <c r="B130" s="39"/>
      <c r="C130" s="39"/>
      <c r="D130" s="39"/>
      <c r="E130" s="39"/>
      <c r="F130" s="39"/>
      <c r="G130" s="39"/>
      <c r="H130" s="39"/>
      <c r="L130" s="31"/>
      <c r="AH130" s="532"/>
      <c r="AI130" s="532"/>
      <c r="AJ130" s="532"/>
      <c r="AK130" s="532"/>
      <c r="AL130" s="532"/>
    </row>
    <row r="131" spans="2:38" x14ac:dyDescent="0.2">
      <c r="B131" s="39"/>
      <c r="C131" s="39"/>
      <c r="D131" s="39"/>
      <c r="E131" s="39"/>
      <c r="F131" s="39"/>
      <c r="G131" s="39"/>
      <c r="H131" s="39"/>
      <c r="L131" s="31"/>
      <c r="AA131" s="532"/>
      <c r="AB131" s="532"/>
      <c r="AC131" s="532"/>
      <c r="AD131" s="532"/>
      <c r="AE131" s="532"/>
      <c r="AF131" s="532"/>
      <c r="AG131" s="532"/>
      <c r="AH131" s="532"/>
      <c r="AI131" s="532"/>
      <c r="AJ131" s="532"/>
      <c r="AK131" s="532"/>
      <c r="AL131" s="532"/>
    </row>
    <row r="132" spans="2:38" x14ac:dyDescent="0.2">
      <c r="B132" s="39"/>
      <c r="C132" s="39"/>
      <c r="D132" s="39"/>
      <c r="E132" s="39"/>
      <c r="F132" s="39"/>
      <c r="G132" s="39"/>
      <c r="H132" s="39"/>
      <c r="L132" s="31"/>
      <c r="Y132" s="478" t="s">
        <v>520</v>
      </c>
      <c r="AA132" s="533" t="e">
        <f>#REF!</f>
        <v>#REF!</v>
      </c>
      <c r="AB132" s="533"/>
      <c r="AC132" s="533" t="e">
        <f>#REF!</f>
        <v>#REF!</v>
      </c>
      <c r="AD132" s="533"/>
      <c r="AE132" s="533"/>
      <c r="AF132" s="533"/>
      <c r="AG132" s="533"/>
      <c r="AH132" s="476"/>
      <c r="AI132" s="476"/>
      <c r="AJ132" s="476"/>
      <c r="AK132" s="476"/>
    </row>
    <row r="133" spans="2:38" x14ac:dyDescent="0.2">
      <c r="B133" s="39"/>
      <c r="C133" s="39"/>
      <c r="D133" s="39"/>
      <c r="E133" s="39"/>
      <c r="F133" s="39"/>
      <c r="G133" s="39"/>
      <c r="H133" s="39"/>
      <c r="L133" s="31"/>
      <c r="Y133" s="478" t="s">
        <v>521</v>
      </c>
      <c r="AA133" s="533" t="e">
        <f>#REF!</f>
        <v>#REF!</v>
      </c>
      <c r="AB133" s="533"/>
      <c r="AC133" s="533" t="e">
        <f>#REF!</f>
        <v>#REF!</v>
      </c>
      <c r="AD133" s="533"/>
      <c r="AE133" s="533"/>
      <c r="AF133" s="533"/>
      <c r="AG133" s="533"/>
      <c r="AH133" s="476"/>
      <c r="AI133" s="476"/>
      <c r="AJ133" s="476"/>
      <c r="AK133" s="476"/>
    </row>
    <row r="134" spans="2:38" x14ac:dyDescent="0.2">
      <c r="B134" s="39"/>
      <c r="C134" s="39"/>
      <c r="D134" s="39"/>
      <c r="E134" s="39"/>
      <c r="F134" s="39"/>
      <c r="G134" s="39"/>
      <c r="H134" s="39"/>
      <c r="L134" s="31"/>
      <c r="AA134" s="533"/>
      <c r="AB134" s="533"/>
      <c r="AC134" s="533"/>
    </row>
    <row r="135" spans="2:38" x14ac:dyDescent="0.2">
      <c r="B135" s="39"/>
      <c r="C135" s="39"/>
      <c r="D135" s="39"/>
      <c r="E135" s="39"/>
      <c r="F135" s="39"/>
      <c r="G135" s="39"/>
      <c r="H135" s="39"/>
      <c r="L135" s="31"/>
      <c r="Y135" s="478" t="s">
        <v>522</v>
      </c>
      <c r="AA135" s="533" t="e">
        <f>#REF!</f>
        <v>#REF!</v>
      </c>
      <c r="AB135" s="533"/>
      <c r="AC135" s="533" t="e">
        <f>#REF!</f>
        <v>#REF!</v>
      </c>
    </row>
    <row r="136" spans="2:38" x14ac:dyDescent="0.2">
      <c r="B136" s="39"/>
      <c r="C136" s="39"/>
      <c r="D136" s="39"/>
      <c r="E136" s="39"/>
      <c r="F136" s="39"/>
      <c r="G136" s="39"/>
      <c r="H136" s="39"/>
      <c r="L136" s="31"/>
      <c r="Y136" s="478" t="s">
        <v>523</v>
      </c>
      <c r="AA136" s="533" t="e">
        <f>#REF!</f>
        <v>#REF!</v>
      </c>
      <c r="AB136" s="533"/>
      <c r="AC136" s="533" t="e">
        <f>#REF!</f>
        <v>#REF!</v>
      </c>
    </row>
    <row r="137" spans="2:38" x14ac:dyDescent="0.2">
      <c r="B137" s="39"/>
      <c r="C137" s="39"/>
      <c r="D137" s="39"/>
      <c r="E137" s="39"/>
      <c r="F137" s="39"/>
      <c r="G137" s="39"/>
      <c r="H137" s="39"/>
      <c r="L137" s="31"/>
      <c r="AA137" s="533"/>
      <c r="AB137" s="533"/>
      <c r="AC137" s="533"/>
    </row>
    <row r="138" spans="2:38" x14ac:dyDescent="0.2">
      <c r="B138" s="39"/>
      <c r="C138" s="39"/>
      <c r="D138" s="39"/>
      <c r="E138" s="39"/>
      <c r="F138" s="39"/>
      <c r="G138" s="39"/>
      <c r="H138" s="39"/>
      <c r="L138" s="31"/>
      <c r="Y138" s="478" t="s">
        <v>524</v>
      </c>
      <c r="AA138" s="533" t="e">
        <f>#REF!</f>
        <v>#REF!</v>
      </c>
      <c r="AB138" s="533"/>
      <c r="AC138" s="533" t="e">
        <f>#REF!</f>
        <v>#REF!</v>
      </c>
    </row>
    <row r="139" spans="2:38" x14ac:dyDescent="0.2">
      <c r="B139" s="39"/>
      <c r="C139" s="39"/>
      <c r="D139" s="39"/>
      <c r="E139" s="39"/>
      <c r="F139" s="39"/>
      <c r="G139" s="39"/>
      <c r="H139" s="39"/>
      <c r="L139" s="31"/>
      <c r="Y139" s="478" t="s">
        <v>525</v>
      </c>
      <c r="AA139" s="533" t="e">
        <f>#REF!</f>
        <v>#REF!</v>
      </c>
      <c r="AB139" s="533"/>
      <c r="AC139" s="533" t="e">
        <f>#REF!</f>
        <v>#REF!</v>
      </c>
    </row>
    <row r="140" spans="2:38" x14ac:dyDescent="0.2">
      <c r="B140" s="39"/>
      <c r="C140" s="39"/>
      <c r="D140" s="39"/>
      <c r="E140" s="39"/>
      <c r="F140" s="39"/>
      <c r="G140" s="39"/>
      <c r="H140" s="39"/>
      <c r="L140" s="31"/>
    </row>
    <row r="141" spans="2:38" x14ac:dyDescent="0.2">
      <c r="B141" s="39"/>
      <c r="C141" s="39"/>
      <c r="D141" s="39"/>
      <c r="E141" s="39"/>
      <c r="F141" s="39"/>
      <c r="G141" s="39"/>
      <c r="H141" s="39"/>
      <c r="L141" s="31"/>
    </row>
    <row r="142" spans="2:38" x14ac:dyDescent="0.2">
      <c r="B142" s="39"/>
      <c r="C142" s="39"/>
      <c r="D142" s="39"/>
      <c r="E142" s="39"/>
      <c r="F142" s="39"/>
      <c r="G142" s="39"/>
      <c r="H142" s="39"/>
      <c r="L142" s="31"/>
    </row>
    <row r="143" spans="2:38" x14ac:dyDescent="0.2">
      <c r="B143" s="39"/>
      <c r="C143" s="39"/>
      <c r="D143" s="39"/>
      <c r="E143" s="39"/>
      <c r="F143" s="39"/>
      <c r="G143" s="39"/>
      <c r="H143" s="39"/>
      <c r="L143" s="31"/>
    </row>
    <row r="144" spans="2:38" x14ac:dyDescent="0.2">
      <c r="B144" s="39"/>
      <c r="C144" s="39"/>
      <c r="D144" s="39"/>
      <c r="E144" s="39"/>
      <c r="F144" s="39"/>
      <c r="G144" s="39"/>
      <c r="H144" s="39"/>
      <c r="L144" s="31"/>
    </row>
    <row r="145" spans="2:12" x14ac:dyDescent="0.2">
      <c r="B145" s="39"/>
      <c r="C145" s="39"/>
      <c r="D145" s="39"/>
      <c r="E145" s="39"/>
      <c r="F145" s="39"/>
      <c r="G145" s="39"/>
      <c r="H145" s="39"/>
      <c r="L145" s="31"/>
    </row>
    <row r="146" spans="2:12" x14ac:dyDescent="0.2">
      <c r="B146" s="39"/>
      <c r="C146" s="39"/>
      <c r="D146" s="39"/>
      <c r="E146" s="39"/>
      <c r="F146" s="39"/>
      <c r="G146" s="39"/>
      <c r="H146" s="39"/>
      <c r="L146" s="31"/>
    </row>
    <row r="147" spans="2:12" x14ac:dyDescent="0.2">
      <c r="B147" s="39"/>
      <c r="C147" s="39"/>
      <c r="D147" s="39"/>
      <c r="E147" s="39"/>
      <c r="F147" s="39"/>
      <c r="G147" s="39"/>
      <c r="H147" s="39"/>
      <c r="L147" s="31"/>
    </row>
    <row r="148" spans="2:12" x14ac:dyDescent="0.2">
      <c r="B148" s="39"/>
      <c r="C148" s="39"/>
      <c r="D148" s="39"/>
      <c r="E148" s="39"/>
      <c r="F148" s="39"/>
      <c r="G148" s="39"/>
      <c r="H148" s="39"/>
      <c r="L148" s="31"/>
    </row>
    <row r="149" spans="2:12" x14ac:dyDescent="0.2">
      <c r="B149" s="39"/>
      <c r="C149" s="39"/>
      <c r="D149" s="39"/>
      <c r="E149" s="39"/>
      <c r="F149" s="39"/>
      <c r="G149" s="39"/>
      <c r="H149" s="39"/>
      <c r="L149" s="31"/>
    </row>
    <row r="150" spans="2:12" x14ac:dyDescent="0.2">
      <c r="B150" s="39"/>
      <c r="C150" s="39"/>
      <c r="D150" s="39"/>
      <c r="E150" s="39"/>
      <c r="F150" s="39"/>
      <c r="G150" s="39"/>
      <c r="H150" s="39"/>
      <c r="L150" s="31"/>
    </row>
    <row r="151" spans="2:12" x14ac:dyDescent="0.2">
      <c r="B151" s="39"/>
      <c r="C151" s="39"/>
      <c r="D151" s="39"/>
      <c r="E151" s="39"/>
      <c r="F151" s="39"/>
      <c r="G151" s="39"/>
      <c r="H151" s="39"/>
      <c r="L151" s="31"/>
    </row>
    <row r="152" spans="2:12" x14ac:dyDescent="0.2">
      <c r="B152" s="39"/>
      <c r="C152" s="39"/>
      <c r="D152" s="39"/>
      <c r="E152" s="39"/>
      <c r="F152" s="39"/>
      <c r="G152" s="39"/>
      <c r="H152" s="39"/>
      <c r="L152" s="31"/>
    </row>
    <row r="153" spans="2:12" x14ac:dyDescent="0.2">
      <c r="B153" s="39"/>
      <c r="C153" s="39"/>
      <c r="D153" s="39"/>
      <c r="E153" s="39"/>
      <c r="F153" s="39"/>
      <c r="G153" s="39"/>
      <c r="H153" s="39"/>
      <c r="L153" s="31"/>
    </row>
    <row r="154" spans="2:12" x14ac:dyDescent="0.2">
      <c r="B154" s="39"/>
      <c r="C154" s="39"/>
      <c r="D154" s="39"/>
      <c r="E154" s="39"/>
      <c r="F154" s="39"/>
      <c r="G154" s="39"/>
      <c r="H154" s="39"/>
      <c r="L154" s="31"/>
    </row>
    <row r="155" spans="2:12" x14ac:dyDescent="0.2">
      <c r="B155" s="39"/>
      <c r="C155" s="39"/>
      <c r="D155" s="39"/>
      <c r="E155" s="39"/>
      <c r="F155" s="39"/>
      <c r="G155" s="39"/>
      <c r="H155" s="39"/>
      <c r="L155" s="31"/>
    </row>
    <row r="156" spans="2:12" x14ac:dyDescent="0.2">
      <c r="B156" s="39"/>
      <c r="C156" s="39"/>
      <c r="D156" s="39"/>
      <c r="E156" s="39"/>
      <c r="F156" s="39"/>
      <c r="G156" s="39"/>
      <c r="H156" s="39"/>
      <c r="L156" s="31"/>
    </row>
    <row r="157" spans="2:12" x14ac:dyDescent="0.2">
      <c r="B157" s="39"/>
      <c r="C157" s="39"/>
      <c r="D157" s="39"/>
      <c r="E157" s="39"/>
      <c r="F157" s="39"/>
      <c r="G157" s="39"/>
      <c r="H157" s="39"/>
      <c r="L157" s="31"/>
    </row>
    <row r="158" spans="2:12" x14ac:dyDescent="0.2">
      <c r="B158" s="39"/>
      <c r="C158" s="39"/>
      <c r="D158" s="39"/>
      <c r="E158" s="39"/>
      <c r="F158" s="39"/>
      <c r="G158" s="39"/>
      <c r="H158" s="39"/>
      <c r="L158" s="31"/>
    </row>
    <row r="159" spans="2:12" x14ac:dyDescent="0.2">
      <c r="B159" s="39"/>
      <c r="C159" s="39"/>
      <c r="D159" s="39"/>
      <c r="E159" s="39"/>
      <c r="F159" s="39"/>
      <c r="G159" s="39"/>
      <c r="H159" s="39"/>
      <c r="L159" s="31"/>
    </row>
    <row r="160" spans="2:12" x14ac:dyDescent="0.2">
      <c r="B160" s="39"/>
      <c r="C160" s="39"/>
      <c r="D160" s="39"/>
      <c r="E160" s="39"/>
      <c r="F160" s="39"/>
      <c r="G160" s="39"/>
      <c r="H160" s="39"/>
      <c r="L160" s="31"/>
    </row>
    <row r="161" spans="2:12" x14ac:dyDescent="0.2">
      <c r="B161" s="39"/>
      <c r="C161" s="39"/>
      <c r="D161" s="39"/>
      <c r="E161" s="39"/>
      <c r="F161" s="39"/>
      <c r="G161" s="39"/>
      <c r="H161" s="39"/>
      <c r="L161" s="31"/>
    </row>
    <row r="162" spans="2:12" x14ac:dyDescent="0.2">
      <c r="B162" s="39"/>
      <c r="C162" s="39"/>
      <c r="D162" s="39"/>
      <c r="E162" s="39"/>
      <c r="F162" s="39"/>
      <c r="G162" s="39"/>
      <c r="H162" s="39"/>
      <c r="L162" s="31"/>
    </row>
    <row r="163" spans="2:12" x14ac:dyDescent="0.2">
      <c r="B163" s="39"/>
      <c r="C163" s="39"/>
      <c r="D163" s="39"/>
      <c r="E163" s="39"/>
      <c r="F163" s="39"/>
      <c r="G163" s="39"/>
      <c r="H163" s="39"/>
      <c r="L163" s="31"/>
    </row>
    <row r="164" spans="2:12" x14ac:dyDescent="0.2">
      <c r="B164" s="39"/>
      <c r="C164" s="39"/>
      <c r="D164" s="39"/>
      <c r="E164" s="39"/>
      <c r="F164" s="39"/>
      <c r="G164" s="39"/>
      <c r="H164" s="39"/>
      <c r="L164" s="31"/>
    </row>
    <row r="165" spans="2:12" x14ac:dyDescent="0.2">
      <c r="B165" s="39"/>
      <c r="C165" s="39"/>
      <c r="D165" s="39"/>
      <c r="E165" s="39"/>
      <c r="F165" s="39"/>
      <c r="G165" s="39"/>
      <c r="H165" s="39"/>
      <c r="L165" s="31"/>
    </row>
    <row r="166" spans="2:12" x14ac:dyDescent="0.2">
      <c r="B166" s="39"/>
      <c r="C166" s="39"/>
      <c r="D166" s="39"/>
      <c r="E166" s="39"/>
      <c r="F166" s="39"/>
      <c r="G166" s="39"/>
      <c r="H166" s="39"/>
      <c r="L166" s="31"/>
    </row>
    <row r="167" spans="2:12" x14ac:dyDescent="0.2">
      <c r="B167" s="39"/>
      <c r="C167" s="39"/>
      <c r="D167" s="39"/>
      <c r="E167" s="39"/>
      <c r="F167" s="39"/>
      <c r="G167" s="39"/>
      <c r="H167" s="39"/>
      <c r="L167" s="31"/>
    </row>
    <row r="168" spans="2:12" x14ac:dyDescent="0.2">
      <c r="B168" s="39"/>
      <c r="C168" s="39"/>
      <c r="D168" s="39"/>
      <c r="E168" s="39"/>
      <c r="F168" s="39"/>
      <c r="G168" s="39"/>
      <c r="H168" s="39"/>
      <c r="L168" s="31"/>
    </row>
    <row r="169" spans="2:12" x14ac:dyDescent="0.2">
      <c r="B169" s="39"/>
      <c r="C169" s="39"/>
      <c r="D169" s="39"/>
      <c r="E169" s="39"/>
      <c r="F169" s="39"/>
      <c r="G169" s="39"/>
      <c r="H169" s="39"/>
      <c r="L169" s="31"/>
    </row>
    <row r="170" spans="2:12" x14ac:dyDescent="0.2">
      <c r="B170" s="39"/>
      <c r="C170" s="39"/>
      <c r="D170" s="39"/>
      <c r="E170" s="39"/>
      <c r="F170" s="39"/>
      <c r="G170" s="39"/>
      <c r="H170" s="39"/>
      <c r="L170" s="31"/>
    </row>
    <row r="171" spans="2:12" x14ac:dyDescent="0.2">
      <c r="B171" s="39"/>
      <c r="C171" s="39"/>
      <c r="D171" s="39"/>
      <c r="E171" s="39"/>
      <c r="F171" s="39"/>
      <c r="G171" s="39"/>
      <c r="H171" s="39"/>
      <c r="L171" s="31"/>
    </row>
    <row r="172" spans="2:12" x14ac:dyDescent="0.2">
      <c r="B172" s="39"/>
      <c r="C172" s="39"/>
      <c r="D172" s="39"/>
      <c r="E172" s="39"/>
      <c r="F172" s="39"/>
      <c r="G172" s="39"/>
      <c r="H172" s="39"/>
      <c r="L172" s="31"/>
    </row>
    <row r="173" spans="2:12" x14ac:dyDescent="0.2">
      <c r="B173" s="39"/>
      <c r="C173" s="39"/>
      <c r="D173" s="39"/>
      <c r="E173" s="39"/>
      <c r="F173" s="39"/>
      <c r="G173" s="39"/>
      <c r="H173" s="39"/>
      <c r="L173" s="31"/>
    </row>
    <row r="174" spans="2:12" x14ac:dyDescent="0.2">
      <c r="B174" s="39"/>
      <c r="C174" s="39"/>
      <c r="D174" s="39"/>
      <c r="E174" s="39"/>
      <c r="F174" s="39"/>
      <c r="G174" s="39"/>
      <c r="H174" s="39"/>
      <c r="L174" s="31"/>
    </row>
    <row r="175" spans="2:12" x14ac:dyDescent="0.2">
      <c r="B175" s="39"/>
      <c r="C175" s="39"/>
      <c r="D175" s="39"/>
      <c r="E175" s="39"/>
      <c r="F175" s="39"/>
      <c r="G175" s="39"/>
      <c r="H175" s="39"/>
      <c r="L175" s="31"/>
    </row>
    <row r="176" spans="2:12" x14ac:dyDescent="0.2">
      <c r="B176" s="39"/>
      <c r="C176" s="39"/>
      <c r="D176" s="39"/>
      <c r="E176" s="39"/>
      <c r="F176" s="39"/>
      <c r="G176" s="39"/>
      <c r="H176" s="39"/>
      <c r="L176" s="31"/>
    </row>
    <row r="177" spans="2:12" x14ac:dyDescent="0.2">
      <c r="B177" s="39"/>
      <c r="C177" s="39"/>
      <c r="D177" s="39"/>
      <c r="E177" s="39"/>
      <c r="F177" s="39"/>
      <c r="G177" s="39"/>
      <c r="H177" s="39"/>
      <c r="L177" s="31"/>
    </row>
    <row r="178" spans="2:12" x14ac:dyDescent="0.2">
      <c r="B178" s="39"/>
      <c r="C178" s="39"/>
      <c r="D178" s="39"/>
      <c r="E178" s="39"/>
      <c r="F178" s="39"/>
      <c r="G178" s="39"/>
      <c r="H178" s="39"/>
      <c r="L178" s="31"/>
    </row>
    <row r="179" spans="2:12" x14ac:dyDescent="0.2">
      <c r="B179" s="39"/>
      <c r="C179" s="39"/>
      <c r="D179" s="39"/>
      <c r="E179" s="39"/>
      <c r="F179" s="39"/>
      <c r="G179" s="39"/>
      <c r="H179" s="39"/>
      <c r="L179" s="31"/>
    </row>
    <row r="180" spans="2:12" x14ac:dyDescent="0.2">
      <c r="B180" s="39"/>
      <c r="C180" s="39"/>
      <c r="D180" s="39"/>
      <c r="E180" s="39"/>
      <c r="F180" s="39"/>
      <c r="G180" s="39"/>
      <c r="H180" s="39"/>
      <c r="L180" s="31"/>
    </row>
    <row r="181" spans="2:12" x14ac:dyDescent="0.2">
      <c r="B181" s="39"/>
      <c r="C181" s="39"/>
      <c r="D181" s="39"/>
      <c r="E181" s="39"/>
      <c r="F181" s="39"/>
      <c r="G181" s="39"/>
      <c r="H181" s="39"/>
      <c r="L181" s="31"/>
    </row>
    <row r="182" spans="2:12" x14ac:dyDescent="0.2">
      <c r="B182" s="39"/>
      <c r="C182" s="39"/>
      <c r="D182" s="39"/>
      <c r="E182" s="39"/>
      <c r="F182" s="39"/>
      <c r="G182" s="39"/>
      <c r="H182" s="39"/>
      <c r="L182" s="31"/>
    </row>
    <row r="183" spans="2:12" x14ac:dyDescent="0.2">
      <c r="B183" s="39"/>
      <c r="C183" s="39"/>
      <c r="D183" s="39"/>
      <c r="E183" s="39"/>
      <c r="F183" s="39"/>
      <c r="G183" s="39"/>
      <c r="H183" s="39"/>
      <c r="L183" s="31"/>
    </row>
    <row r="184" spans="2:12" x14ac:dyDescent="0.2">
      <c r="B184" s="39"/>
      <c r="C184" s="39"/>
      <c r="D184" s="39"/>
      <c r="E184" s="39"/>
      <c r="F184" s="39"/>
      <c r="G184" s="39"/>
      <c r="H184" s="39"/>
      <c r="L184" s="31"/>
    </row>
    <row r="185" spans="2:12" x14ac:dyDescent="0.2">
      <c r="B185" s="39"/>
      <c r="C185" s="39"/>
      <c r="D185" s="39"/>
      <c r="E185" s="39"/>
      <c r="F185" s="39"/>
      <c r="G185" s="39"/>
      <c r="H185" s="39"/>
      <c r="L185" s="31"/>
    </row>
    <row r="186" spans="2:12" x14ac:dyDescent="0.2">
      <c r="B186" s="39"/>
      <c r="C186" s="39"/>
      <c r="D186" s="39"/>
      <c r="E186" s="39"/>
      <c r="F186" s="39"/>
      <c r="G186" s="39"/>
      <c r="H186" s="39"/>
      <c r="L186" s="31"/>
    </row>
    <row r="187" spans="2:12" x14ac:dyDescent="0.2">
      <c r="B187" s="39"/>
      <c r="C187" s="39"/>
      <c r="D187" s="39"/>
      <c r="E187" s="39"/>
      <c r="F187" s="39"/>
      <c r="G187" s="39"/>
      <c r="H187" s="39"/>
      <c r="L187" s="31"/>
    </row>
    <row r="188" spans="2:12" x14ac:dyDescent="0.2">
      <c r="B188" s="39"/>
      <c r="C188" s="39"/>
      <c r="D188" s="39"/>
      <c r="E188" s="39"/>
      <c r="F188" s="39"/>
      <c r="G188" s="39"/>
      <c r="H188" s="39"/>
      <c r="L188" s="31"/>
    </row>
    <row r="189" spans="2:12" x14ac:dyDescent="0.2">
      <c r="B189" s="39"/>
      <c r="C189" s="39"/>
      <c r="D189" s="39"/>
      <c r="E189" s="39"/>
      <c r="F189" s="39"/>
      <c r="G189" s="39"/>
      <c r="H189" s="39"/>
      <c r="L189" s="31"/>
    </row>
    <row r="190" spans="2:12" x14ac:dyDescent="0.2">
      <c r="B190" s="39"/>
      <c r="C190" s="39"/>
      <c r="D190" s="39"/>
      <c r="E190" s="39"/>
      <c r="F190" s="39"/>
      <c r="G190" s="39"/>
      <c r="H190" s="39"/>
      <c r="L190" s="31"/>
    </row>
    <row r="191" spans="2:12" x14ac:dyDescent="0.2">
      <c r="B191" s="39"/>
      <c r="C191" s="39"/>
      <c r="D191" s="39"/>
      <c r="E191" s="39"/>
      <c r="F191" s="39"/>
      <c r="G191" s="39"/>
      <c r="H191" s="39"/>
      <c r="L191" s="31"/>
    </row>
    <row r="192" spans="2:12" x14ac:dyDescent="0.2">
      <c r="B192" s="39"/>
      <c r="C192" s="39"/>
      <c r="D192" s="39"/>
      <c r="E192" s="39"/>
      <c r="F192" s="39"/>
      <c r="G192" s="39"/>
      <c r="H192" s="39"/>
      <c r="L192" s="31"/>
    </row>
    <row r="193" spans="2:12" x14ac:dyDescent="0.2">
      <c r="B193" s="39"/>
      <c r="C193" s="39"/>
      <c r="D193" s="39"/>
      <c r="E193" s="39"/>
      <c r="F193" s="39"/>
      <c r="G193" s="39"/>
      <c r="H193" s="39"/>
      <c r="L193" s="31"/>
    </row>
    <row r="194" spans="2:12" x14ac:dyDescent="0.2">
      <c r="B194" s="39"/>
      <c r="C194" s="39"/>
      <c r="D194" s="39"/>
      <c r="E194" s="39"/>
      <c r="F194" s="39"/>
      <c r="G194" s="39"/>
      <c r="H194" s="39"/>
      <c r="L194" s="31"/>
    </row>
    <row r="195" spans="2:12" x14ac:dyDescent="0.2">
      <c r="B195" s="39"/>
      <c r="C195" s="39"/>
      <c r="D195" s="39"/>
      <c r="E195" s="39"/>
      <c r="F195" s="39"/>
      <c r="G195" s="39"/>
      <c r="H195" s="39"/>
      <c r="L195" s="31"/>
    </row>
    <row r="196" spans="2:12" x14ac:dyDescent="0.2">
      <c r="B196" s="39"/>
      <c r="C196" s="39"/>
      <c r="D196" s="39"/>
      <c r="E196" s="39"/>
      <c r="F196" s="39"/>
      <c r="G196" s="39"/>
      <c r="H196" s="39"/>
      <c r="L196" s="31"/>
    </row>
    <row r="197" spans="2:12" x14ac:dyDescent="0.2">
      <c r="B197" s="39"/>
      <c r="C197" s="39"/>
      <c r="D197" s="39"/>
      <c r="E197" s="39"/>
      <c r="F197" s="39"/>
      <c r="G197" s="39"/>
      <c r="H197" s="39"/>
      <c r="L197" s="31"/>
    </row>
    <row r="198" spans="2:12" x14ac:dyDescent="0.2">
      <c r="B198" s="39"/>
      <c r="C198" s="39"/>
      <c r="D198" s="39"/>
      <c r="E198" s="39"/>
      <c r="F198" s="39"/>
      <c r="G198" s="39"/>
      <c r="H198" s="39"/>
      <c r="L198" s="31"/>
    </row>
    <row r="199" spans="2:12" x14ac:dyDescent="0.2">
      <c r="B199" s="39"/>
      <c r="C199" s="39"/>
      <c r="D199" s="39"/>
      <c r="E199" s="39"/>
      <c r="F199" s="39"/>
      <c r="G199" s="39"/>
      <c r="H199" s="39"/>
      <c r="L199" s="31"/>
    </row>
    <row r="200" spans="2:12" x14ac:dyDescent="0.2">
      <c r="B200" s="39"/>
      <c r="C200" s="39"/>
      <c r="D200" s="39"/>
      <c r="E200" s="39"/>
      <c r="F200" s="39"/>
      <c r="G200" s="39"/>
      <c r="H200" s="39"/>
      <c r="L200" s="31"/>
    </row>
    <row r="201" spans="2:12" x14ac:dyDescent="0.2">
      <c r="B201" s="39"/>
      <c r="C201" s="39"/>
      <c r="D201" s="39"/>
      <c r="E201" s="39"/>
      <c r="F201" s="39"/>
      <c r="G201" s="39"/>
      <c r="H201" s="39"/>
      <c r="L201" s="31"/>
    </row>
    <row r="202" spans="2:12" x14ac:dyDescent="0.2">
      <c r="B202" s="39"/>
      <c r="C202" s="39"/>
      <c r="D202" s="39"/>
      <c r="E202" s="39"/>
      <c r="F202" s="39"/>
      <c r="G202" s="39"/>
      <c r="H202" s="39"/>
      <c r="L202" s="31"/>
    </row>
    <row r="203" spans="2:12" x14ac:dyDescent="0.2">
      <c r="B203" s="39"/>
      <c r="C203" s="39"/>
      <c r="D203" s="39"/>
      <c r="E203" s="39"/>
      <c r="F203" s="39"/>
      <c r="G203" s="39"/>
      <c r="H203" s="39"/>
      <c r="L203" s="31"/>
    </row>
    <row r="204" spans="2:12" x14ac:dyDescent="0.2">
      <c r="B204" s="39"/>
      <c r="C204" s="39"/>
      <c r="D204" s="39"/>
      <c r="E204" s="39"/>
      <c r="F204" s="39"/>
      <c r="G204" s="39"/>
      <c r="H204" s="39"/>
      <c r="L204" s="31"/>
    </row>
    <row r="205" spans="2:12" x14ac:dyDescent="0.2">
      <c r="B205" s="39"/>
      <c r="C205" s="39"/>
      <c r="D205" s="39"/>
      <c r="E205" s="39"/>
      <c r="F205" s="39"/>
      <c r="G205" s="39"/>
      <c r="H205" s="39"/>
      <c r="L205" s="31"/>
    </row>
    <row r="206" spans="2:12" x14ac:dyDescent="0.2">
      <c r="B206" s="39"/>
      <c r="C206" s="39"/>
      <c r="D206" s="39"/>
      <c r="E206" s="39"/>
      <c r="F206" s="39"/>
      <c r="G206" s="39"/>
      <c r="H206" s="39"/>
      <c r="L206" s="31"/>
    </row>
    <row r="207" spans="2:12" x14ac:dyDescent="0.2">
      <c r="B207" s="39"/>
      <c r="C207" s="39"/>
      <c r="D207" s="39"/>
      <c r="E207" s="39"/>
      <c r="F207" s="39"/>
      <c r="G207" s="39"/>
      <c r="H207" s="39"/>
      <c r="L207" s="31"/>
    </row>
    <row r="208" spans="2:12" x14ac:dyDescent="0.2">
      <c r="B208" s="39"/>
      <c r="C208" s="39"/>
      <c r="D208" s="39"/>
      <c r="E208" s="39"/>
      <c r="F208" s="39"/>
      <c r="G208" s="39"/>
      <c r="H208" s="39"/>
      <c r="L208" s="31"/>
    </row>
    <row r="209" spans="2:12" x14ac:dyDescent="0.2">
      <c r="B209" s="39"/>
      <c r="C209" s="39"/>
      <c r="D209" s="39"/>
      <c r="E209" s="39"/>
      <c r="F209" s="39"/>
      <c r="G209" s="39"/>
      <c r="H209" s="39"/>
      <c r="L209" s="31"/>
    </row>
    <row r="210" spans="2:12" x14ac:dyDescent="0.2">
      <c r="B210" s="39"/>
      <c r="C210" s="39"/>
      <c r="D210" s="39"/>
      <c r="E210" s="39"/>
      <c r="F210" s="39"/>
      <c r="G210" s="39"/>
      <c r="H210" s="39"/>
      <c r="L210" s="31"/>
    </row>
    <row r="211" spans="2:12" x14ac:dyDescent="0.2">
      <c r="B211" s="39"/>
      <c r="C211" s="39"/>
      <c r="D211" s="39"/>
      <c r="E211" s="39"/>
      <c r="F211" s="39"/>
      <c r="G211" s="39"/>
      <c r="H211" s="39"/>
    </row>
    <row r="212" spans="2:12" x14ac:dyDescent="0.2">
      <c r="B212" s="39"/>
      <c r="C212" s="39"/>
      <c r="D212" s="39"/>
      <c r="E212" s="39"/>
      <c r="F212" s="39"/>
      <c r="G212" s="39"/>
      <c r="H212" s="39"/>
    </row>
    <row r="213" spans="2:12" x14ac:dyDescent="0.2">
      <c r="B213" s="39"/>
      <c r="C213" s="39"/>
      <c r="D213" s="39"/>
      <c r="E213" s="39"/>
      <c r="F213" s="39"/>
      <c r="G213" s="39"/>
      <c r="H213" s="39"/>
    </row>
    <row r="214" spans="2:12" x14ac:dyDescent="0.2">
      <c r="B214" s="39"/>
      <c r="C214" s="39"/>
      <c r="D214" s="39"/>
      <c r="E214" s="39"/>
      <c r="F214" s="39"/>
      <c r="G214" s="39"/>
      <c r="H214" s="39"/>
    </row>
    <row r="215" spans="2:12" x14ac:dyDescent="0.2">
      <c r="B215" s="39"/>
      <c r="C215" s="39"/>
      <c r="D215" s="39"/>
      <c r="E215" s="39"/>
      <c r="F215" s="39"/>
      <c r="G215" s="39"/>
      <c r="H215" s="39"/>
    </row>
    <row r="216" spans="2:12" x14ac:dyDescent="0.2">
      <c r="B216" s="39"/>
      <c r="C216" s="39"/>
      <c r="D216" s="39"/>
      <c r="E216" s="39"/>
      <c r="F216" s="39"/>
      <c r="G216" s="39"/>
      <c r="H216" s="39"/>
    </row>
    <row r="217" spans="2:12" x14ac:dyDescent="0.2">
      <c r="B217" s="39"/>
      <c r="C217" s="39"/>
      <c r="D217" s="39"/>
      <c r="E217" s="39"/>
      <c r="F217" s="39"/>
      <c r="G217" s="39"/>
      <c r="H217" s="39"/>
    </row>
    <row r="218" spans="2:12" x14ac:dyDescent="0.2">
      <c r="B218" s="39"/>
      <c r="C218" s="39"/>
      <c r="D218" s="39"/>
      <c r="E218" s="39"/>
      <c r="F218" s="39"/>
      <c r="G218" s="39"/>
      <c r="H218" s="39"/>
    </row>
    <row r="219" spans="2:12" x14ac:dyDescent="0.2">
      <c r="B219" s="39"/>
      <c r="C219" s="39"/>
      <c r="D219" s="39"/>
      <c r="E219" s="39"/>
      <c r="F219" s="39"/>
      <c r="G219" s="39"/>
      <c r="H219" s="39"/>
    </row>
    <row r="220" spans="2:12" x14ac:dyDescent="0.2">
      <c r="B220" s="39"/>
      <c r="C220" s="39"/>
      <c r="D220" s="39"/>
      <c r="E220" s="39"/>
      <c r="F220" s="39"/>
      <c r="G220" s="39"/>
      <c r="H220" s="39"/>
    </row>
    <row r="221" spans="2:12" x14ac:dyDescent="0.2">
      <c r="B221" s="39"/>
      <c r="C221" s="39"/>
      <c r="D221" s="39"/>
      <c r="E221" s="39"/>
      <c r="F221" s="39"/>
      <c r="G221" s="39"/>
      <c r="H221" s="39"/>
    </row>
    <row r="222" spans="2:12" x14ac:dyDescent="0.2">
      <c r="B222" s="39"/>
      <c r="C222" s="39"/>
      <c r="D222" s="39"/>
      <c r="E222" s="39"/>
      <c r="F222" s="39"/>
      <c r="G222" s="39"/>
      <c r="H222" s="39"/>
    </row>
    <row r="223" spans="2:12" x14ac:dyDescent="0.2">
      <c r="B223" s="39"/>
      <c r="C223" s="39"/>
      <c r="D223" s="39"/>
      <c r="E223" s="39"/>
      <c r="F223" s="39"/>
      <c r="G223" s="39"/>
      <c r="H223" s="39"/>
    </row>
    <row r="224" spans="2:12" x14ac:dyDescent="0.2">
      <c r="B224" s="39"/>
      <c r="C224" s="39"/>
      <c r="D224" s="39"/>
      <c r="E224" s="39"/>
      <c r="F224" s="39"/>
      <c r="G224" s="39"/>
      <c r="H224" s="39"/>
    </row>
    <row r="225" spans="2:8" x14ac:dyDescent="0.2">
      <c r="B225" s="39"/>
      <c r="C225" s="39"/>
      <c r="D225" s="39"/>
      <c r="E225" s="39"/>
      <c r="F225" s="39"/>
      <c r="G225" s="39"/>
      <c r="H225" s="39"/>
    </row>
    <row r="226" spans="2:8" x14ac:dyDescent="0.2">
      <c r="B226" s="39"/>
      <c r="C226" s="39"/>
      <c r="D226" s="39"/>
      <c r="E226" s="39"/>
      <c r="F226" s="39"/>
      <c r="G226" s="39"/>
      <c r="H226" s="39"/>
    </row>
    <row r="227" spans="2:8" x14ac:dyDescent="0.2">
      <c r="B227" s="39"/>
      <c r="C227" s="39"/>
      <c r="D227" s="39"/>
      <c r="E227" s="39"/>
      <c r="F227" s="39"/>
      <c r="G227" s="39"/>
      <c r="H227" s="39"/>
    </row>
    <row r="228" spans="2:8" x14ac:dyDescent="0.2">
      <c r="B228" s="39"/>
      <c r="C228" s="39"/>
      <c r="D228" s="39"/>
      <c r="E228" s="39"/>
      <c r="F228" s="39"/>
      <c r="G228" s="39"/>
      <c r="H228" s="39"/>
    </row>
    <row r="229" spans="2:8" x14ac:dyDescent="0.2">
      <c r="B229" s="39"/>
      <c r="C229" s="39"/>
      <c r="D229" s="39"/>
      <c r="E229" s="39"/>
      <c r="F229" s="39"/>
      <c r="G229" s="39"/>
      <c r="H229" s="39"/>
    </row>
    <row r="230" spans="2:8" x14ac:dyDescent="0.2">
      <c r="B230" s="39"/>
      <c r="C230" s="39"/>
      <c r="D230" s="39"/>
      <c r="E230" s="39"/>
      <c r="F230" s="39"/>
      <c r="G230" s="39"/>
      <c r="H230" s="39"/>
    </row>
    <row r="231" spans="2:8" x14ac:dyDescent="0.2">
      <c r="B231" s="39"/>
      <c r="C231" s="39"/>
      <c r="D231" s="39"/>
      <c r="E231" s="39"/>
      <c r="F231" s="39"/>
      <c r="G231" s="39"/>
      <c r="H231" s="39"/>
    </row>
    <row r="232" spans="2:8" x14ac:dyDescent="0.2">
      <c r="B232" s="39"/>
      <c r="C232" s="39"/>
      <c r="D232" s="39"/>
      <c r="E232" s="39"/>
      <c r="F232" s="39"/>
      <c r="G232" s="39"/>
      <c r="H232" s="39"/>
    </row>
    <row r="233" spans="2:8" x14ac:dyDescent="0.2">
      <c r="B233" s="39"/>
      <c r="C233" s="39"/>
      <c r="D233" s="39"/>
      <c r="E233" s="39"/>
      <c r="F233" s="39"/>
      <c r="G233" s="39"/>
      <c r="H233" s="39"/>
    </row>
    <row r="234" spans="2:8" x14ac:dyDescent="0.2">
      <c r="B234" s="39"/>
      <c r="C234" s="39"/>
      <c r="D234" s="39"/>
      <c r="E234" s="39"/>
      <c r="F234" s="39"/>
      <c r="G234" s="39"/>
      <c r="H234" s="39"/>
    </row>
    <row r="235" spans="2:8" x14ac:dyDescent="0.2">
      <c r="B235" s="39"/>
      <c r="C235" s="39"/>
      <c r="D235" s="39"/>
      <c r="E235" s="39"/>
      <c r="F235" s="39"/>
      <c r="G235" s="39"/>
      <c r="H235" s="39"/>
    </row>
    <row r="236" spans="2:8" x14ac:dyDescent="0.2">
      <c r="B236" s="39"/>
      <c r="C236" s="39"/>
      <c r="D236" s="39"/>
      <c r="E236" s="39"/>
      <c r="F236" s="39"/>
      <c r="G236" s="39"/>
      <c r="H236" s="39"/>
    </row>
    <row r="237" spans="2:8" x14ac:dyDescent="0.2">
      <c r="B237" s="39"/>
      <c r="C237" s="39"/>
      <c r="D237" s="39"/>
      <c r="E237" s="39"/>
      <c r="F237" s="39"/>
      <c r="G237" s="39"/>
      <c r="H237" s="39"/>
    </row>
    <row r="238" spans="2:8" x14ac:dyDescent="0.2">
      <c r="B238" s="39"/>
      <c r="C238" s="39"/>
      <c r="D238" s="39"/>
      <c r="E238" s="39"/>
      <c r="F238" s="39"/>
      <c r="G238" s="39"/>
      <c r="H238" s="39"/>
    </row>
    <row r="239" spans="2:8" x14ac:dyDescent="0.2">
      <c r="B239" s="39"/>
      <c r="C239" s="39"/>
      <c r="D239" s="39"/>
      <c r="E239" s="39"/>
      <c r="F239" s="39"/>
      <c r="G239" s="39"/>
      <c r="H239" s="39"/>
    </row>
    <row r="240" spans="2:8" x14ac:dyDescent="0.2">
      <c r="B240" s="39"/>
      <c r="C240" s="39"/>
      <c r="D240" s="39"/>
      <c r="E240" s="39"/>
      <c r="F240" s="39"/>
      <c r="G240" s="39"/>
      <c r="H240" s="39"/>
    </row>
    <row r="241" spans="2:8" x14ac:dyDescent="0.2">
      <c r="B241" s="39"/>
      <c r="C241" s="39"/>
      <c r="D241" s="39"/>
      <c r="E241" s="39"/>
      <c r="F241" s="39"/>
      <c r="G241" s="39"/>
      <c r="H241" s="39"/>
    </row>
    <row r="242" spans="2:8" x14ac:dyDescent="0.2">
      <c r="B242" s="39"/>
      <c r="C242" s="39"/>
      <c r="D242" s="39"/>
      <c r="E242" s="39"/>
      <c r="F242" s="39"/>
      <c r="G242" s="39"/>
      <c r="H242" s="39"/>
    </row>
    <row r="243" spans="2:8" x14ac:dyDescent="0.2">
      <c r="B243" s="39"/>
      <c r="C243" s="39"/>
      <c r="D243" s="39"/>
      <c r="E243" s="39"/>
      <c r="F243" s="39"/>
      <c r="G243" s="39"/>
      <c r="H243" s="39"/>
    </row>
    <row r="244" spans="2:8" x14ac:dyDescent="0.2">
      <c r="B244" s="39"/>
      <c r="C244" s="39"/>
      <c r="D244" s="39"/>
      <c r="E244" s="39"/>
      <c r="F244" s="39"/>
      <c r="G244" s="39"/>
      <c r="H244" s="39"/>
    </row>
    <row r="245" spans="2:8" x14ac:dyDescent="0.2">
      <c r="B245" s="39"/>
      <c r="C245" s="39"/>
      <c r="D245" s="39"/>
      <c r="E245" s="39"/>
      <c r="F245" s="39"/>
      <c r="G245" s="39"/>
      <c r="H245" s="39"/>
    </row>
  </sheetData>
  <phoneticPr fontId="8" type="noConversion"/>
  <printOptions horizontalCentered="1" gridLinesSet="0"/>
  <pageMargins left="0.1" right="0.1" top="0.5" bottom="0.75" header="0.5" footer="0.5"/>
  <pageSetup scale="88" orientation="landscape" r:id="rId1"/>
  <headerFooter alignWithMargins="0">
    <oddFooter>Page &amp;P of &amp;N</oddFooter>
  </headerFooter>
  <rowBreaks count="2" manualBreakCount="2">
    <brk id="111" max="65535" man="1"/>
    <brk id="155"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33</vt:i4>
      </vt:variant>
    </vt:vector>
  </HeadingPairs>
  <TitlesOfParts>
    <vt:vector size="43" baseType="lpstr">
      <vt:lpstr>Universe</vt:lpstr>
      <vt:lpstr>Costs</vt:lpstr>
      <vt:lpstr>EX 1</vt:lpstr>
      <vt:lpstr>EX 2</vt:lpstr>
      <vt:lpstr>EX 3</vt:lpstr>
      <vt:lpstr>EX 4</vt:lpstr>
      <vt:lpstr>Tables 2 and 3</vt:lpstr>
      <vt:lpstr>EX 5</vt:lpstr>
      <vt:lpstr>EX 6</vt:lpstr>
      <vt:lpstr>EX 7</vt:lpstr>
      <vt:lpstr>_3BDATA</vt:lpstr>
      <vt:lpstr>MRESQBEDATA</vt:lpstr>
      <vt:lpstr>'EX 1'!Print_Area</vt:lpstr>
      <vt:lpstr>'EX 2'!Print_Area</vt:lpstr>
      <vt:lpstr>'EX 3'!Print_Area</vt:lpstr>
      <vt:lpstr>'EX 4'!Print_Area</vt:lpstr>
      <vt:lpstr>'EX 5'!Print_Area</vt:lpstr>
      <vt:lpstr>'EX 6'!Print_Area</vt:lpstr>
      <vt:lpstr>'EX 7'!Print_Area</vt:lpstr>
      <vt:lpstr>'Tables 2 and 3'!Print_Area</vt:lpstr>
      <vt:lpstr>Universe!Print_Area</vt:lpstr>
      <vt:lpstr>'EX 2'!Print_Area_MI</vt:lpstr>
      <vt:lpstr>'EX 3'!Print_Area_MI</vt:lpstr>
      <vt:lpstr>'EX 4'!Print_Area_MI</vt:lpstr>
      <vt:lpstr>'EX 5'!Print_Area_MI</vt:lpstr>
      <vt:lpstr>'EX 6'!Print_Area_MI</vt:lpstr>
      <vt:lpstr>'EX 7'!Print_Area_MI</vt:lpstr>
      <vt:lpstr>'Tables 2 and 3'!Print_Area_MI</vt:lpstr>
      <vt:lpstr>Print_Area_MI</vt:lpstr>
      <vt:lpstr>'EX 1'!Print_Titles</vt:lpstr>
      <vt:lpstr>'EX 2'!Print_Titles</vt:lpstr>
      <vt:lpstr>'EX 3'!Print_Titles</vt:lpstr>
      <vt:lpstr>'EX 5'!Print_Titles</vt:lpstr>
      <vt:lpstr>'EX 6'!Print_Titles</vt:lpstr>
      <vt:lpstr>'EX 7'!Print_Titles</vt:lpstr>
      <vt:lpstr>'EX 3'!TYPE1</vt:lpstr>
      <vt:lpstr>'EX 4'!TYPE1</vt:lpstr>
      <vt:lpstr>'EX 6'!TYPE1</vt:lpstr>
      <vt:lpstr>TYPE1</vt:lpstr>
      <vt:lpstr>'EX 3'!TYPE2</vt:lpstr>
      <vt:lpstr>'EX 4'!TYPE2</vt:lpstr>
      <vt:lpstr>'EX 6'!TYPE2</vt:lpstr>
      <vt:lpstr>TYPE2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End-User Support</dc:creator>
  <cp:lastModifiedBy>Schultz, Eric</cp:lastModifiedBy>
  <cp:lastPrinted>2005-10-10T23:01:03Z</cp:lastPrinted>
  <dcterms:created xsi:type="dcterms:W3CDTF">2000-07-18T22:21:19Z</dcterms:created>
  <dcterms:modified xsi:type="dcterms:W3CDTF">2026-06-30T18:55:54Z</dcterms:modified>
</cp:coreProperties>
</file>