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- COMP/"/>
    </mc:Choice>
  </mc:AlternateContent>
  <xr:revisionPtr revIDLastSave="0" documentId="13_ncr:8000000b_{DD57AB8A-56A7-40C5-B5C4-8CD9FCE1A6B8}" xr6:coauthVersionLast="47" xr6:coauthVersionMax="47" xr10:uidLastSave="{00000000-0000-0000-0000-000000000000}"/>
  <bookViews>
    <workbookView xWindow="7215" yWindow="3225" windowWidth="15570" windowHeight="10935" activeTab="3" xr2:uid="{DED72D64-C1FC-4B7D-ABA5-C388E68D4240}"/>
  </bookViews>
  <sheets>
    <sheet name="Exhibit 1" sheetId="4" r:id="rId1"/>
    <sheet name="Exhibit 2" sheetId="5" r:id="rId2"/>
    <sheet name="Exhibit 3" sheetId="6" r:id="rId3"/>
    <sheet name="Exhibit 4" sheetId="8" r:id="rId4"/>
    <sheet name="Exhibit 5" sheetId="9" r:id="rId5"/>
    <sheet name="Exhibit 6" sheetId="10" r:id="rId6"/>
    <sheet name="Table 2" sheetId="11" r:id="rId7"/>
    <sheet name="Exhibit 7" sheetId="13" r:id="rId8"/>
    <sheet name="Table 3" sheetId="14" r:id="rId9"/>
    <sheet name="Exhibit 8" sheetId="15" r:id="rId10"/>
    <sheet name="Table 4" sheetId="16" r:id="rId11"/>
  </sheets>
  <externalReferences>
    <externalReference r:id="rId12"/>
    <externalReference r:id="rId13"/>
  </externalReferences>
  <definedNames>
    <definedName name="\A">[1]C!$O$27</definedName>
    <definedName name="CRITERION1">[1]C!$H$1:$H$2</definedName>
    <definedName name="CRITERION2">[1]C!$H$5:$H$6</definedName>
    <definedName name="_xlnm.Print_Area" localSheetId="0">'Exhibit 1'!$A$36:$L$125</definedName>
    <definedName name="_xlnm.Print_Area" localSheetId="1">'Exhibit 2'!$B$36:$M$76</definedName>
    <definedName name="_xlnm.Print_Area" localSheetId="2">'Exhibit 3'!$A$35:$L$85</definedName>
    <definedName name="_xlnm.Print_Area" localSheetId="3">'Exhibit 4'!$A$36:$L$144</definedName>
    <definedName name="_xlnm.Print_Area" localSheetId="4">'Exhibit 5'!$A$35:$L$184</definedName>
    <definedName name="_xlnm.Print_Area" localSheetId="5">'Exhibit 6'!$A$36:$L$69</definedName>
    <definedName name="_xlnm.Print_Area" localSheetId="7">'Exhibit 7'!$A$14:$L$99</definedName>
    <definedName name="_xlnm.Print_Area">#REF!</definedName>
    <definedName name="_xlnm.Print_Titles">'Table 2'!$1:$8</definedName>
  </definedNames>
  <calcPr calcId="191029" calcMode="autoNoTable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15" l="1"/>
  <c r="C13" i="16"/>
  <c r="C16" i="16" s="1"/>
  <c r="L28" i="15"/>
  <c r="L33" i="15"/>
  <c r="L40" i="15"/>
  <c r="L66" i="15"/>
  <c r="L84" i="15"/>
  <c r="L98" i="15"/>
  <c r="K99" i="13"/>
  <c r="E25" i="10"/>
  <c r="E25" i="9"/>
  <c r="E25" i="8"/>
  <c r="E26" i="6"/>
  <c r="E25" i="6"/>
  <c r="E33" i="10"/>
  <c r="E32" i="10"/>
  <c r="E31" i="10"/>
  <c r="E30" i="10"/>
  <c r="E29" i="10"/>
  <c r="E28" i="10"/>
  <c r="E24" i="10"/>
  <c r="E23" i="10"/>
  <c r="E22" i="10"/>
  <c r="E21" i="10"/>
  <c r="E20" i="10"/>
  <c r="E19" i="10"/>
  <c r="E18" i="10"/>
  <c r="E17" i="10"/>
  <c r="E16" i="10"/>
  <c r="E15" i="10"/>
  <c r="B56" i="10"/>
  <c r="K56" i="10" s="1"/>
  <c r="E14" i="10"/>
  <c r="E13" i="10"/>
  <c r="E33" i="9"/>
  <c r="E32" i="9"/>
  <c r="E31" i="9"/>
  <c r="E30" i="9"/>
  <c r="E29" i="9"/>
  <c r="E28" i="9"/>
  <c r="E24" i="9"/>
  <c r="E23" i="9"/>
  <c r="E22" i="9"/>
  <c r="E21" i="9"/>
  <c r="E20" i="9"/>
  <c r="E19" i="9"/>
  <c r="E18" i="9"/>
  <c r="E17" i="9"/>
  <c r="E16" i="9"/>
  <c r="E15" i="9"/>
  <c r="E14" i="9"/>
  <c r="E13" i="9"/>
  <c r="E33" i="8"/>
  <c r="E32" i="8"/>
  <c r="E31" i="8"/>
  <c r="E30" i="8"/>
  <c r="E29" i="8"/>
  <c r="E28" i="8"/>
  <c r="E24" i="8"/>
  <c r="E23" i="8"/>
  <c r="E22" i="8"/>
  <c r="E21" i="8"/>
  <c r="E20" i="8"/>
  <c r="E19" i="8"/>
  <c r="E18" i="8"/>
  <c r="E17" i="8"/>
  <c r="E16" i="8"/>
  <c r="E15" i="8"/>
  <c r="E14" i="8"/>
  <c r="E13" i="8"/>
  <c r="E33" i="6"/>
  <c r="E32" i="6"/>
  <c r="E31" i="6"/>
  <c r="E30" i="6"/>
  <c r="E29" i="6"/>
  <c r="E28" i="6"/>
  <c r="E24" i="6"/>
  <c r="E23" i="6"/>
  <c r="E22" i="6"/>
  <c r="E21" i="6"/>
  <c r="E20" i="6"/>
  <c r="E19" i="6"/>
  <c r="E18" i="6"/>
  <c r="E17" i="6"/>
  <c r="E16" i="6"/>
  <c r="E15" i="6"/>
  <c r="E14" i="6"/>
  <c r="E13" i="6"/>
  <c r="F33" i="5"/>
  <c r="F32" i="5"/>
  <c r="F31" i="5"/>
  <c r="F30" i="5"/>
  <c r="F29" i="5"/>
  <c r="F28" i="5"/>
  <c r="F24" i="5"/>
  <c r="F23" i="5"/>
  <c r="F22" i="5"/>
  <c r="F21" i="5"/>
  <c r="F20" i="5"/>
  <c r="F19" i="5"/>
  <c r="F18" i="5"/>
  <c r="F17" i="5"/>
  <c r="F16" i="5"/>
  <c r="F15" i="5"/>
  <c r="F14" i="5"/>
  <c r="F13" i="5"/>
  <c r="C15" i="16"/>
  <c r="B15" i="16"/>
  <c r="C14" i="16"/>
  <c r="B14" i="16"/>
  <c r="B13" i="16"/>
  <c r="C12" i="16"/>
  <c r="B12" i="16"/>
  <c r="C11" i="16"/>
  <c r="B11" i="16"/>
  <c r="C10" i="16"/>
  <c r="B10" i="16"/>
  <c r="H97" i="15"/>
  <c r="L97" i="15" s="1"/>
  <c r="B97" i="15"/>
  <c r="K97" i="15"/>
  <c r="H96" i="15"/>
  <c r="L96" i="15" s="1"/>
  <c r="B96" i="15"/>
  <c r="K96" i="15"/>
  <c r="H95" i="15"/>
  <c r="B95" i="15"/>
  <c r="L95" i="15"/>
  <c r="H94" i="15"/>
  <c r="L94" i="15" s="1"/>
  <c r="B94" i="15"/>
  <c r="H92" i="15"/>
  <c r="B92" i="15"/>
  <c r="K92" i="15"/>
  <c r="H91" i="15"/>
  <c r="L91" i="15" s="1"/>
  <c r="B91" i="15"/>
  <c r="K91" i="15"/>
  <c r="H90" i="15"/>
  <c r="B90" i="15"/>
  <c r="H89" i="15"/>
  <c r="L89" i="15" s="1"/>
  <c r="B89" i="15"/>
  <c r="K89" i="15"/>
  <c r="H88" i="15"/>
  <c r="L88" i="15" s="1"/>
  <c r="B88" i="15"/>
  <c r="K88" i="15"/>
  <c r="H86" i="15"/>
  <c r="L86" i="15" s="1"/>
  <c r="B86" i="15"/>
  <c r="K86" i="15"/>
  <c r="K82" i="15"/>
  <c r="H82" i="15"/>
  <c r="L82" i="15" s="1"/>
  <c r="K81" i="15"/>
  <c r="H81" i="15"/>
  <c r="L81" i="15" s="1"/>
  <c r="K79" i="15"/>
  <c r="K84" i="15"/>
  <c r="H79" i="15"/>
  <c r="L79" i="15"/>
  <c r="K78" i="15"/>
  <c r="H78" i="15"/>
  <c r="L78" i="15" s="1"/>
  <c r="K76" i="15"/>
  <c r="H76" i="15"/>
  <c r="L76" i="15"/>
  <c r="K75" i="15"/>
  <c r="H75" i="15"/>
  <c r="L75" i="15" s="1"/>
  <c r="K74" i="15"/>
  <c r="H74" i="15"/>
  <c r="L74" i="15"/>
  <c r="K73" i="15"/>
  <c r="H73" i="15"/>
  <c r="L73" i="15"/>
  <c r="K71" i="15"/>
  <c r="H71" i="15"/>
  <c r="L71" i="15" s="1"/>
  <c r="K70" i="15"/>
  <c r="H70" i="15"/>
  <c r="L70" i="15" s="1"/>
  <c r="H64" i="15"/>
  <c r="C64" i="15"/>
  <c r="B64" i="15"/>
  <c r="H63" i="15"/>
  <c r="L63" i="15" s="1"/>
  <c r="C63" i="15"/>
  <c r="B63" i="15"/>
  <c r="H62" i="15"/>
  <c r="L62" i="15" s="1"/>
  <c r="C62" i="15"/>
  <c r="B62" i="15"/>
  <c r="H61" i="15"/>
  <c r="L61" i="15" s="1"/>
  <c r="C61" i="15"/>
  <c r="K61" i="15"/>
  <c r="B61" i="15"/>
  <c r="H59" i="15"/>
  <c r="L59" i="15" s="1"/>
  <c r="C59" i="15"/>
  <c r="B59" i="15"/>
  <c r="H58" i="15"/>
  <c r="L58" i="15" s="1"/>
  <c r="C58" i="15"/>
  <c r="K58" i="15"/>
  <c r="B58" i="15"/>
  <c r="H57" i="15"/>
  <c r="C57" i="15"/>
  <c r="K57" i="15"/>
  <c r="B57" i="15"/>
  <c r="H55" i="15"/>
  <c r="C55" i="15"/>
  <c r="K55" i="15"/>
  <c r="B55" i="15"/>
  <c r="H54" i="15"/>
  <c r="C54" i="15"/>
  <c r="B54" i="15"/>
  <c r="H53" i="15"/>
  <c r="L53" i="15" s="1"/>
  <c r="C53" i="15"/>
  <c r="B53" i="15"/>
  <c r="H52" i="15"/>
  <c r="L52" i="15" s="1"/>
  <c r="C52" i="15"/>
  <c r="B52" i="15"/>
  <c r="H50" i="15"/>
  <c r="C50" i="15"/>
  <c r="B50" i="15"/>
  <c r="H48" i="15"/>
  <c r="L48" i="15" s="1"/>
  <c r="C48" i="15"/>
  <c r="B48" i="15"/>
  <c r="K48" i="15"/>
  <c r="H46" i="15"/>
  <c r="C46" i="15"/>
  <c r="B46" i="15"/>
  <c r="H44" i="15"/>
  <c r="C44" i="15"/>
  <c r="K44" i="15"/>
  <c r="B44" i="15"/>
  <c r="H43" i="15"/>
  <c r="C43" i="15"/>
  <c r="K43" i="15"/>
  <c r="B43" i="15"/>
  <c r="H39" i="15"/>
  <c r="C39" i="15"/>
  <c r="B39" i="15"/>
  <c r="H37" i="15"/>
  <c r="C37" i="15"/>
  <c r="B37" i="15"/>
  <c r="J33" i="15"/>
  <c r="I33" i="15"/>
  <c r="G33" i="15"/>
  <c r="F33" i="15"/>
  <c r="E33" i="15"/>
  <c r="H31" i="15"/>
  <c r="H33" i="15"/>
  <c r="C31" i="15"/>
  <c r="B31" i="15"/>
  <c r="B33" i="15"/>
  <c r="H27" i="15"/>
  <c r="C27" i="15"/>
  <c r="B27" i="15"/>
  <c r="H26" i="15"/>
  <c r="C26" i="15"/>
  <c r="B26" i="15"/>
  <c r="G22" i="15"/>
  <c r="F22" i="15"/>
  <c r="E22" i="15"/>
  <c r="D22" i="15"/>
  <c r="D15" i="14"/>
  <c r="D14" i="14"/>
  <c r="D13" i="14"/>
  <c r="D12" i="14"/>
  <c r="D11" i="14"/>
  <c r="D10" i="14"/>
  <c r="G22" i="13"/>
  <c r="F22" i="13"/>
  <c r="E22" i="13"/>
  <c r="D22" i="13"/>
  <c r="G45" i="10"/>
  <c r="F45" i="10"/>
  <c r="E45" i="10"/>
  <c r="D45" i="10"/>
  <c r="G43" i="9"/>
  <c r="F43" i="9"/>
  <c r="E43" i="9"/>
  <c r="D43" i="9"/>
  <c r="G45" i="8"/>
  <c r="F45" i="8"/>
  <c r="E45" i="8"/>
  <c r="D45" i="8"/>
  <c r="G44" i="6"/>
  <c r="F44" i="6"/>
  <c r="E44" i="6"/>
  <c r="D44" i="6"/>
  <c r="H44" i="5"/>
  <c r="G44" i="5"/>
  <c r="F44" i="5"/>
  <c r="E44" i="5"/>
  <c r="G45" i="4"/>
  <c r="F45" i="4"/>
  <c r="E45" i="4"/>
  <c r="D45" i="4"/>
  <c r="E33" i="4"/>
  <c r="H26" i="13"/>
  <c r="C49" i="4"/>
  <c r="C26" i="13" s="1"/>
  <c r="B49" i="4"/>
  <c r="H27" i="13"/>
  <c r="L27" i="13" s="1"/>
  <c r="C27" i="13"/>
  <c r="B27" i="13"/>
  <c r="H31" i="13"/>
  <c r="H33" i="13"/>
  <c r="C31" i="13"/>
  <c r="B31" i="13"/>
  <c r="B33" i="13"/>
  <c r="H37" i="13"/>
  <c r="C37" i="13"/>
  <c r="B37" i="13"/>
  <c r="H39" i="13"/>
  <c r="C81" i="6"/>
  <c r="C39" i="13" s="1"/>
  <c r="B81" i="6"/>
  <c r="B39" i="13" s="1"/>
  <c r="K39" i="13" s="1"/>
  <c r="H43" i="13"/>
  <c r="C54" i="8"/>
  <c r="C43" i="13"/>
  <c r="H44" i="13"/>
  <c r="C60" i="8"/>
  <c r="C44" i="13"/>
  <c r="H46" i="13"/>
  <c r="C66" i="8"/>
  <c r="C46" i="13"/>
  <c r="B66" i="8"/>
  <c r="T66" i="8" s="1"/>
  <c r="H48" i="13"/>
  <c r="C73" i="8"/>
  <c r="C48" i="13" s="1"/>
  <c r="B73" i="8"/>
  <c r="H50" i="13"/>
  <c r="C75" i="8"/>
  <c r="C50" i="13"/>
  <c r="B75" i="8"/>
  <c r="B50" i="13"/>
  <c r="K50" i="13" s="1"/>
  <c r="H52" i="13"/>
  <c r="C77" i="8"/>
  <c r="L77" i="8" s="1"/>
  <c r="B77" i="8"/>
  <c r="K77" i="8" s="1"/>
  <c r="B52" i="13"/>
  <c r="H53" i="13"/>
  <c r="C84" i="8"/>
  <c r="C53" i="13"/>
  <c r="L53" i="13" s="1"/>
  <c r="B84" i="8"/>
  <c r="T84" i="8" s="1"/>
  <c r="B53" i="13"/>
  <c r="H54" i="13"/>
  <c r="C89" i="8"/>
  <c r="C54" i="13"/>
  <c r="B89" i="8"/>
  <c r="K89" i="8" s="1"/>
  <c r="K91" i="8" s="1"/>
  <c r="B54" i="13"/>
  <c r="K54" i="13" s="1"/>
  <c r="H55" i="13"/>
  <c r="C96" i="8"/>
  <c r="L96" i="8" s="1"/>
  <c r="C55" i="13"/>
  <c r="K55" i="13"/>
  <c r="H57" i="13"/>
  <c r="C103" i="8"/>
  <c r="C57" i="13"/>
  <c r="K57" i="13"/>
  <c r="H58" i="13"/>
  <c r="C109" i="8"/>
  <c r="C58" i="13" s="1"/>
  <c r="K58" i="13" s="1"/>
  <c r="H59" i="13"/>
  <c r="C111" i="8"/>
  <c r="O111" i="8" s="1"/>
  <c r="H61" i="13"/>
  <c r="C113" i="8"/>
  <c r="C61" i="13" s="1"/>
  <c r="K61" i="13" s="1"/>
  <c r="H62" i="13"/>
  <c r="C120" i="8"/>
  <c r="T120" i="8" s="1"/>
  <c r="C62" i="13"/>
  <c r="K62" i="13" s="1"/>
  <c r="B120" i="8"/>
  <c r="B62" i="13"/>
  <c r="H63" i="13"/>
  <c r="C126" i="8"/>
  <c r="C128" i="8" s="1"/>
  <c r="B126" i="8"/>
  <c r="T126" i="8" s="1"/>
  <c r="K126" i="8"/>
  <c r="K128" i="8" s="1"/>
  <c r="H64" i="13"/>
  <c r="C140" i="8"/>
  <c r="S140" i="8" s="1"/>
  <c r="C64" i="13"/>
  <c r="K64" i="13" s="1"/>
  <c r="B140" i="8"/>
  <c r="B64" i="13"/>
  <c r="H70" i="13"/>
  <c r="L70" i="13" s="1"/>
  <c r="C70" i="13"/>
  <c r="K70" i="13"/>
  <c r="B70" i="13"/>
  <c r="H71" i="13"/>
  <c r="C71" i="13"/>
  <c r="L71" i="13"/>
  <c r="B71" i="13"/>
  <c r="K71" i="13"/>
  <c r="H73" i="13"/>
  <c r="L73" i="13" s="1"/>
  <c r="C73" i="13"/>
  <c r="B73" i="13"/>
  <c r="H74" i="13"/>
  <c r="C74" i="13"/>
  <c r="B74" i="13"/>
  <c r="L74" i="13"/>
  <c r="H75" i="13"/>
  <c r="L75" i="13" s="1"/>
  <c r="H76" i="13"/>
  <c r="L76" i="13"/>
  <c r="H78" i="13"/>
  <c r="L78" i="13"/>
  <c r="H79" i="13"/>
  <c r="L79" i="13"/>
  <c r="H81" i="13"/>
  <c r="C81" i="13"/>
  <c r="B81" i="13"/>
  <c r="H82" i="13"/>
  <c r="C82" i="13"/>
  <c r="L82" i="13"/>
  <c r="B82" i="13"/>
  <c r="H86" i="13"/>
  <c r="B86" i="13"/>
  <c r="K86" i="13"/>
  <c r="H88" i="13"/>
  <c r="L88" i="13"/>
  <c r="B88" i="13"/>
  <c r="H89" i="13"/>
  <c r="L89" i="13" s="1"/>
  <c r="B89" i="13"/>
  <c r="K89" i="13"/>
  <c r="H90" i="13"/>
  <c r="B90" i="13"/>
  <c r="K90" i="13"/>
  <c r="H91" i="13"/>
  <c r="H92" i="13"/>
  <c r="B58" i="10"/>
  <c r="B92" i="13" s="1"/>
  <c r="K92" i="13" s="1"/>
  <c r="H94" i="13"/>
  <c r="B61" i="10"/>
  <c r="B94" i="13" s="1"/>
  <c r="H95" i="13"/>
  <c r="B63" i="10"/>
  <c r="K63" i="10" s="1"/>
  <c r="B95" i="13"/>
  <c r="K95" i="13"/>
  <c r="H96" i="13"/>
  <c r="B65" i="10"/>
  <c r="B96" i="13" s="1"/>
  <c r="H97" i="13"/>
  <c r="B67" i="10"/>
  <c r="B97" i="13" s="1"/>
  <c r="K97" i="13" s="1"/>
  <c r="K75" i="13"/>
  <c r="K76" i="13"/>
  <c r="K78" i="13"/>
  <c r="K79" i="13"/>
  <c r="C33" i="13"/>
  <c r="E33" i="13"/>
  <c r="F33" i="13"/>
  <c r="G33" i="13"/>
  <c r="I33" i="13"/>
  <c r="J33" i="13"/>
  <c r="B43" i="13"/>
  <c r="B44" i="13"/>
  <c r="B55" i="13"/>
  <c r="B57" i="13"/>
  <c r="B58" i="13"/>
  <c r="B59" i="13"/>
  <c r="B61" i="13"/>
  <c r="E31" i="4"/>
  <c r="E30" i="4"/>
  <c r="E24" i="4"/>
  <c r="E19" i="4"/>
  <c r="E13" i="4"/>
  <c r="P3" i="4"/>
  <c r="P2" i="4"/>
  <c r="Q3" i="4"/>
  <c r="Q2" i="4"/>
  <c r="P8" i="4"/>
  <c r="Q8" i="4"/>
  <c r="P4" i="4"/>
  <c r="Q4" i="4"/>
  <c r="H9" i="4"/>
  <c r="E16" i="4"/>
  <c r="E18" i="4"/>
  <c r="E14" i="4"/>
  <c r="E15" i="4"/>
  <c r="E17" i="4"/>
  <c r="E20" i="4"/>
  <c r="E23" i="4"/>
  <c r="E21" i="4"/>
  <c r="E22" i="4"/>
  <c r="E28" i="4"/>
  <c r="E29" i="4"/>
  <c r="E32" i="4"/>
  <c r="H49" i="4"/>
  <c r="M49" i="4"/>
  <c r="N49" i="4"/>
  <c r="B50" i="4"/>
  <c r="S50" i="4" s="1"/>
  <c r="C50" i="4"/>
  <c r="H50" i="4"/>
  <c r="M50" i="4"/>
  <c r="N50" i="4"/>
  <c r="B51" i="4"/>
  <c r="K51" i="4" s="1"/>
  <c r="B53" i="4"/>
  <c r="C51" i="4"/>
  <c r="H51" i="4"/>
  <c r="M51" i="4"/>
  <c r="N51" i="4"/>
  <c r="D53" i="4"/>
  <c r="E53" i="4"/>
  <c r="F53" i="4"/>
  <c r="G53" i="4"/>
  <c r="I53" i="4"/>
  <c r="J53" i="4"/>
  <c r="B56" i="4"/>
  <c r="H56" i="4"/>
  <c r="L56" i="4" s="1"/>
  <c r="L60" i="4" s="1"/>
  <c r="M56" i="4"/>
  <c r="N56" i="4"/>
  <c r="S57" i="4"/>
  <c r="T57" i="4"/>
  <c r="B58" i="4"/>
  <c r="E58" i="4"/>
  <c r="G58" i="4"/>
  <c r="H58" i="4"/>
  <c r="M58" i="4"/>
  <c r="N58" i="4"/>
  <c r="O58" i="4" s="1"/>
  <c r="C60" i="4"/>
  <c r="D60" i="4"/>
  <c r="E60" i="4"/>
  <c r="F60" i="4"/>
  <c r="I60" i="4"/>
  <c r="J60" i="4"/>
  <c r="B63" i="4"/>
  <c r="O63" i="4" s="1"/>
  <c r="C63" i="4"/>
  <c r="H63" i="4"/>
  <c r="M63" i="4"/>
  <c r="N63" i="4"/>
  <c r="B64" i="4"/>
  <c r="B66" i="4"/>
  <c r="C64" i="4"/>
  <c r="H64" i="4"/>
  <c r="L64" i="4" s="1"/>
  <c r="M64" i="4"/>
  <c r="N64" i="4"/>
  <c r="D66" i="4"/>
  <c r="E66" i="4"/>
  <c r="F66" i="4"/>
  <c r="G66" i="4"/>
  <c r="I66" i="4"/>
  <c r="J66" i="4"/>
  <c r="B70" i="4"/>
  <c r="S70" i="4" s="1"/>
  <c r="C70" i="4"/>
  <c r="H70" i="4"/>
  <c r="L70" i="4" s="1"/>
  <c r="M70" i="4"/>
  <c r="N70" i="4"/>
  <c r="B71" i="4"/>
  <c r="C71" i="4"/>
  <c r="K71" i="4" s="1"/>
  <c r="H71" i="4"/>
  <c r="M71" i="4"/>
  <c r="N71" i="4"/>
  <c r="B72" i="4"/>
  <c r="K72" i="4" s="1"/>
  <c r="C72" i="4"/>
  <c r="H72" i="4"/>
  <c r="M72" i="4"/>
  <c r="N72" i="4"/>
  <c r="B74" i="4"/>
  <c r="T74" i="4"/>
  <c r="C74" i="4"/>
  <c r="H74" i="4"/>
  <c r="M74" i="4"/>
  <c r="N74" i="4"/>
  <c r="B75" i="4"/>
  <c r="K75" i="4" s="1"/>
  <c r="C75" i="4"/>
  <c r="F75" i="4"/>
  <c r="H75" i="4"/>
  <c r="G75" i="4"/>
  <c r="M75" i="4"/>
  <c r="N75" i="4"/>
  <c r="B76" i="4"/>
  <c r="T76" i="4" s="1"/>
  <c r="C76" i="4"/>
  <c r="H76" i="4"/>
  <c r="L76" i="4" s="1"/>
  <c r="M76" i="4"/>
  <c r="N76" i="4"/>
  <c r="C81" i="4"/>
  <c r="T81" i="4"/>
  <c r="H81" i="4"/>
  <c r="M81" i="4"/>
  <c r="N81" i="4"/>
  <c r="C82" i="4"/>
  <c r="O82" i="4" s="1"/>
  <c r="H82" i="4"/>
  <c r="M82" i="4"/>
  <c r="N82" i="4"/>
  <c r="C83" i="4"/>
  <c r="O83" i="4" s="1"/>
  <c r="H83" i="4"/>
  <c r="L83" i="4" s="1"/>
  <c r="L88" i="4" s="1"/>
  <c r="M83" i="4"/>
  <c r="N83" i="4"/>
  <c r="H84" i="4"/>
  <c r="L84" i="4"/>
  <c r="M84" i="4"/>
  <c r="O84" i="4" s="1"/>
  <c r="N84" i="4"/>
  <c r="B85" i="4"/>
  <c r="S85" i="4" s="1"/>
  <c r="C85" i="4"/>
  <c r="H85" i="4"/>
  <c r="M85" i="4"/>
  <c r="N85" i="4"/>
  <c r="H86" i="4"/>
  <c r="L86" i="4" s="1"/>
  <c r="M86" i="4"/>
  <c r="N86" i="4"/>
  <c r="O86" i="4" s="1"/>
  <c r="C91" i="4"/>
  <c r="K91" i="4" s="1"/>
  <c r="H91" i="4"/>
  <c r="M91" i="4"/>
  <c r="N91" i="4"/>
  <c r="C92" i="4"/>
  <c r="S92" i="4" s="1"/>
  <c r="H92" i="4"/>
  <c r="L92" i="4" s="1"/>
  <c r="M92" i="4"/>
  <c r="N92" i="4"/>
  <c r="H93" i="4"/>
  <c r="L93" i="4" s="1"/>
  <c r="K93" i="4"/>
  <c r="M93" i="4"/>
  <c r="N93" i="4"/>
  <c r="O93" i="4" s="1"/>
  <c r="S93" i="4"/>
  <c r="T93" i="4"/>
  <c r="B94" i="4"/>
  <c r="O94" i="4"/>
  <c r="C94" i="4"/>
  <c r="S94" i="4" s="1"/>
  <c r="C95" i="4"/>
  <c r="H94" i="4"/>
  <c r="M94" i="4"/>
  <c r="N94" i="4"/>
  <c r="H95" i="4"/>
  <c r="M95" i="4"/>
  <c r="N95" i="4"/>
  <c r="B96" i="4"/>
  <c r="C96" i="4"/>
  <c r="L96" i="4" s="1"/>
  <c r="H96" i="4"/>
  <c r="M96" i="4"/>
  <c r="N96" i="4"/>
  <c r="C101" i="4"/>
  <c r="O101" i="4" s="1"/>
  <c r="H101" i="4"/>
  <c r="L101" i="4" s="1"/>
  <c r="L106" i="4" s="1"/>
  <c r="M101" i="4"/>
  <c r="N101" i="4"/>
  <c r="C102" i="4"/>
  <c r="T102" i="4" s="1"/>
  <c r="H102" i="4"/>
  <c r="M102" i="4"/>
  <c r="N102" i="4"/>
  <c r="O102" i="4" s="1"/>
  <c r="H103" i="4"/>
  <c r="L103" i="4"/>
  <c r="K103" i="4"/>
  <c r="M103" i="4"/>
  <c r="O103" i="4" s="1"/>
  <c r="N103" i="4"/>
  <c r="B104" i="4"/>
  <c r="T104" i="4" s="1"/>
  <c r="K104" i="4"/>
  <c r="C104" i="4"/>
  <c r="H104" i="4"/>
  <c r="L104" i="4"/>
  <c r="M104" i="4"/>
  <c r="N104" i="4"/>
  <c r="O104" i="4" s="1"/>
  <c r="B109" i="4"/>
  <c r="S109" i="4"/>
  <c r="H109" i="4"/>
  <c r="M109" i="4"/>
  <c r="N109" i="4"/>
  <c r="B110" i="4"/>
  <c r="K110" i="4" s="1"/>
  <c r="K113" i="4" s="1"/>
  <c r="H110" i="4"/>
  <c r="L110" i="4" s="1"/>
  <c r="L113" i="4" s="1"/>
  <c r="M110" i="4"/>
  <c r="N110" i="4"/>
  <c r="B111" i="4"/>
  <c r="T111" i="4" s="1"/>
  <c r="H111" i="4"/>
  <c r="H113" i="4" s="1"/>
  <c r="M111" i="4"/>
  <c r="N111" i="4"/>
  <c r="O111" i="4" s="1"/>
  <c r="E113" i="4"/>
  <c r="F113" i="4"/>
  <c r="G113" i="4"/>
  <c r="I113" i="4"/>
  <c r="J113" i="4"/>
  <c r="C116" i="4"/>
  <c r="H116" i="4"/>
  <c r="H123" i="4" s="1"/>
  <c r="M116" i="4"/>
  <c r="N116" i="4"/>
  <c r="M117" i="4"/>
  <c r="N117" i="4"/>
  <c r="C118" i="4"/>
  <c r="L118" i="4" s="1"/>
  <c r="S118" i="4"/>
  <c r="H118" i="4"/>
  <c r="M118" i="4"/>
  <c r="O118" i="4"/>
  <c r="N118" i="4"/>
  <c r="C119" i="4"/>
  <c r="K119" i="4" s="1"/>
  <c r="K123" i="4" s="1"/>
  <c r="T119" i="4"/>
  <c r="H119" i="4"/>
  <c r="M119" i="4"/>
  <c r="N119" i="4"/>
  <c r="C120" i="4"/>
  <c r="S120" i="4" s="1"/>
  <c r="H120" i="4"/>
  <c r="M120" i="4"/>
  <c r="O120" i="4" s="1"/>
  <c r="N120" i="4"/>
  <c r="C121" i="4"/>
  <c r="T121" i="4" s="1"/>
  <c r="H121" i="4"/>
  <c r="K121" i="4"/>
  <c r="M121" i="4"/>
  <c r="O121" i="4" s="1"/>
  <c r="N121" i="4"/>
  <c r="C123" i="4"/>
  <c r="D123" i="4"/>
  <c r="E123" i="4"/>
  <c r="F123" i="4"/>
  <c r="G123" i="4"/>
  <c r="I123" i="4"/>
  <c r="J123" i="4"/>
  <c r="Q78" i="5"/>
  <c r="C49" i="5"/>
  <c r="S49" i="5" s="1"/>
  <c r="D49" i="5"/>
  <c r="M49" i="5" s="1"/>
  <c r="T49" i="5"/>
  <c r="N49" i="5"/>
  <c r="O49" i="5"/>
  <c r="G49" i="5"/>
  <c r="H49" i="5"/>
  <c r="I49" i="5"/>
  <c r="C51" i="5"/>
  <c r="P51" i="5" s="1"/>
  <c r="D51" i="5"/>
  <c r="L51" i="5" s="1"/>
  <c r="S51" i="5"/>
  <c r="N51" i="5"/>
  <c r="O51" i="5"/>
  <c r="G51" i="5"/>
  <c r="H51" i="5"/>
  <c r="C53" i="5"/>
  <c r="T53" i="5" s="1"/>
  <c r="D53" i="5"/>
  <c r="P53" i="5" s="1"/>
  <c r="N53" i="5"/>
  <c r="O53" i="5"/>
  <c r="H53" i="5"/>
  <c r="H78" i="5"/>
  <c r="C55" i="5"/>
  <c r="L55" i="5" s="1"/>
  <c r="D55" i="5"/>
  <c r="S55" i="5" s="1"/>
  <c r="N55" i="5"/>
  <c r="O55" i="5"/>
  <c r="H55" i="5"/>
  <c r="C57" i="5"/>
  <c r="S57" i="5" s="1"/>
  <c r="D57" i="5"/>
  <c r="T57" i="5" s="1"/>
  <c r="N57" i="5"/>
  <c r="O57" i="5"/>
  <c r="G57" i="5"/>
  <c r="I57" i="5"/>
  <c r="H57" i="5"/>
  <c r="C59" i="5"/>
  <c r="D59" i="5"/>
  <c r="S59" i="5" s="1"/>
  <c r="N59" i="5"/>
  <c r="O59" i="5"/>
  <c r="G59" i="5"/>
  <c r="H59" i="5"/>
  <c r="C61" i="5"/>
  <c r="P61" i="5" s="1"/>
  <c r="T61" i="5"/>
  <c r="D61" i="5"/>
  <c r="N61" i="5"/>
  <c r="O61" i="5"/>
  <c r="H61" i="5"/>
  <c r="I61" i="5"/>
  <c r="M61" i="5" s="1"/>
  <c r="C63" i="5"/>
  <c r="D63" i="5"/>
  <c r="L63" i="5" s="1"/>
  <c r="N63" i="5"/>
  <c r="O63" i="5"/>
  <c r="P63" i="5" s="1"/>
  <c r="C65" i="5"/>
  <c r="L65" i="5" s="1"/>
  <c r="P65" i="5"/>
  <c r="D65" i="5"/>
  <c r="N65" i="5"/>
  <c r="O65" i="5"/>
  <c r="C67" i="5"/>
  <c r="S67" i="5" s="1"/>
  <c r="D67" i="5"/>
  <c r="L67" i="5"/>
  <c r="N67" i="5"/>
  <c r="O67" i="5"/>
  <c r="H67" i="5"/>
  <c r="C69" i="5"/>
  <c r="S69" i="5" s="1"/>
  <c r="D69" i="5"/>
  <c r="M69" i="5" s="1"/>
  <c r="N69" i="5"/>
  <c r="O69" i="5"/>
  <c r="P69" i="5" s="1"/>
  <c r="G69" i="5"/>
  <c r="I69" i="5"/>
  <c r="H69" i="5"/>
  <c r="C71" i="5"/>
  <c r="P71" i="5" s="1"/>
  <c r="D71" i="5"/>
  <c r="T71" i="5"/>
  <c r="N71" i="5"/>
  <c r="O71" i="5"/>
  <c r="H71" i="5"/>
  <c r="I71" i="5"/>
  <c r="M71" i="5" s="1"/>
  <c r="C73" i="5"/>
  <c r="P73" i="5" s="1"/>
  <c r="D73" i="5"/>
  <c r="S73" i="5" s="1"/>
  <c r="N73" i="5"/>
  <c r="O73" i="5"/>
  <c r="H73" i="5"/>
  <c r="I73" i="5"/>
  <c r="C52" i="6"/>
  <c r="S52" i="6"/>
  <c r="M52" i="6"/>
  <c r="N52" i="6"/>
  <c r="B59" i="6"/>
  <c r="C59" i="6"/>
  <c r="M59" i="6"/>
  <c r="O59" i="6" s="1"/>
  <c r="N59" i="6"/>
  <c r="B61" i="6"/>
  <c r="B63" i="6" s="1"/>
  <c r="C61" i="6"/>
  <c r="M61" i="6"/>
  <c r="N61" i="6"/>
  <c r="M63" i="6"/>
  <c r="N63" i="6"/>
  <c r="B65" i="6"/>
  <c r="C65" i="6"/>
  <c r="M65" i="6"/>
  <c r="O65" i="6"/>
  <c r="N65" i="6"/>
  <c r="B72" i="6"/>
  <c r="C72" i="6"/>
  <c r="S72" i="6"/>
  <c r="M72" i="6"/>
  <c r="O72" i="6" s="1"/>
  <c r="N72" i="6"/>
  <c r="B73" i="6"/>
  <c r="O73" i="6" s="1"/>
  <c r="C73" i="6"/>
  <c r="S73" i="6" s="1"/>
  <c r="M73" i="6"/>
  <c r="N73" i="6"/>
  <c r="B78" i="6"/>
  <c r="O78" i="6" s="1"/>
  <c r="C78" i="6"/>
  <c r="M78" i="6"/>
  <c r="N78" i="6"/>
  <c r="B80" i="6"/>
  <c r="O80" i="6" s="1"/>
  <c r="S80" i="6"/>
  <c r="C80" i="6"/>
  <c r="M80" i="6"/>
  <c r="N80" i="6"/>
  <c r="M81" i="6"/>
  <c r="N81" i="6"/>
  <c r="C48" i="6"/>
  <c r="S48" i="6" s="1"/>
  <c r="M48" i="6"/>
  <c r="N48" i="6"/>
  <c r="C50" i="6"/>
  <c r="M50" i="6"/>
  <c r="O50" i="6" s="1"/>
  <c r="N50" i="6"/>
  <c r="C51" i="6"/>
  <c r="L51" i="6" s="1"/>
  <c r="M51" i="6"/>
  <c r="N51" i="6"/>
  <c r="M53" i="6"/>
  <c r="O53" i="6" s="1"/>
  <c r="N53" i="6"/>
  <c r="M49" i="8"/>
  <c r="N49" i="8"/>
  <c r="O49" i="8"/>
  <c r="C50" i="8"/>
  <c r="S50" i="8"/>
  <c r="M50" i="8"/>
  <c r="N50" i="8"/>
  <c r="C51" i="8"/>
  <c r="M51" i="8"/>
  <c r="N51" i="8"/>
  <c r="O51" i="8" s="1"/>
  <c r="C52" i="8"/>
  <c r="L52" i="8" s="1"/>
  <c r="S52" i="8"/>
  <c r="M52" i="8"/>
  <c r="N52" i="8"/>
  <c r="C53" i="8"/>
  <c r="L53" i="8" s="1"/>
  <c r="K53" i="8"/>
  <c r="M53" i="8"/>
  <c r="N53" i="8"/>
  <c r="M54" i="8"/>
  <c r="O54" i="8"/>
  <c r="N54" i="8"/>
  <c r="C59" i="8"/>
  <c r="K59" i="8" s="1"/>
  <c r="K62" i="8" s="1"/>
  <c r="M59" i="8"/>
  <c r="N59" i="8"/>
  <c r="M60" i="8"/>
  <c r="O60" i="8" s="1"/>
  <c r="N60" i="8"/>
  <c r="B65" i="8"/>
  <c r="O65" i="8" s="1"/>
  <c r="C65" i="8"/>
  <c r="L65" i="8" s="1"/>
  <c r="M65" i="8"/>
  <c r="N65" i="8"/>
  <c r="M66" i="8"/>
  <c r="N66" i="8"/>
  <c r="M73" i="8"/>
  <c r="N73" i="8"/>
  <c r="M75" i="8"/>
  <c r="O75" i="8"/>
  <c r="N75" i="8"/>
  <c r="M77" i="8"/>
  <c r="N77" i="8"/>
  <c r="O77" i="8" s="1"/>
  <c r="B82" i="8"/>
  <c r="C82" i="8"/>
  <c r="K82" i="8" s="1"/>
  <c r="K86" i="8" s="1"/>
  <c r="M82" i="8"/>
  <c r="N82" i="8"/>
  <c r="M84" i="8"/>
  <c r="N84" i="8"/>
  <c r="M89" i="8"/>
  <c r="N89" i="8"/>
  <c r="C94" i="8"/>
  <c r="S94" i="8" s="1"/>
  <c r="M94" i="8"/>
  <c r="O94" i="8" s="1"/>
  <c r="N94" i="8"/>
  <c r="C95" i="8"/>
  <c r="M95" i="8"/>
  <c r="N95" i="8"/>
  <c r="M96" i="8"/>
  <c r="N96" i="8"/>
  <c r="C102" i="8"/>
  <c r="T102" i="8" s="1"/>
  <c r="M102" i="8"/>
  <c r="N102" i="8"/>
  <c r="O102" i="8" s="1"/>
  <c r="M103" i="8"/>
  <c r="N103" i="8"/>
  <c r="O103" i="8" s="1"/>
  <c r="M109" i="8"/>
  <c r="O109" i="8" s="1"/>
  <c r="N109" i="8"/>
  <c r="M111" i="8"/>
  <c r="N111" i="8"/>
  <c r="M113" i="8"/>
  <c r="N113" i="8"/>
  <c r="M131" i="8"/>
  <c r="N131" i="8"/>
  <c r="O131" i="8" s="1"/>
  <c r="M132" i="8"/>
  <c r="O132" i="8" s="1"/>
  <c r="N132" i="8"/>
  <c r="B138" i="8"/>
  <c r="T138" i="8" s="1"/>
  <c r="K138" i="8"/>
  <c r="K142" i="8" s="1"/>
  <c r="C138" i="8"/>
  <c r="M138" i="8"/>
  <c r="N138" i="8"/>
  <c r="M140" i="8"/>
  <c r="N140" i="8"/>
  <c r="C97" i="8"/>
  <c r="K97" i="8" s="1"/>
  <c r="O97" i="8"/>
  <c r="M97" i="8"/>
  <c r="N97" i="8"/>
  <c r="B119" i="8"/>
  <c r="S119" i="8" s="1"/>
  <c r="T119" i="8"/>
  <c r="C119" i="8"/>
  <c r="M119" i="8"/>
  <c r="N119" i="8"/>
  <c r="M120" i="8"/>
  <c r="N120" i="8"/>
  <c r="B121" i="8"/>
  <c r="S121" i="8" s="1"/>
  <c r="B123" i="8"/>
  <c r="C121" i="8"/>
  <c r="C123" i="8" s="1"/>
  <c r="M121" i="8"/>
  <c r="N121" i="8"/>
  <c r="M126" i="8"/>
  <c r="N126" i="8"/>
  <c r="B139" i="8"/>
  <c r="C139" i="8"/>
  <c r="O139" i="8" s="1"/>
  <c r="M139" i="8"/>
  <c r="N139" i="8"/>
  <c r="B50" i="9"/>
  <c r="C50" i="9"/>
  <c r="M50" i="9"/>
  <c r="N50" i="9"/>
  <c r="B56" i="9"/>
  <c r="K56" i="9" s="1"/>
  <c r="M56" i="9"/>
  <c r="N56" i="9"/>
  <c r="M58" i="9"/>
  <c r="N58" i="9"/>
  <c r="B63" i="9"/>
  <c r="S63" i="9" s="1"/>
  <c r="C63" i="9"/>
  <c r="T63" i="9"/>
  <c r="M63" i="9"/>
  <c r="N63" i="9"/>
  <c r="O63" i="9"/>
  <c r="C65" i="9"/>
  <c r="T65" i="9" s="1"/>
  <c r="M65" i="9"/>
  <c r="O65" i="9" s="1"/>
  <c r="N65" i="9"/>
  <c r="N70" i="9"/>
  <c r="O70" i="9"/>
  <c r="N72" i="9"/>
  <c r="O72" i="9" s="1"/>
  <c r="N74" i="9"/>
  <c r="O74" i="9" s="1"/>
  <c r="N76" i="9"/>
  <c r="O76" i="9" s="1"/>
  <c r="B78" i="9"/>
  <c r="T78" i="9" s="1"/>
  <c r="C78" i="9"/>
  <c r="O78" i="9" s="1"/>
  <c r="M78" i="9"/>
  <c r="N78" i="9"/>
  <c r="N89" i="9"/>
  <c r="O89" i="9" s="1"/>
  <c r="N90" i="9"/>
  <c r="O90" i="9"/>
  <c r="B88" i="9"/>
  <c r="S91" i="9" s="1"/>
  <c r="C88" i="9"/>
  <c r="M91" i="9"/>
  <c r="N91" i="9"/>
  <c r="N99" i="9"/>
  <c r="N100" i="9"/>
  <c r="O100" i="9"/>
  <c r="B98" i="9"/>
  <c r="O101" i="9" s="1"/>
  <c r="C98" i="9"/>
  <c r="K98" i="9" s="1"/>
  <c r="M101" i="9"/>
  <c r="N101" i="9"/>
  <c r="N106" i="9"/>
  <c r="O106" i="9"/>
  <c r="N107" i="9"/>
  <c r="O107" i="9"/>
  <c r="N108" i="9"/>
  <c r="O108" i="9"/>
  <c r="B106" i="9"/>
  <c r="C106" i="9"/>
  <c r="T109" i="9" s="1"/>
  <c r="M109" i="9"/>
  <c r="O109" i="9" s="1"/>
  <c r="N109" i="9"/>
  <c r="N117" i="9"/>
  <c r="O117" i="9"/>
  <c r="B114" i="9"/>
  <c r="T118" i="9" s="1"/>
  <c r="S118" i="9"/>
  <c r="C114" i="9"/>
  <c r="M118" i="9"/>
  <c r="N118" i="9"/>
  <c r="O118" i="9" s="1"/>
  <c r="B124" i="9"/>
  <c r="C124" i="9"/>
  <c r="M127" i="9"/>
  <c r="N127" i="9"/>
  <c r="O127" i="9"/>
  <c r="B126" i="9"/>
  <c r="L126" i="9" s="1"/>
  <c r="L127" i="9" s="1"/>
  <c r="C126" i="9"/>
  <c r="M129" i="9"/>
  <c r="N129" i="9"/>
  <c r="N139" i="9"/>
  <c r="O139" i="9"/>
  <c r="N140" i="9"/>
  <c r="O140" i="9"/>
  <c r="N147" i="9"/>
  <c r="O147" i="9"/>
  <c r="N148" i="9"/>
  <c r="O148" i="9" s="1"/>
  <c r="C178" i="9"/>
  <c r="S181" i="9" s="1"/>
  <c r="K178" i="9"/>
  <c r="N181" i="9"/>
  <c r="C182" i="9"/>
  <c r="O185" i="9" s="1"/>
  <c r="N185" i="9"/>
  <c r="Q71" i="10"/>
  <c r="O50" i="10"/>
  <c r="O52" i="10"/>
  <c r="O54" i="10"/>
  <c r="O55" i="10"/>
  <c r="M58" i="10"/>
  <c r="O58" i="10"/>
  <c r="M61" i="10"/>
  <c r="O61" i="10"/>
  <c r="M63" i="10"/>
  <c r="M65" i="10"/>
  <c r="M67" i="10"/>
  <c r="O67" i="10" s="1"/>
  <c r="J6" i="5"/>
  <c r="I53" i="5"/>
  <c r="I55" i="5"/>
  <c r="M55" i="5" s="1"/>
  <c r="I63" i="5"/>
  <c r="M63" i="5" s="1"/>
  <c r="I65" i="5"/>
  <c r="M65" i="5" s="1"/>
  <c r="C75" i="5"/>
  <c r="M75" i="5" s="1"/>
  <c r="D75" i="5"/>
  <c r="I75" i="5"/>
  <c r="E78" i="5"/>
  <c r="F78" i="5"/>
  <c r="B83" i="5"/>
  <c r="H48" i="6"/>
  <c r="H50" i="6"/>
  <c r="L50" i="6"/>
  <c r="H51" i="6"/>
  <c r="H55" i="6" s="1"/>
  <c r="H52" i="6"/>
  <c r="L52" i="6" s="1"/>
  <c r="H53" i="6"/>
  <c r="L53" i="6" s="1"/>
  <c r="K53" i="6"/>
  <c r="S53" i="6"/>
  <c r="T53" i="6"/>
  <c r="D55" i="6"/>
  <c r="E55" i="6"/>
  <c r="F55" i="6"/>
  <c r="G55" i="6"/>
  <c r="I55" i="6"/>
  <c r="J55" i="6"/>
  <c r="H59" i="6"/>
  <c r="L59" i="6" s="1"/>
  <c r="T59" i="6"/>
  <c r="H61" i="6"/>
  <c r="L61" i="6"/>
  <c r="H63" i="6"/>
  <c r="H65" i="6"/>
  <c r="L65" i="6" s="1"/>
  <c r="H72" i="6"/>
  <c r="H73" i="6"/>
  <c r="B75" i="6"/>
  <c r="D75" i="6"/>
  <c r="E75" i="6"/>
  <c r="F75" i="6"/>
  <c r="G75" i="6"/>
  <c r="I75" i="6"/>
  <c r="J75" i="6"/>
  <c r="H78" i="6"/>
  <c r="L78" i="6" s="1"/>
  <c r="H80" i="6"/>
  <c r="H81" i="6"/>
  <c r="C83" i="6"/>
  <c r="D83" i="6"/>
  <c r="E83" i="6"/>
  <c r="F83" i="6"/>
  <c r="G83" i="6"/>
  <c r="I83" i="6"/>
  <c r="J83" i="6"/>
  <c r="R36" i="8"/>
  <c r="H49" i="8"/>
  <c r="L49" i="8"/>
  <c r="K49" i="8"/>
  <c r="S49" i="8"/>
  <c r="T49" i="8"/>
  <c r="H50" i="8"/>
  <c r="H51" i="8"/>
  <c r="H56" i="8" s="1"/>
  <c r="H52" i="8"/>
  <c r="H53" i="8"/>
  <c r="H54" i="8"/>
  <c r="L54" i="8"/>
  <c r="T54" i="8"/>
  <c r="D56" i="8"/>
  <c r="E56" i="8"/>
  <c r="F56" i="8"/>
  <c r="G56" i="8"/>
  <c r="I56" i="8"/>
  <c r="J56" i="8"/>
  <c r="H59" i="8"/>
  <c r="H60" i="8"/>
  <c r="L60" i="8" s="1"/>
  <c r="L62" i="8" s="1"/>
  <c r="K60" i="8"/>
  <c r="T60" i="8"/>
  <c r="C62" i="8"/>
  <c r="E62" i="8"/>
  <c r="F62" i="8"/>
  <c r="G62" i="8"/>
  <c r="I62" i="8"/>
  <c r="J62" i="8"/>
  <c r="H65" i="8"/>
  <c r="H68" i="8"/>
  <c r="H66" i="8"/>
  <c r="E68" i="8"/>
  <c r="F68" i="8"/>
  <c r="G68" i="8"/>
  <c r="I68" i="8"/>
  <c r="J68" i="8"/>
  <c r="H73" i="8"/>
  <c r="H75" i="8"/>
  <c r="L75" i="8" s="1"/>
  <c r="H77" i="8"/>
  <c r="H82" i="8"/>
  <c r="H86" i="8" s="1"/>
  <c r="H84" i="8"/>
  <c r="B86" i="8"/>
  <c r="C86" i="8"/>
  <c r="E86" i="8"/>
  <c r="F86" i="8"/>
  <c r="G86" i="8"/>
  <c r="I86" i="8"/>
  <c r="J86" i="8"/>
  <c r="H89" i="8"/>
  <c r="S89" i="8"/>
  <c r="C91" i="8"/>
  <c r="E91" i="8"/>
  <c r="F91" i="8"/>
  <c r="G91" i="8"/>
  <c r="I91" i="8"/>
  <c r="J91" i="8"/>
  <c r="H94" i="8"/>
  <c r="L94" i="8" s="1"/>
  <c r="H95" i="8"/>
  <c r="L95" i="8" s="1"/>
  <c r="H96" i="8"/>
  <c r="H97" i="8"/>
  <c r="L97" i="8" s="1"/>
  <c r="H102" i="8"/>
  <c r="H103" i="8"/>
  <c r="K103" i="8"/>
  <c r="S103" i="8"/>
  <c r="T103" i="8"/>
  <c r="C105" i="8"/>
  <c r="E105" i="8"/>
  <c r="F105" i="8"/>
  <c r="G105" i="8"/>
  <c r="I105" i="8"/>
  <c r="J105" i="8"/>
  <c r="I106" i="8"/>
  <c r="J106" i="8"/>
  <c r="H109" i="8"/>
  <c r="L109" i="8" s="1"/>
  <c r="K109" i="8"/>
  <c r="H111" i="8"/>
  <c r="K111" i="8"/>
  <c r="H113" i="8"/>
  <c r="S113" i="8"/>
  <c r="H119" i="8"/>
  <c r="H120" i="8"/>
  <c r="H123" i="8" s="1"/>
  <c r="L120" i="8"/>
  <c r="S120" i="8"/>
  <c r="H121" i="8"/>
  <c r="E123" i="8"/>
  <c r="F123" i="8"/>
  <c r="G123" i="8"/>
  <c r="I123" i="8"/>
  <c r="J123" i="8"/>
  <c r="H126" i="8"/>
  <c r="L126" i="8" s="1"/>
  <c r="L128" i="8" s="1"/>
  <c r="H128" i="8"/>
  <c r="B128" i="8"/>
  <c r="E128" i="8"/>
  <c r="F128" i="8"/>
  <c r="G128" i="8"/>
  <c r="I128" i="8"/>
  <c r="H131" i="8"/>
  <c r="L131" i="8" s="1"/>
  <c r="L134" i="8" s="1"/>
  <c r="K131" i="8"/>
  <c r="K134" i="8"/>
  <c r="S131" i="8"/>
  <c r="T131" i="8"/>
  <c r="H132" i="8"/>
  <c r="H134" i="8" s="1"/>
  <c r="L132" i="8"/>
  <c r="K132" i="8"/>
  <c r="S132" i="8"/>
  <c r="T132" i="8"/>
  <c r="E134" i="8"/>
  <c r="F134" i="8"/>
  <c r="G134" i="8"/>
  <c r="I134" i="8"/>
  <c r="J134" i="8"/>
  <c r="H138" i="8"/>
  <c r="H142" i="8" s="1"/>
  <c r="H139" i="8"/>
  <c r="L139" i="8" s="1"/>
  <c r="H140" i="8"/>
  <c r="L140" i="8" s="1"/>
  <c r="K140" i="8"/>
  <c r="M141" i="8"/>
  <c r="N141" i="8"/>
  <c r="E142" i="8"/>
  <c r="F142" i="8"/>
  <c r="G142" i="8"/>
  <c r="I142" i="8"/>
  <c r="J142" i="8"/>
  <c r="B139" i="9"/>
  <c r="C139" i="9"/>
  <c r="L139" i="9" s="1"/>
  <c r="K139" i="9"/>
  <c r="H139" i="9"/>
  <c r="S139" i="9"/>
  <c r="T139" i="9"/>
  <c r="B137" i="9"/>
  <c r="K137" i="9" s="1"/>
  <c r="K140" i="9" s="1"/>
  <c r="C137" i="9"/>
  <c r="B89" i="9"/>
  <c r="K89" i="9" s="1"/>
  <c r="C89" i="9"/>
  <c r="B99" i="9"/>
  <c r="K99" i="9"/>
  <c r="C99" i="9"/>
  <c r="B107" i="9"/>
  <c r="K107" i="9" s="1"/>
  <c r="K108" i="9" s="1"/>
  <c r="C107" i="9"/>
  <c r="B116" i="9"/>
  <c r="C116" i="9"/>
  <c r="B118" i="9"/>
  <c r="L118" i="9" s="1"/>
  <c r="C118" i="9"/>
  <c r="B146" i="9"/>
  <c r="K146" i="9"/>
  <c r="K147" i="9" s="1"/>
  <c r="C146" i="9"/>
  <c r="C152" i="9"/>
  <c r="C154" i="9" s="1"/>
  <c r="C156" i="9"/>
  <c r="K156" i="9" s="1"/>
  <c r="K157" i="9" s="1"/>
  <c r="C157" i="9"/>
  <c r="C159" i="9"/>
  <c r="K159" i="9" s="1"/>
  <c r="K162" i="9" s="1"/>
  <c r="C161" i="9"/>
  <c r="C162" i="9"/>
  <c r="B165" i="9"/>
  <c r="B166" i="9" s="1"/>
  <c r="C165" i="9"/>
  <c r="C168" i="9"/>
  <c r="E166" i="9"/>
  <c r="E168" i="9"/>
  <c r="E171" i="9" s="1"/>
  <c r="F166" i="9"/>
  <c r="F168" i="9"/>
  <c r="F171" i="9" s="1"/>
  <c r="C170" i="9"/>
  <c r="K170" i="9" s="1"/>
  <c r="C174" i="9"/>
  <c r="L174" i="9" s="1"/>
  <c r="C176" i="9"/>
  <c r="K176" i="9"/>
  <c r="H48" i="9"/>
  <c r="L48" i="9"/>
  <c r="L52" i="9" s="1"/>
  <c r="K48" i="9"/>
  <c r="M48" i="9"/>
  <c r="O48" i="9" s="1"/>
  <c r="N48" i="9"/>
  <c r="H50" i="9"/>
  <c r="H56" i="9"/>
  <c r="H58" i="9"/>
  <c r="H63" i="9"/>
  <c r="L63" i="9"/>
  <c r="L67" i="9" s="1"/>
  <c r="H65" i="9"/>
  <c r="L65" i="9"/>
  <c r="H70" i="9"/>
  <c r="L70" i="9" s="1"/>
  <c r="K70" i="9"/>
  <c r="S70" i="9"/>
  <c r="T70" i="9"/>
  <c r="H72" i="9"/>
  <c r="L72" i="9"/>
  <c r="K72" i="9"/>
  <c r="S72" i="9"/>
  <c r="T72" i="9"/>
  <c r="H74" i="9"/>
  <c r="L74" i="9" s="1"/>
  <c r="K74" i="9"/>
  <c r="S74" i="9"/>
  <c r="T74" i="9"/>
  <c r="H76" i="9"/>
  <c r="L76" i="9"/>
  <c r="K76" i="9"/>
  <c r="S76" i="9"/>
  <c r="T76" i="9"/>
  <c r="H78" i="9"/>
  <c r="L78" i="9" s="1"/>
  <c r="H83" i="9"/>
  <c r="L83" i="9"/>
  <c r="K83" i="9"/>
  <c r="H85" i="9"/>
  <c r="L85" i="9" s="1"/>
  <c r="K85" i="9"/>
  <c r="S89" i="9"/>
  <c r="T89" i="9"/>
  <c r="H87" i="9"/>
  <c r="L87" i="9"/>
  <c r="K87" i="9"/>
  <c r="S90" i="9"/>
  <c r="T90" i="9"/>
  <c r="H88" i="9"/>
  <c r="L88" i="9" s="1"/>
  <c r="H89" i="9"/>
  <c r="H93" i="9"/>
  <c r="L93" i="9"/>
  <c r="K93" i="9"/>
  <c r="S99" i="9"/>
  <c r="T99" i="9"/>
  <c r="H97" i="9"/>
  <c r="L97" i="9" s="1"/>
  <c r="K97" i="9"/>
  <c r="S100" i="9"/>
  <c r="T100" i="9"/>
  <c r="H98" i="9"/>
  <c r="H99" i="9"/>
  <c r="L99" i="9" s="1"/>
  <c r="H102" i="9"/>
  <c r="L102" i="9"/>
  <c r="K102" i="9"/>
  <c r="S106" i="9"/>
  <c r="T106" i="9"/>
  <c r="H103" i="9"/>
  <c r="L103" i="9"/>
  <c r="K103" i="9"/>
  <c r="S107" i="9"/>
  <c r="T107" i="9"/>
  <c r="H105" i="9"/>
  <c r="L105" i="9" s="1"/>
  <c r="K105" i="9"/>
  <c r="S108" i="9"/>
  <c r="T108" i="9"/>
  <c r="H106" i="9"/>
  <c r="H107" i="9"/>
  <c r="L107" i="9" s="1"/>
  <c r="H111" i="9"/>
  <c r="L111" i="9" s="1"/>
  <c r="K111" i="9"/>
  <c r="H113" i="9"/>
  <c r="L113" i="9"/>
  <c r="K113" i="9"/>
  <c r="S117" i="9"/>
  <c r="T117" i="9"/>
  <c r="H114" i="9"/>
  <c r="L114" i="9" s="1"/>
  <c r="H116" i="9"/>
  <c r="L116" i="9"/>
  <c r="H118" i="9"/>
  <c r="H120" i="9"/>
  <c r="L120" i="9"/>
  <c r="K120" i="9"/>
  <c r="H124" i="9"/>
  <c r="L124" i="9"/>
  <c r="H126" i="9"/>
  <c r="H129" i="9"/>
  <c r="H130" i="9" s="1"/>
  <c r="K129" i="9"/>
  <c r="K131" i="9"/>
  <c r="B131" i="9"/>
  <c r="D131" i="9"/>
  <c r="E131" i="9"/>
  <c r="F131" i="9"/>
  <c r="G131" i="9"/>
  <c r="I131" i="9"/>
  <c r="J131" i="9"/>
  <c r="H134" i="9"/>
  <c r="L134" i="9"/>
  <c r="K134" i="9"/>
  <c r="H136" i="9"/>
  <c r="L136" i="9"/>
  <c r="K136" i="9"/>
  <c r="S140" i="9"/>
  <c r="T140" i="9"/>
  <c r="H137" i="9"/>
  <c r="L137" i="9" s="1"/>
  <c r="H143" i="9"/>
  <c r="L143" i="9"/>
  <c r="K143" i="9"/>
  <c r="S147" i="9"/>
  <c r="T147" i="9"/>
  <c r="H145" i="9"/>
  <c r="L145" i="9"/>
  <c r="K145" i="9"/>
  <c r="S148" i="9"/>
  <c r="T148" i="9"/>
  <c r="H146" i="9"/>
  <c r="H149" i="9"/>
  <c r="K149" i="9"/>
  <c r="B150" i="9"/>
  <c r="C150" i="9"/>
  <c r="E150" i="9"/>
  <c r="F150" i="9"/>
  <c r="G150" i="9"/>
  <c r="I150" i="9"/>
  <c r="J150" i="9"/>
  <c r="K150" i="9"/>
  <c r="H152" i="9"/>
  <c r="H154" i="9" s="1"/>
  <c r="B154" i="9"/>
  <c r="D154" i="9"/>
  <c r="E154" i="9"/>
  <c r="F154" i="9"/>
  <c r="G154" i="9"/>
  <c r="I154" i="9"/>
  <c r="J154" i="9"/>
  <c r="H156" i="9"/>
  <c r="H157" i="9"/>
  <c r="B157" i="9"/>
  <c r="D157" i="9"/>
  <c r="E157" i="9"/>
  <c r="F157" i="9"/>
  <c r="G157" i="9"/>
  <c r="I157" i="9"/>
  <c r="J157" i="9"/>
  <c r="H159" i="9"/>
  <c r="L159" i="9" s="1"/>
  <c r="L162" i="9" s="1"/>
  <c r="H161" i="9"/>
  <c r="L161" i="9" s="1"/>
  <c r="H162" i="9"/>
  <c r="D162" i="9"/>
  <c r="E162" i="9"/>
  <c r="F162" i="9"/>
  <c r="G162" i="9"/>
  <c r="I162" i="9"/>
  <c r="J162" i="9"/>
  <c r="H165" i="9"/>
  <c r="L165" i="9" s="1"/>
  <c r="L166" i="9" s="1"/>
  <c r="G166" i="9"/>
  <c r="I166" i="9"/>
  <c r="J166" i="9"/>
  <c r="H170" i="9"/>
  <c r="B171" i="9"/>
  <c r="G171" i="9"/>
  <c r="I171" i="9"/>
  <c r="J171" i="9"/>
  <c r="H174" i="9"/>
  <c r="H176" i="9"/>
  <c r="L176" i="9" s="1"/>
  <c r="H178" i="9"/>
  <c r="L178" i="9" s="1"/>
  <c r="H182" i="9"/>
  <c r="K182" i="9"/>
  <c r="K183" i="9"/>
  <c r="B183" i="9"/>
  <c r="C183" i="9"/>
  <c r="I183" i="9"/>
  <c r="J183" i="9"/>
  <c r="Q191" i="9"/>
  <c r="H50" i="10"/>
  <c r="L50" i="10" s="1"/>
  <c r="K50" i="10"/>
  <c r="S50" i="10"/>
  <c r="T50" i="10"/>
  <c r="H52" i="10"/>
  <c r="L52" i="10"/>
  <c r="K52" i="10"/>
  <c r="S52" i="10"/>
  <c r="T52" i="10"/>
  <c r="H54" i="10"/>
  <c r="L54" i="10" s="1"/>
  <c r="K54" i="10"/>
  <c r="S54" i="10"/>
  <c r="T54" i="10"/>
  <c r="H55" i="10"/>
  <c r="L55" i="10"/>
  <c r="K55" i="10"/>
  <c r="S55" i="10"/>
  <c r="T55" i="10"/>
  <c r="H56" i="10"/>
  <c r="H58" i="10"/>
  <c r="L58" i="10"/>
  <c r="K58" i="10"/>
  <c r="S58" i="10"/>
  <c r="T58" i="10"/>
  <c r="H61" i="10"/>
  <c r="L61" i="10" s="1"/>
  <c r="S61" i="10"/>
  <c r="H63" i="10"/>
  <c r="H65" i="10"/>
  <c r="L65" i="10" s="1"/>
  <c r="K65" i="10"/>
  <c r="S65" i="10"/>
  <c r="H67" i="10"/>
  <c r="L67" i="10"/>
  <c r="K67" i="10"/>
  <c r="S67" i="10"/>
  <c r="S110" i="4"/>
  <c r="S82" i="4"/>
  <c r="S72" i="4"/>
  <c r="T51" i="4"/>
  <c r="O51" i="4"/>
  <c r="H106" i="8"/>
  <c r="L103" i="8"/>
  <c r="L105" i="8" s="1"/>
  <c r="T61" i="10"/>
  <c r="C86" i="4"/>
  <c r="T86" i="4" s="1"/>
  <c r="T110" i="4"/>
  <c r="S51" i="4"/>
  <c r="O110" i="4"/>
  <c r="T109" i="4"/>
  <c r="T84" i="4"/>
  <c r="T67" i="10"/>
  <c r="K61" i="10"/>
  <c r="T92" i="4"/>
  <c r="S91" i="4"/>
  <c r="S83" i="4"/>
  <c r="T82" i="4"/>
  <c r="K109" i="4"/>
  <c r="K118" i="4"/>
  <c r="O92" i="4"/>
  <c r="T91" i="4"/>
  <c r="C53" i="4"/>
  <c r="T64" i="4"/>
  <c r="S64" i="4"/>
  <c r="S63" i="4"/>
  <c r="L156" i="9"/>
  <c r="L157" i="9" s="1"/>
  <c r="H75" i="6"/>
  <c r="H60" i="4"/>
  <c r="H53" i="4"/>
  <c r="K84" i="4"/>
  <c r="S84" i="4"/>
  <c r="T61" i="6"/>
  <c r="K61" i="6"/>
  <c r="K92" i="4"/>
  <c r="K63" i="4"/>
  <c r="K66" i="4" s="1"/>
  <c r="I67" i="5"/>
  <c r="M67" i="5" s="1"/>
  <c r="I51" i="5"/>
  <c r="M51" i="5"/>
  <c r="T101" i="9"/>
  <c r="K114" i="9"/>
  <c r="T181" i="9"/>
  <c r="L89" i="8"/>
  <c r="L91" i="8" s="1"/>
  <c r="H91" i="8"/>
  <c r="S138" i="8"/>
  <c r="T118" i="4"/>
  <c r="K80" i="6"/>
  <c r="T52" i="6"/>
  <c r="S97" i="8"/>
  <c r="L73" i="6"/>
  <c r="T65" i="6"/>
  <c r="T127" i="9"/>
  <c r="T75" i="8"/>
  <c r="O59" i="8"/>
  <c r="K120" i="8"/>
  <c r="L113" i="8"/>
  <c r="S102" i="8"/>
  <c r="S75" i="8"/>
  <c r="O84" i="8"/>
  <c r="K102" i="8"/>
  <c r="K105" i="8"/>
  <c r="K75" i="8"/>
  <c r="T59" i="8"/>
  <c r="B48" i="13"/>
  <c r="K119" i="8"/>
  <c r="L59" i="8"/>
  <c r="K84" i="8"/>
  <c r="S60" i="8"/>
  <c r="L72" i="6"/>
  <c r="K27" i="13"/>
  <c r="L109" i="4"/>
  <c r="O56" i="4"/>
  <c r="L85" i="4"/>
  <c r="L51" i="4"/>
  <c r="K64" i="4"/>
  <c r="L49" i="5"/>
  <c r="L98" i="9"/>
  <c r="K78" i="9"/>
  <c r="K80" i="9" s="1"/>
  <c r="S78" i="9"/>
  <c r="S119" i="4"/>
  <c r="B86" i="4"/>
  <c r="S86" i="4" s="1"/>
  <c r="C66" i="4"/>
  <c r="S59" i="8"/>
  <c r="K86" i="4"/>
  <c r="S50" i="9"/>
  <c r="L50" i="9"/>
  <c r="S54" i="8"/>
  <c r="T51" i="8"/>
  <c r="K54" i="8"/>
  <c r="S51" i="8"/>
  <c r="K51" i="8"/>
  <c r="T109" i="8"/>
  <c r="S109" i="8"/>
  <c r="T53" i="8"/>
  <c r="T80" i="6"/>
  <c r="S104" i="4"/>
  <c r="K73" i="13"/>
  <c r="K152" i="9"/>
  <c r="K154" i="9" s="1"/>
  <c r="L102" i="8"/>
  <c r="H105" i="8"/>
  <c r="H183" i="9"/>
  <c r="L182" i="9"/>
  <c r="L183" i="9"/>
  <c r="O116" i="4"/>
  <c r="K116" i="4"/>
  <c r="T116" i="4"/>
  <c r="S116" i="4"/>
  <c r="L84" i="8"/>
  <c r="S50" i="6"/>
  <c r="T50" i="6"/>
  <c r="K50" i="6"/>
  <c r="L170" i="9"/>
  <c r="T50" i="9"/>
  <c r="K50" i="9"/>
  <c r="K52" i="9"/>
  <c r="O50" i="9"/>
  <c r="T69" i="5"/>
  <c r="I59" i="5"/>
  <c r="M59" i="5"/>
  <c r="G78" i="5"/>
  <c r="K116" i="9"/>
  <c r="K124" i="9"/>
  <c r="K72" i="6"/>
  <c r="K58" i="4"/>
  <c r="T72" i="6"/>
  <c r="T94" i="8"/>
  <c r="H66" i="4"/>
  <c r="K63" i="9"/>
  <c r="S61" i="6"/>
  <c r="O61" i="6"/>
  <c r="C63" i="6"/>
  <c r="O52" i="6"/>
  <c r="S127" i="9"/>
  <c r="H150" i="9"/>
  <c r="L149" i="9"/>
  <c r="L150" i="9" s="1"/>
  <c r="K94" i="8"/>
  <c r="T139" i="8"/>
  <c r="K139" i="8"/>
  <c r="S139" i="8"/>
  <c r="K65" i="6"/>
  <c r="S65" i="6"/>
  <c r="K65" i="9"/>
  <c r="K67" i="9"/>
  <c r="S65" i="9"/>
  <c r="O95" i="8"/>
  <c r="K95" i="8"/>
  <c r="S95" i="8"/>
  <c r="T95" i="8"/>
  <c r="T56" i="4"/>
  <c r="G60" i="4"/>
  <c r="S56" i="4"/>
  <c r="L57" i="13"/>
  <c r="L86" i="13"/>
  <c r="L37" i="13"/>
  <c r="L90" i="13"/>
  <c r="K74" i="13"/>
  <c r="K88" i="13"/>
  <c r="K31" i="13"/>
  <c r="K33" i="13"/>
  <c r="B11" i="14" s="1"/>
  <c r="D16" i="14"/>
  <c r="L31" i="13"/>
  <c r="L33" i="13" s="1"/>
  <c r="C11" i="14" s="1"/>
  <c r="C166" i="9"/>
  <c r="L44" i="13"/>
  <c r="K44" i="13"/>
  <c r="O140" i="8"/>
  <c r="K96" i="8"/>
  <c r="O96" i="8"/>
  <c r="C63" i="13"/>
  <c r="L63" i="13" s="1"/>
  <c r="T96" i="8"/>
  <c r="L121" i="8"/>
  <c r="T140" i="8"/>
  <c r="K51" i="6"/>
  <c r="T51" i="5"/>
  <c r="L94" i="4"/>
  <c r="K94" i="4"/>
  <c r="O109" i="4"/>
  <c r="T49" i="4"/>
  <c r="K49" i="4"/>
  <c r="L49" i="4"/>
  <c r="B26" i="13"/>
  <c r="T70" i="4"/>
  <c r="K70" i="4"/>
  <c r="O72" i="4"/>
  <c r="L72" i="4"/>
  <c r="O64" i="4"/>
  <c r="O91" i="4"/>
  <c r="K82" i="13"/>
  <c r="K62" i="15"/>
  <c r="K64" i="15"/>
  <c r="K39" i="15"/>
  <c r="K50" i="15"/>
  <c r="K95" i="15"/>
  <c r="K120" i="4"/>
  <c r="L120" i="4"/>
  <c r="L102" i="4"/>
  <c r="L119" i="4"/>
  <c r="L56" i="10"/>
  <c r="K106" i="9"/>
  <c r="L146" i="9"/>
  <c r="L147" i="9" s="1"/>
  <c r="K161" i="9"/>
  <c r="L50" i="13"/>
  <c r="L43" i="13"/>
  <c r="K43" i="13"/>
  <c r="L55" i="13"/>
  <c r="S77" i="8"/>
  <c r="C68" i="8"/>
  <c r="O50" i="8"/>
  <c r="K53" i="13"/>
  <c r="K52" i="8"/>
  <c r="B63" i="13"/>
  <c r="K63" i="13" s="1"/>
  <c r="T50" i="8"/>
  <c r="K50" i="8"/>
  <c r="K56" i="8" s="1"/>
  <c r="T52" i="8"/>
  <c r="K59" i="6"/>
  <c r="K52" i="6"/>
  <c r="T73" i="6"/>
  <c r="K78" i="6"/>
  <c r="S59" i="6"/>
  <c r="B83" i="6"/>
  <c r="K73" i="6"/>
  <c r="K75" i="6"/>
  <c r="T81" i="6"/>
  <c r="C75" i="6"/>
  <c r="S81" i="6"/>
  <c r="O81" i="6"/>
  <c r="L75" i="6"/>
  <c r="L81" i="6"/>
  <c r="L71" i="5"/>
  <c r="L59" i="5"/>
  <c r="T67" i="5"/>
  <c r="L57" i="5"/>
  <c r="S71" i="5"/>
  <c r="P67" i="5"/>
  <c r="L61" i="5"/>
  <c r="L50" i="8"/>
  <c r="L92" i="15"/>
  <c r="L46" i="15"/>
  <c r="L43" i="15"/>
  <c r="L37" i="15"/>
  <c r="L55" i="15"/>
  <c r="L90" i="15"/>
  <c r="L31" i="15"/>
  <c r="L26" i="15"/>
  <c r="L81" i="13"/>
  <c r="K59" i="15"/>
  <c r="K27" i="15"/>
  <c r="L64" i="15"/>
  <c r="K46" i="15"/>
  <c r="L50" i="15"/>
  <c r="K37" i="15"/>
  <c r="K54" i="15"/>
  <c r="K90" i="15"/>
  <c r="K94" i="15"/>
  <c r="K31" i="15"/>
  <c r="K33" i="15"/>
  <c r="B16" i="16"/>
  <c r="L91" i="4"/>
  <c r="L121" i="4"/>
  <c r="L82" i="4"/>
  <c r="K37" i="13"/>
  <c r="L63" i="4"/>
  <c r="L66" i="4" s="1"/>
  <c r="S81" i="4"/>
  <c r="K83" i="4"/>
  <c r="K82" i="4"/>
  <c r="S121" i="4"/>
  <c r="T120" i="4"/>
  <c r="K102" i="4"/>
  <c r="K101" i="4"/>
  <c r="K106" i="4" s="1"/>
  <c r="O81" i="4"/>
  <c r="L81" i="4"/>
  <c r="K81" i="4"/>
  <c r="B95" i="4"/>
  <c r="O95" i="4" s="1"/>
  <c r="T94" i="4"/>
  <c r="T72" i="4"/>
  <c r="S71" i="4"/>
  <c r="O71" i="4"/>
  <c r="T71" i="4"/>
  <c r="L71" i="4"/>
  <c r="S74" i="4"/>
  <c r="L111" i="4"/>
  <c r="B60" i="4"/>
  <c r="L58" i="4"/>
  <c r="T58" i="4"/>
  <c r="S58" i="4"/>
  <c r="O70" i="4"/>
  <c r="S111" i="4"/>
  <c r="L74" i="4"/>
  <c r="C33" i="15"/>
  <c r="L44" i="15"/>
  <c r="K53" i="15"/>
  <c r="L54" i="15"/>
  <c r="L57" i="15"/>
  <c r="K26" i="15"/>
  <c r="K28" i="15"/>
  <c r="L27" i="15"/>
  <c r="L39" i="15"/>
  <c r="K63" i="15"/>
  <c r="K81" i="13"/>
  <c r="K84" i="13"/>
  <c r="K52" i="15"/>
  <c r="B113" i="4"/>
  <c r="K111" i="4"/>
  <c r="K56" i="4"/>
  <c r="K60" i="4"/>
  <c r="S49" i="4"/>
  <c r="O75" i="4"/>
  <c r="O76" i="4"/>
  <c r="O74" i="4"/>
  <c r="L75" i="4"/>
  <c r="T75" i="4"/>
  <c r="K76" i="4"/>
  <c r="K74" i="4"/>
  <c r="S76" i="4"/>
  <c r="K40" i="15"/>
  <c r="K98" i="15"/>
  <c r="K66" i="15"/>
  <c r="B14" i="14"/>
  <c r="K99" i="15"/>
  <c r="K101" i="15"/>
  <c r="T73" i="5" l="1"/>
  <c r="S53" i="5"/>
  <c r="S76" i="5" s="1"/>
  <c r="P57" i="5"/>
  <c r="M53" i="5"/>
  <c r="M76" i="5" s="1"/>
  <c r="F12" i="11" s="1"/>
  <c r="P49" i="5"/>
  <c r="S63" i="5"/>
  <c r="L53" i="5"/>
  <c r="L76" i="5" s="1"/>
  <c r="B12" i="11" s="1"/>
  <c r="T63" i="5"/>
  <c r="P59" i="5"/>
  <c r="S75" i="5"/>
  <c r="M73" i="5"/>
  <c r="L69" i="5"/>
  <c r="M57" i="5"/>
  <c r="T55" i="5"/>
  <c r="T76" i="5" s="1"/>
  <c r="D12" i="11" s="1"/>
  <c r="L73" i="5"/>
  <c r="P55" i="5"/>
  <c r="L75" i="5"/>
  <c r="T75" i="5"/>
  <c r="S61" i="5"/>
  <c r="T59" i="5"/>
  <c r="K48" i="13"/>
  <c r="L46" i="13"/>
  <c r="K52" i="13"/>
  <c r="L99" i="8"/>
  <c r="K99" i="8"/>
  <c r="S73" i="8"/>
  <c r="L61" i="13"/>
  <c r="L48" i="13"/>
  <c r="K66" i="8"/>
  <c r="T121" i="8"/>
  <c r="T65" i="8"/>
  <c r="T111" i="8"/>
  <c r="L73" i="8"/>
  <c r="L79" i="8" s="1"/>
  <c r="L64" i="13"/>
  <c r="L66" i="8"/>
  <c r="L68" i="8" s="1"/>
  <c r="O126" i="8"/>
  <c r="S96" i="8"/>
  <c r="O53" i="8"/>
  <c r="T82" i="8"/>
  <c r="S111" i="8"/>
  <c r="C59" i="13"/>
  <c r="K59" i="13" s="1"/>
  <c r="C52" i="13"/>
  <c r="B46" i="13"/>
  <c r="K46" i="13" s="1"/>
  <c r="L138" i="8"/>
  <c r="L142" i="8" s="1"/>
  <c r="O73" i="8"/>
  <c r="L111" i="8"/>
  <c r="L115" i="8" s="1"/>
  <c r="H62" i="8"/>
  <c r="L82" i="8"/>
  <c r="L86" i="8" s="1"/>
  <c r="B68" i="8"/>
  <c r="T113" i="8"/>
  <c r="K113" i="8"/>
  <c r="K115" i="8" s="1"/>
  <c r="S84" i="8"/>
  <c r="O121" i="8"/>
  <c r="L59" i="13"/>
  <c r="L62" i="13"/>
  <c r="O119" i="8"/>
  <c r="O89" i="8"/>
  <c r="B91" i="8"/>
  <c r="O120" i="8"/>
  <c r="O82" i="8"/>
  <c r="L54" i="13"/>
  <c r="L52" i="13"/>
  <c r="S66" i="8"/>
  <c r="O52" i="8"/>
  <c r="O146" i="8" s="1"/>
  <c r="L119" i="8"/>
  <c r="L123" i="8" s="1"/>
  <c r="O113" i="8"/>
  <c r="T97" i="8"/>
  <c r="T89" i="8"/>
  <c r="L51" i="8"/>
  <c r="L56" i="8" s="1"/>
  <c r="O138" i="8"/>
  <c r="L58" i="13"/>
  <c r="K121" i="8"/>
  <c r="K123" i="8" s="1"/>
  <c r="S65" i="8"/>
  <c r="K73" i="8"/>
  <c r="K79" i="8" s="1"/>
  <c r="O66" i="8"/>
  <c r="T77" i="8"/>
  <c r="S126" i="8"/>
  <c r="T73" i="8"/>
  <c r="T144" i="8" s="1"/>
  <c r="D16" i="11" s="1"/>
  <c r="S82" i="8"/>
  <c r="S53" i="8"/>
  <c r="S144" i="8" s="1"/>
  <c r="C16" i="11" s="1"/>
  <c r="K65" i="8"/>
  <c r="K68" i="8" s="1"/>
  <c r="P146" i="8"/>
  <c r="L121" i="9"/>
  <c r="L140" i="9"/>
  <c r="L80" i="9"/>
  <c r="L179" i="9"/>
  <c r="K165" i="9"/>
  <c r="K166" i="9" s="1"/>
  <c r="S109" i="9"/>
  <c r="L129" i="9"/>
  <c r="L131" i="9" s="1"/>
  <c r="S101" i="9"/>
  <c r="L89" i="9"/>
  <c r="L90" i="9" s="1"/>
  <c r="O181" i="9"/>
  <c r="O129" i="9"/>
  <c r="T56" i="9"/>
  <c r="K174" i="9"/>
  <c r="K179" i="9" s="1"/>
  <c r="S129" i="9"/>
  <c r="B58" i="9"/>
  <c r="L56" i="9"/>
  <c r="K118" i="9"/>
  <c r="K121" i="9" s="1"/>
  <c r="L106" i="9"/>
  <c r="L108" i="9" s="1"/>
  <c r="S56" i="9"/>
  <c r="T129" i="9"/>
  <c r="K126" i="9"/>
  <c r="K127" i="9" s="1"/>
  <c r="C171" i="9"/>
  <c r="L152" i="9"/>
  <c r="L154" i="9" s="1"/>
  <c r="T91" i="9"/>
  <c r="T185" i="9"/>
  <c r="H131" i="9"/>
  <c r="H166" i="9"/>
  <c r="K88" i="9"/>
  <c r="K90" i="9" s="1"/>
  <c r="S185" i="9"/>
  <c r="O56" i="9"/>
  <c r="O91" i="9"/>
  <c r="K69" i="10"/>
  <c r="B20" i="11" s="1"/>
  <c r="L96" i="13"/>
  <c r="K96" i="13"/>
  <c r="K94" i="13"/>
  <c r="L94" i="13"/>
  <c r="L69" i="10"/>
  <c r="F20" i="11" s="1"/>
  <c r="L95" i="13"/>
  <c r="T56" i="10"/>
  <c r="T65" i="10"/>
  <c r="B91" i="13"/>
  <c r="O63" i="10"/>
  <c r="S56" i="10"/>
  <c r="O65" i="10"/>
  <c r="S63" i="10"/>
  <c r="O56" i="10"/>
  <c r="L97" i="13"/>
  <c r="L92" i="13"/>
  <c r="T63" i="10"/>
  <c r="L63" i="10"/>
  <c r="L84" i="13"/>
  <c r="C14" i="14" s="1"/>
  <c r="L101" i="15"/>
  <c r="H168" i="9"/>
  <c r="K168" i="9"/>
  <c r="K171" i="9" s="1"/>
  <c r="I78" i="5"/>
  <c r="T125" i="4"/>
  <c r="D10" i="11" s="1"/>
  <c r="K78" i="4"/>
  <c r="K26" i="13"/>
  <c r="K28" i="13" s="1"/>
  <c r="B10" i="14" s="1"/>
  <c r="L26" i="13"/>
  <c r="L28" i="13" s="1"/>
  <c r="C10" i="14" s="1"/>
  <c r="K98" i="4"/>
  <c r="L78" i="4"/>
  <c r="K53" i="4"/>
  <c r="O85" i="4"/>
  <c r="O119" i="4"/>
  <c r="T85" i="4"/>
  <c r="S75" i="4"/>
  <c r="S125" i="4" s="1"/>
  <c r="C10" i="11" s="1"/>
  <c r="S96" i="4"/>
  <c r="S102" i="4"/>
  <c r="K40" i="13"/>
  <c r="K96" i="4"/>
  <c r="O96" i="4"/>
  <c r="K85" i="4"/>
  <c r="K88" i="4" s="1"/>
  <c r="T83" i="4"/>
  <c r="T63" i="4"/>
  <c r="O49" i="4"/>
  <c r="T96" i="4"/>
  <c r="L50" i="4"/>
  <c r="L53" i="4" s="1"/>
  <c r="L95" i="4"/>
  <c r="L98" i="4" s="1"/>
  <c r="L116" i="4"/>
  <c r="L123" i="4" s="1"/>
  <c r="S101" i="4"/>
  <c r="T101" i="4"/>
  <c r="T50" i="4"/>
  <c r="K50" i="4"/>
  <c r="K95" i="4"/>
  <c r="O50" i="4"/>
  <c r="H83" i="6"/>
  <c r="L80" i="6"/>
  <c r="L83" i="6" s="1"/>
  <c r="L39" i="13"/>
  <c r="L40" i="13" s="1"/>
  <c r="B12" i="14"/>
  <c r="L63" i="6"/>
  <c r="L67" i="6" s="1"/>
  <c r="T63" i="6"/>
  <c r="K63" i="6"/>
  <c r="K67" i="6" s="1"/>
  <c r="O63" i="6"/>
  <c r="S63" i="6"/>
  <c r="P87" i="6"/>
  <c r="O51" i="6"/>
  <c r="K81" i="6"/>
  <c r="K83" i="6" s="1"/>
  <c r="S51" i="6"/>
  <c r="S87" i="6" s="1"/>
  <c r="C14" i="11" s="1"/>
  <c r="L48" i="6"/>
  <c r="L55" i="6" s="1"/>
  <c r="T48" i="6"/>
  <c r="T78" i="6"/>
  <c r="K48" i="6"/>
  <c r="K55" i="6" s="1"/>
  <c r="O48" i="6"/>
  <c r="S78" i="6"/>
  <c r="T51" i="6"/>
  <c r="E12" i="11" l="1"/>
  <c r="P78" i="5"/>
  <c r="R78" i="5"/>
  <c r="R82" i="5" s="1"/>
  <c r="K144" i="8"/>
  <c r="B16" i="11" s="1"/>
  <c r="L66" i="13"/>
  <c r="C13" i="14" s="1"/>
  <c r="K66" i="13"/>
  <c r="B13" i="14" s="1"/>
  <c r="Q146" i="8"/>
  <c r="R146" i="8" s="1"/>
  <c r="L144" i="8"/>
  <c r="F16" i="11" s="1"/>
  <c r="E16" i="11" s="1"/>
  <c r="T191" i="9"/>
  <c r="D18" i="11" s="1"/>
  <c r="S58" i="9"/>
  <c r="S191" i="9" s="1"/>
  <c r="C18" i="11" s="1"/>
  <c r="O58" i="9"/>
  <c r="L58" i="9"/>
  <c r="L60" i="9" s="1"/>
  <c r="K58" i="9"/>
  <c r="K60" i="9" s="1"/>
  <c r="T58" i="9"/>
  <c r="S71" i="10"/>
  <c r="C20" i="11" s="1"/>
  <c r="T71" i="10"/>
  <c r="D20" i="11" s="1"/>
  <c r="E20" i="11"/>
  <c r="L91" i="13"/>
  <c r="L98" i="13" s="1"/>
  <c r="K91" i="13"/>
  <c r="K98" i="13" s="1"/>
  <c r="B15" i="14" s="1"/>
  <c r="B16" i="14" s="1"/>
  <c r="O71" i="10"/>
  <c r="P71" i="10"/>
  <c r="R71" i="10" s="1"/>
  <c r="H171" i="9"/>
  <c r="L168" i="9"/>
  <c r="L171" i="9" s="1"/>
  <c r="O99" i="9"/>
  <c r="K95" i="9"/>
  <c r="K100" i="9" s="1"/>
  <c r="H95" i="9"/>
  <c r="L95" i="9" s="1"/>
  <c r="L100" i="9" s="1"/>
  <c r="L125" i="4"/>
  <c r="F10" i="11" s="1"/>
  <c r="E10" i="11" s="1"/>
  <c r="K125" i="4"/>
  <c r="B10" i="11" s="1"/>
  <c r="Q125" i="4"/>
  <c r="O125" i="4"/>
  <c r="P125" i="4"/>
  <c r="C22" i="11"/>
  <c r="L85" i="6"/>
  <c r="F14" i="11" s="1"/>
  <c r="O87" i="6"/>
  <c r="Q87" i="6"/>
  <c r="R87" i="6" s="1"/>
  <c r="K85" i="6"/>
  <c r="B14" i="11" s="1"/>
  <c r="T87" i="6"/>
  <c r="D14" i="11" s="1"/>
  <c r="L99" i="13"/>
  <c r="L101" i="13" s="1"/>
  <c r="C12" i="14"/>
  <c r="K184" i="9" l="1"/>
  <c r="B18" i="11" s="1"/>
  <c r="L184" i="9"/>
  <c r="F18" i="11" s="1"/>
  <c r="E18" i="11" s="1"/>
  <c r="D22" i="11"/>
  <c r="C15" i="14"/>
  <c r="C16" i="14" s="1"/>
  <c r="K101" i="13"/>
  <c r="P191" i="9"/>
  <c r="O191" i="9"/>
  <c r="F22" i="11"/>
  <c r="I14" i="11" s="1"/>
  <c r="B22" i="11"/>
  <c r="I13" i="11" s="1"/>
  <c r="R125" i="4"/>
  <c r="E14" i="11"/>
  <c r="E22" i="11" s="1"/>
  <c r="E25" i="11" s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<sst xmlns="http://schemas.openxmlformats.org/spreadsheetml/2006/main" count="1691" uniqueCount="452">
  <si>
    <t>Exhibit 1</t>
  </si>
  <si>
    <t>General Facility Standards</t>
  </si>
  <si>
    <t>Exhibit 2</t>
  </si>
  <si>
    <t>Recordkeeping Requirements</t>
  </si>
  <si>
    <t>Exhibit 3</t>
  </si>
  <si>
    <t>Contingency Plan and Emergency Procedures</t>
  </si>
  <si>
    <t>Exhibit 4</t>
  </si>
  <si>
    <t>Exhibit 5</t>
  </si>
  <si>
    <t>Closure and Post-Closure Requirements</t>
  </si>
  <si>
    <t>Exhibit 6</t>
  </si>
  <si>
    <t>Financial Requirements</t>
  </si>
  <si>
    <t>Permit Conditions</t>
  </si>
  <si>
    <t>TOTAL</t>
  </si>
  <si>
    <t>UNIVERSE NUMBERS</t>
  </si>
  <si>
    <t>Total Facilities</t>
  </si>
  <si>
    <t>Commercial</t>
  </si>
  <si>
    <t>NonCommercial</t>
  </si>
  <si>
    <t>Number of Operating Facilities</t>
  </si>
  <si>
    <t>Number of Closure Facilities</t>
  </si>
  <si>
    <t>Number of Post-closure Facilities</t>
  </si>
  <si>
    <t>Land Disposal Facilities</t>
  </si>
  <si>
    <t>Operating</t>
  </si>
  <si>
    <t>Incinerators</t>
  </si>
  <si>
    <t>New Interim Status</t>
  </si>
  <si>
    <t>New Part B Permits</t>
  </si>
  <si>
    <t xml:space="preserve"> Facilities Who Intend to Close Annually </t>
  </si>
  <si>
    <t>LDFs Who Intend to Close Annually</t>
  </si>
  <si>
    <t>Facilities Who Intend to Post-Close Annually</t>
  </si>
  <si>
    <t>Facilities Completing Post-Closure</t>
  </si>
  <si>
    <t>Permitted</t>
  </si>
  <si>
    <t xml:space="preserve">Interim </t>
  </si>
  <si>
    <t>Status</t>
  </si>
  <si>
    <t>Total</t>
  </si>
  <si>
    <t>Respondents</t>
  </si>
  <si>
    <t>Hourly Wage</t>
  </si>
  <si>
    <t>Overhead Multiplier</t>
  </si>
  <si>
    <t>Total Hourly Rate</t>
  </si>
  <si>
    <t>Agency</t>
  </si>
  <si>
    <t>TOTAL ESTIMATED RESPONDENT BURDEN AND COST SUMMARY</t>
  </si>
  <si>
    <t>EXHIBIT</t>
  </si>
  <si>
    <t>Legal</t>
  </si>
  <si>
    <t>Hours per</t>
  </si>
  <si>
    <t>Year</t>
  </si>
  <si>
    <t>Average</t>
  </si>
  <si>
    <t>Reporting</t>
  </si>
  <si>
    <t>Burden</t>
  </si>
  <si>
    <t>Manager</t>
  </si>
  <si>
    <t>Cost per</t>
  </si>
  <si>
    <t>Technical</t>
  </si>
  <si>
    <t>Clerical</t>
  </si>
  <si>
    <t>Type</t>
  </si>
  <si>
    <t>Operating LDFs</t>
  </si>
  <si>
    <t>Closed LDFs</t>
  </si>
  <si>
    <t>Post Closed LDFs</t>
  </si>
  <si>
    <t>Closed or Post-Closed LDFs</t>
  </si>
  <si>
    <t>Brand new Permitted Facilities</t>
  </si>
  <si>
    <t xml:space="preserve">TSFs Only </t>
  </si>
  <si>
    <t>LDFs Who Intend to Post-Close Annually</t>
  </si>
  <si>
    <t>ANNUAL ESTIMATED RESPONDENT BURDEN AND COST</t>
  </si>
  <si>
    <t>GENERAL FACILITY OPERATING STANDARDS</t>
  </si>
  <si>
    <t>INFORMATION COLLECTION ACTIVITY</t>
  </si>
  <si>
    <t>Read the regulations</t>
  </si>
  <si>
    <t>Collect Data</t>
  </si>
  <si>
    <t>Prepare and submit notification</t>
  </si>
  <si>
    <t>Subtotal</t>
  </si>
  <si>
    <t>Notice of appropriate permit(s) (264.12(b)</t>
  </si>
  <si>
    <t>Prepare, keep records of, and submit notice</t>
  </si>
  <si>
    <t>(55 annually)</t>
  </si>
  <si>
    <t>Notice of Part 264 or 265 and Part 270 requirements (264.12(c) and 265.12(b))</t>
  </si>
  <si>
    <t>Prepare and submit notice</t>
  </si>
  <si>
    <t>Waste Analysis (264.13(a)(1) and 265.13(a)(1))</t>
  </si>
  <si>
    <t>Non-commercial facilities</t>
  </si>
  <si>
    <t xml:space="preserve">  Collect data (twice annually)</t>
  </si>
  <si>
    <t xml:space="preserve">  Perform waste analysis (twice annually)</t>
  </si>
  <si>
    <t>Commercial facilities</t>
  </si>
  <si>
    <t xml:space="preserve">  Collect data (50 times annually)</t>
  </si>
  <si>
    <t xml:space="preserve">  Perform waste analysis (50 times annually)</t>
  </si>
  <si>
    <t>Waste Analysis Plan (264.13(b) and 265.13(b))</t>
  </si>
  <si>
    <t>Collect data</t>
  </si>
  <si>
    <t>Write the waste analysis plan</t>
  </si>
  <si>
    <t>Maintain the waste analysis plan</t>
  </si>
  <si>
    <t>Modify the waste analysis plan</t>
  </si>
  <si>
    <t>Maintain the modified waste analysis plan</t>
  </si>
  <si>
    <t>Inspection Schedule (264.15(b)(1) and 265.15(b)(1))</t>
  </si>
  <si>
    <t>Develop an inspection schedule</t>
  </si>
  <si>
    <t>Maintain the inspection schedule</t>
  </si>
  <si>
    <t>Modify the inspection schedule</t>
  </si>
  <si>
    <t>Maintain the modified inspection schedule</t>
  </si>
  <si>
    <t>Record problems in the inspection log</t>
  </si>
  <si>
    <t>Personnel Training (264.16(d) and 265.16(d))</t>
  </si>
  <si>
    <t>Maintain training records (new facilities)</t>
  </si>
  <si>
    <t>Maintain training records (existing facilities)</t>
  </si>
  <si>
    <t>Collect and document data</t>
  </si>
  <si>
    <t>Maintain documentation at the facility</t>
  </si>
  <si>
    <t>Construction Quality Assurance Plan (265.19)</t>
  </si>
  <si>
    <t>Complete the data items of 265.19(b), and,</t>
  </si>
  <si>
    <t>if applicable, an alternative demonstration</t>
  </si>
  <si>
    <t>Obtain a certification from CQA officer</t>
  </si>
  <si>
    <t>Submit materials to EPA</t>
  </si>
  <si>
    <t>Maintain records of materials</t>
  </si>
  <si>
    <t>Number of</t>
  </si>
  <si>
    <t>varies</t>
  </si>
  <si>
    <t>N/A</t>
  </si>
  <si>
    <t>Interim</t>
  </si>
  <si>
    <t>Hours and Costs per Respondent or Activity</t>
  </si>
  <si>
    <t>ADJUSTED BASELINE</t>
  </si>
  <si>
    <t>Labor</t>
  </si>
  <si>
    <t>Cost</t>
  </si>
  <si>
    <t>$/Year</t>
  </si>
  <si>
    <t>Capital/</t>
  </si>
  <si>
    <t>Startup</t>
  </si>
  <si>
    <t>O&amp;M</t>
  </si>
  <si>
    <t>Total Hours and Costs</t>
  </si>
  <si>
    <t>Federal Facilities</t>
  </si>
  <si>
    <t>Post-Closure</t>
  </si>
  <si>
    <t>Possible</t>
  </si>
  <si>
    <t>Universe of</t>
  </si>
  <si>
    <t>All</t>
  </si>
  <si>
    <t>S&amp;T Only</t>
  </si>
  <si>
    <t>LDF Only</t>
  </si>
  <si>
    <t>Incin. Only</t>
  </si>
  <si>
    <t>BIF Only</t>
  </si>
  <si>
    <t>Interim Status</t>
  </si>
  <si>
    <t>Weighted</t>
  </si>
  <si>
    <t>Hourly</t>
  </si>
  <si>
    <t>-</t>
  </si>
  <si>
    <t>Type of</t>
  </si>
  <si>
    <t>Respondent Burden</t>
  </si>
  <si>
    <t>1 for reporting</t>
  </si>
  <si>
    <t>2 for recordkeeping</t>
  </si>
  <si>
    <t>Recordkeep</t>
  </si>
  <si>
    <t>Verify</t>
  </si>
  <si>
    <t>Capital</t>
  </si>
  <si>
    <t>OPERATING RECORD</t>
  </si>
  <si>
    <t>Arrangements with Local Authorities (264.37(b) and 265.37(b))</t>
  </si>
  <si>
    <t>Document refusal of State or local authorities</t>
  </si>
  <si>
    <t>to enter into arrangements</t>
  </si>
  <si>
    <t>Emergency Reports (264.73 and 265.73(b)(4))</t>
  </si>
  <si>
    <t>Inspections (264.73 and 265.73(b)(5))</t>
  </si>
  <si>
    <t>Certification (264.73 and 265.73(b)(9))</t>
  </si>
  <si>
    <t>File Storage Systems for Recordkeeping</t>
  </si>
  <si>
    <t>Purchase file cabinets</t>
  </si>
  <si>
    <t>Consultations indicated that operating records took anywhere from 2 to .5 man years/yr.</t>
  </si>
  <si>
    <t>I decided to use one man year in total for operating records, which was about 26 times</t>
  </si>
  <si>
    <t>greater than what was estimated in last ICR.  Therefore, I multiplied all estimates from last ICR by 26.</t>
  </si>
  <si>
    <t>For capital costs:  I assumed one filing cabinet per year for all operating records over the three years.  A cabinet is</t>
  </si>
  <si>
    <t>estimated at $599, divided by 13 requirements, equals $46 per requirement.  Because the estimate is so</t>
  </si>
  <si>
    <t>rough, I did not use present value calculation.</t>
  </si>
  <si>
    <t>EXHIBIT 3</t>
  </si>
  <si>
    <t>CONTINGENCY PLAN AND EMERGENCY PROCEDURES</t>
  </si>
  <si>
    <t>Prepare and Submit Contingency Plan (265.50 - .54)</t>
  </si>
  <si>
    <t>Collect information required to develop or</t>
  </si>
  <si>
    <t xml:space="preserve">modify the contingency plan </t>
  </si>
  <si>
    <t>Develop the contingency plan</t>
  </si>
  <si>
    <t>Submit contingency plan to local authorities</t>
  </si>
  <si>
    <t>Maintain the contingency plan</t>
  </si>
  <si>
    <t>Notify State and local authorities of an</t>
  </si>
  <si>
    <t>imminent or actual emergency situation</t>
  </si>
  <si>
    <t>Collect information required for an emergency</t>
  </si>
  <si>
    <t>report</t>
  </si>
  <si>
    <t>Notify local authorities of the need to evacuate</t>
  </si>
  <si>
    <t>local areas</t>
  </si>
  <si>
    <t>Submit an emergency report to the on-scene</t>
  </si>
  <si>
    <t>coordinator or the National Response Center</t>
  </si>
  <si>
    <t>Compile information that demonstrates that</t>
  </si>
  <si>
    <t>all affected areas are in compliance with</t>
  </si>
  <si>
    <t>264.56(h) or 265.56(h)</t>
  </si>
  <si>
    <t>Prepare and submit notification letter</t>
  </si>
  <si>
    <t>Prepare an Owner/Operator's Emergency Report (264.56(j) and 265.56(j))</t>
  </si>
  <si>
    <t>Collect information required in the</t>
  </si>
  <si>
    <t>emergency report</t>
  </si>
  <si>
    <t>Prepare and submit the emergency report</t>
  </si>
  <si>
    <t>Hours and Costs per Respondent or Acitivity</t>
  </si>
  <si>
    <t>average</t>
  </si>
  <si>
    <t>type</t>
  </si>
  <si>
    <t>CLOSURE AND POST-CLOSURE REQUIREMENTS</t>
  </si>
  <si>
    <t>Closure Plan (265.112(a))</t>
  </si>
  <si>
    <t>Conduct an inventory of hazardous waste</t>
  </si>
  <si>
    <t>Record results of inventory</t>
  </si>
  <si>
    <t>Write descriptions for activities</t>
  </si>
  <si>
    <t>Estimate final closure</t>
  </si>
  <si>
    <t>Write the closure schedule</t>
  </si>
  <si>
    <t>Prepare and submit notification of amendment</t>
  </si>
  <si>
    <t>Amend and submit closure plan</t>
  </si>
  <si>
    <t>Prepare and submit notification of closure</t>
  </si>
  <si>
    <t>Submit closure plan</t>
  </si>
  <si>
    <t>Prepare and submit demonstration for extension</t>
  </si>
  <si>
    <t>for treatment, storage, or removal of hazardous</t>
  </si>
  <si>
    <t>waste (264/265.113(a))</t>
  </si>
  <si>
    <t>of the closure period (264/265.113(b))</t>
  </si>
  <si>
    <t>Prepare and submit demonstration for receiving</t>
  </si>
  <si>
    <t>non-hazardous waste (264/265.113(d))</t>
  </si>
  <si>
    <t>Have an independent registered professional engineer inspect the facility</t>
  </si>
  <si>
    <t>Collect documentation to support</t>
  </si>
  <si>
    <t>certification and submit certification</t>
  </si>
  <si>
    <t>Survey Plat (264.116 and 265.116)</t>
  </si>
  <si>
    <t>Have a professional land surveyor prepare and certify plat, and submit plat</t>
  </si>
  <si>
    <t>Post-Closure Plan (265.118)</t>
  </si>
  <si>
    <t>Write and submit post-closure plan</t>
  </si>
  <si>
    <t>Maintain post-closure plan</t>
  </si>
  <si>
    <t>Prepare and submit amended post-closure plan</t>
  </si>
  <si>
    <t>Amend and submit post-closure plan as</t>
  </si>
  <si>
    <t>requested by EPA (265.118(d)(4))</t>
  </si>
  <si>
    <t>Modify and resubmit plan, if not approved</t>
  </si>
  <si>
    <t>by EPA (265.118(f))</t>
  </si>
  <si>
    <t>Petition to extend or reduce the post-closure</t>
  </si>
  <si>
    <t>care period (265.118(g)(1))</t>
  </si>
  <si>
    <t>Determine specifications of hazardous waste</t>
  </si>
  <si>
    <t>activity</t>
  </si>
  <si>
    <t>Establish and submit a record of activity</t>
  </si>
  <si>
    <t>Maintain the record of activity</t>
  </si>
  <si>
    <t>Hazardous Waste Notation Certification</t>
  </si>
  <si>
    <t>Record notation on deed, and develop and submit certification</t>
  </si>
  <si>
    <t>Post-Closure Plan Modifications (265.119(c))</t>
  </si>
  <si>
    <t xml:space="preserve">Prepare request for modification </t>
  </si>
  <si>
    <t>Demonstrate compliance</t>
  </si>
  <si>
    <t>Obtain certification of compliance from an</t>
  </si>
  <si>
    <t>independent registered professional engineer</t>
  </si>
  <si>
    <t>Maintain a copy of the certification</t>
  </si>
  <si>
    <t>Submit documentation to EPA</t>
  </si>
  <si>
    <t>FINANCIAL REQUIREMENTS</t>
  </si>
  <si>
    <t>Reading the Regulations</t>
  </si>
  <si>
    <t>Read the regulations covering financial</t>
  </si>
  <si>
    <t>responsibility requirements (new facilities)</t>
  </si>
  <si>
    <t>responsibility requirements (existing facilities)</t>
  </si>
  <si>
    <t>Prepare and submit documented assurances</t>
  </si>
  <si>
    <t>Adjust estimate annually to reflect inflation</t>
  </si>
  <si>
    <t>Amend cost estimate due to closure/</t>
  </si>
  <si>
    <t>post-closure plan changes</t>
  </si>
  <si>
    <t>Establish a closure or post-closure trust fund</t>
  </si>
  <si>
    <t>Submit orginally signed duplicate of trust</t>
  </si>
  <si>
    <t>agreement</t>
  </si>
  <si>
    <t>Submit formal certification of</t>
  </si>
  <si>
    <t>Submit receipt for first payment under trust</t>
  </si>
  <si>
    <t>agreement (new facilities)</t>
  </si>
  <si>
    <t>Amend trust fund due to changes in</t>
  </si>
  <si>
    <t>closure/post-closure plan</t>
  </si>
  <si>
    <t>Establish surety bond and trust agreement</t>
  </si>
  <si>
    <t>Submit orginally signed duplicates of</t>
  </si>
  <si>
    <t>bond/trust agreement</t>
  </si>
  <si>
    <t>Submit evidence of alternate financial</t>
  </si>
  <si>
    <t>mechanisms, if bond cancelled</t>
  </si>
  <si>
    <t>Submit evidence of increase in cost estimate</t>
  </si>
  <si>
    <t>Obtain and submit letter of credit from</t>
  </si>
  <si>
    <t>issuing institution</t>
  </si>
  <si>
    <t>Write and submit letter to accompany letter</t>
  </si>
  <si>
    <t>of credit</t>
  </si>
  <si>
    <t>Submit originally signed duplicate of the</t>
  </si>
  <si>
    <t>trust agreement</t>
  </si>
  <si>
    <t>Submit insurance policy certificate to EPA</t>
  </si>
  <si>
    <t>Write and submit letter signed by chief</t>
  </si>
  <si>
    <t>financial officer</t>
  </si>
  <si>
    <t>Submit copy of public accountant's report</t>
  </si>
  <si>
    <t>and special report</t>
  </si>
  <si>
    <t>Submit updated information annually</t>
  </si>
  <si>
    <t>Write and submit any additional reports of</t>
  </si>
  <si>
    <t>financial condition</t>
  </si>
  <si>
    <t>Submit corporate guarantee from parent</t>
  </si>
  <si>
    <t>corporation</t>
  </si>
  <si>
    <t>Prepare, write, and submit a claim</t>
  </si>
  <si>
    <t>notification, if applicable</t>
  </si>
  <si>
    <t>Variance of financial responsibility regulations (265.147(c))</t>
  </si>
  <si>
    <t>Prepare and submit petition for variance</t>
  </si>
  <si>
    <t>Prepare, write, and submit letter signed by</t>
  </si>
  <si>
    <t>chief financial officer</t>
  </si>
  <si>
    <t>Submit evidence of insurance obtained for</t>
  </si>
  <si>
    <t>entire liability coverage, if applicable</t>
  </si>
  <si>
    <t>Obtain and submit written guarantee from</t>
  </si>
  <si>
    <t>parent corporation</t>
  </si>
  <si>
    <t>Submit letter from guarantor's chief</t>
  </si>
  <si>
    <t>Obtain and submit stand-by letter of credit</t>
  </si>
  <si>
    <t>Obtain surety bond and submit copy to EPA</t>
  </si>
  <si>
    <t>Establish trust fund</t>
  </si>
  <si>
    <t>Submit originally signed duplicate of trust</t>
  </si>
  <si>
    <t>agreement to EPA</t>
  </si>
  <si>
    <t>Submit notice indicating commencement of</t>
  </si>
  <si>
    <t>bankruptcy proceedings</t>
  </si>
  <si>
    <t>Submit letter from owner or operator</t>
  </si>
  <si>
    <t>Submit written evidence of establishment of</t>
  </si>
  <si>
    <t>State-required financial assurance mechanism</t>
  </si>
  <si>
    <t>Prepare and submit letter from</t>
  </si>
  <si>
    <t>owner or operator</t>
  </si>
  <si>
    <t>Obtain and submit letter from State</t>
  </si>
  <si>
    <t>describing assumption of responsiblity</t>
  </si>
  <si>
    <t>Prepare and submit any additional information</t>
  </si>
  <si>
    <t>requested by EPA</t>
  </si>
  <si>
    <t>Estimated decrease in Federally-required</t>
  </si>
  <si>
    <t>cost due to facilities using State-required</t>
  </si>
  <si>
    <t>mechanisms</t>
  </si>
  <si>
    <t>Hours and Costs per Respondent</t>
  </si>
  <si>
    <t>EXHIBIT 7</t>
  </si>
  <si>
    <t>PERMIT CONDITIONS</t>
  </si>
  <si>
    <t>Conditions applicable to all permits (270.30(h) and (l))</t>
  </si>
  <si>
    <t>Prepare and submit information requested</t>
  </si>
  <si>
    <t>by EPA</t>
  </si>
  <si>
    <t>Prepare and submit notice of planned</t>
  </si>
  <si>
    <t>physical alterations or additions</t>
  </si>
  <si>
    <t>Prepare and submit notice of planned changes</t>
  </si>
  <si>
    <t>noncompliance</t>
  </si>
  <si>
    <t>Prepare and submit letter certifying compliance</t>
  </si>
  <si>
    <t>Prepare and submit monitoring reports</t>
  </si>
  <si>
    <t>Prepare and submit reports of compliance or</t>
  </si>
  <si>
    <t>noncompliance with compliance schedule</t>
  </si>
  <si>
    <t>Compile and submit information for 24-hour</t>
  </si>
  <si>
    <t>reporting of a release of hazardous waste, a fire,</t>
  </si>
  <si>
    <t>or an explosion</t>
  </si>
  <si>
    <t>Prepare and submit notice of noncompliance</t>
  </si>
  <si>
    <t>due to a release, fire, or explosion</t>
  </si>
  <si>
    <t>Prepare and submit a report of other</t>
  </si>
  <si>
    <t>Prepare and submit omitted or corrected</t>
  </si>
  <si>
    <t>information</t>
  </si>
  <si>
    <t>Capital per</t>
  </si>
  <si>
    <t>O&amp;M per</t>
  </si>
  <si>
    <t>Check:</t>
  </si>
  <si>
    <t xml:space="preserve">Labor Cost </t>
  </si>
  <si>
    <t>per Year</t>
  </si>
  <si>
    <t>Operating Record</t>
  </si>
  <si>
    <t>Foreign Shipment Import Report</t>
  </si>
  <si>
    <t>Review foreign shipment import report</t>
  </si>
  <si>
    <t>Review of records during inspections</t>
  </si>
  <si>
    <t>RECORDKEEPING REQUIREMENTS</t>
  </si>
  <si>
    <t>On-site review of the operating record</t>
  </si>
  <si>
    <t>Contingency Plan</t>
  </si>
  <si>
    <t>On-site review of the contingency plan</t>
  </si>
  <si>
    <t>Emergency Reporting Requirements</t>
  </si>
  <si>
    <t>Review owner/operator's emergency report</t>
  </si>
  <si>
    <t>CLOSURE AND POST-CLOSURE</t>
  </si>
  <si>
    <t>Review closure plans</t>
  </si>
  <si>
    <t>Review closure plan amendment notifications</t>
  </si>
  <si>
    <t>Review partial or final closure notifications</t>
  </si>
  <si>
    <t>and closure plans (interim status facilities)</t>
  </si>
  <si>
    <t>Review demonstration for extension for treat-</t>
  </si>
  <si>
    <t>ment, storage, or removal of hazardous waste</t>
  </si>
  <si>
    <t>Review demonstration for extension of</t>
  </si>
  <si>
    <t>closure period</t>
  </si>
  <si>
    <t>Review demonstration for receiving</t>
  </si>
  <si>
    <t>non-hazardous waste</t>
  </si>
  <si>
    <t>Review closure certifications</t>
  </si>
  <si>
    <t>Review survey plat</t>
  </si>
  <si>
    <t>Review post-closure plan</t>
  </si>
  <si>
    <t>Review post-closure plan amendment</t>
  </si>
  <si>
    <t>notifications and amended plans</t>
  </si>
  <si>
    <t>Review post-closure plan modifications</t>
  </si>
  <si>
    <t>Review resubmitted plans</t>
  </si>
  <si>
    <t xml:space="preserve">Review petition to extend or reduce the </t>
  </si>
  <si>
    <t>post-closure care period</t>
  </si>
  <si>
    <t>Review hazardous waste disposal records</t>
  </si>
  <si>
    <t>Review hazardous waste notation certification</t>
  </si>
  <si>
    <t>Review post-closure care certification</t>
  </si>
  <si>
    <t>Review increases in sum amounts, if cost</t>
  </si>
  <si>
    <t>estimate modified, and additional reports</t>
  </si>
  <si>
    <t>of financial conditions</t>
  </si>
  <si>
    <t>Review new estimates and instruments</t>
  </si>
  <si>
    <t>Review annual closure cost updates</t>
  </si>
  <si>
    <t>to reflect inflation</t>
  </si>
  <si>
    <t>Review liability claim notifications</t>
  </si>
  <si>
    <t>Review and approve or deny petition for variance</t>
  </si>
  <si>
    <t>Review revisions due to plan changes</t>
  </si>
  <si>
    <t>Review updated financial test and corporate</t>
  </si>
  <si>
    <t>guarantee information</t>
  </si>
  <si>
    <t>Review bankruptcy notifications</t>
  </si>
  <si>
    <t>Review State assumptions of responsibility/</t>
  </si>
  <si>
    <t>required mechanism documentation</t>
  </si>
  <si>
    <t>Review corrective action financial assurance</t>
  </si>
  <si>
    <t>Review submitted information</t>
  </si>
  <si>
    <t>Review notice of planned physical alterations</t>
  </si>
  <si>
    <t>or additions</t>
  </si>
  <si>
    <t>Review notice of planned changes or activities</t>
  </si>
  <si>
    <t>Review letter certifying compliance</t>
  </si>
  <si>
    <t>Review monitoring reports</t>
  </si>
  <si>
    <t>Review reports of compliance or noncompliance</t>
  </si>
  <si>
    <t>Review information concerning a release,</t>
  </si>
  <si>
    <t>fire, or explosion</t>
  </si>
  <si>
    <t>Review notices and reports of noncompliance</t>
  </si>
  <si>
    <t>Review reports of other noncompliance</t>
  </si>
  <si>
    <t>Review corrected information</t>
  </si>
  <si>
    <t xml:space="preserve">      Number of</t>
  </si>
  <si>
    <t xml:space="preserve">    Respondents</t>
  </si>
  <si>
    <t xml:space="preserve">       Hours and Costs per Respondent or Activity</t>
  </si>
  <si>
    <t xml:space="preserve"> </t>
  </si>
  <si>
    <t>EXHIBIT 2</t>
  </si>
  <si>
    <t>Maintain updated information in operating record</t>
  </si>
  <si>
    <t>Determine Quantity of Waste (264.73 and 265.73(b)(1) &amp; (b)(2))</t>
  </si>
  <si>
    <t>Records and Results of Waste Analysis (264.73 and 265.73(b)(3))</t>
  </si>
  <si>
    <t>Monitoring, Testing, or Analytical Data and Corrective Action (264.73 and 265.73(b)(6))</t>
  </si>
  <si>
    <t>Notices to Generators (264.73 and 265.73(b)(7))</t>
  </si>
  <si>
    <t>Closure Cost Estimates (264.73 and 265.73(b)(8))</t>
  </si>
  <si>
    <t>Post-Closure Cost Estimates (264.73 and 265.73(b)(8))</t>
  </si>
  <si>
    <t>Records of waste disposed under an extension to effective date of the LDRs and notice required by generator under 268.7(a) (264.73 and 265.73(b)(10))</t>
  </si>
  <si>
    <t>Copy of notice, certification, and demonstration required by generator: Off-site treatment, storage, and disposal facilities (264.73 and 265.73(b)(11), (b)(13), and (b)(15))</t>
  </si>
  <si>
    <t>Information in the notice, certification and demonstraton required by generator or owner or operator: On-site treatment, storage, and disposal facilities (264.73 and 265.73(b)(12), (b)(14), and (b)(16))</t>
  </si>
  <si>
    <t>Emergency Coordinator Reports (264.56(a)(2), (d)(1), and (d)(2)), and 265.56(a)(2), (d)(1), and (d)(2))</t>
  </si>
  <si>
    <t>Notify Regional Administrator that facility is in compliance with 264.56(h) or 265.56(h) before resuming operations in the affected area (264.56(i) and 265.56(i))</t>
  </si>
  <si>
    <t>Notification and Amendment of Closure Plan (265.112(c))</t>
  </si>
  <si>
    <t>Notification of Partial or Final Closure (264.112(d) and 265.112(d))</t>
  </si>
  <si>
    <t>Extension and Allowances During the Closure Period (264.113(a), 265.113(a), 264.113(b), 265.113(b), 264.113(d), and 265.113(d))</t>
  </si>
  <si>
    <t>Certification of Closure (264.115 and 265.115)</t>
  </si>
  <si>
    <t>Notification and Amendment of Post-Closure Plan Under 265.118(a)(1)-(3)</t>
  </si>
  <si>
    <t>Amendment of Post-Closure Plan Under 265.118(d)(4), (f), and (g)(1)</t>
  </si>
  <si>
    <t>Hazardous Waste Disposal Records (264.119 and 265.119(a))</t>
  </si>
  <si>
    <t>Certification of Completion of Post-Closure Care (264.120 and 265.120)</t>
  </si>
  <si>
    <t>Financial Responsibility for Corrective Action (264.101)</t>
  </si>
  <si>
    <t>of financial responsibility for corrective action</t>
  </si>
  <si>
    <t>Demonstrate, if applicable, that permission denied to</t>
  </si>
  <si>
    <t>implement correction action beyond facility boundary</t>
  </si>
  <si>
    <t>Cost Estimates for Closure and Post-Closure Care (264.142, 264.144, 265.142, and 265.144)</t>
  </si>
  <si>
    <t>Closure or Post-Closure Trust Fund (264.143, 265.143, 264.145, and 265.145)</t>
  </si>
  <si>
    <t>Foreign Shipment Import Report (264.12(a) and 265.12(a))</t>
  </si>
  <si>
    <t>Documentation of Compliance for Ignitable, Reactive, or Incompatible Wastes (264.17)</t>
  </si>
  <si>
    <t>acknowledgement (post-closure trust funds only)</t>
  </si>
  <si>
    <t>Surety bond guaranteeing payment into a closure or post-closure trust fund (264.143(b), 265.143(b), 264.145(b) and 265.145(b)), or guaranteeing performance of closure or post-closure care (264.143(c) and 264.145(c))</t>
  </si>
  <si>
    <t>Increase penal sum amount, if cost estimate modified</t>
  </si>
  <si>
    <t>Closure or Post-Closure Letter of Credit (264.143(d), 265.143(c), 264.145(d), and 265.145c))</t>
  </si>
  <si>
    <t>Increase credit amount, if cost estimate modified</t>
  </si>
  <si>
    <t>Closure or Post-Closure Insurance (264.143(e), 265.143(d), 264.145(e), and 265.145(d))</t>
  </si>
  <si>
    <t>Establish closure or post-closure insurance policy</t>
  </si>
  <si>
    <t>Financial Test and Corporate Guarantee (264.143(f), 265.143(e), 264.145(f), and 265.145(e))</t>
  </si>
  <si>
    <t>Submit letter from insurer (for some interim status</t>
  </si>
  <si>
    <t>facilities only)</t>
  </si>
  <si>
    <t>Increase insured amount, if cost estimate modified</t>
  </si>
  <si>
    <t>Write and submit notice of intent to establish</t>
  </si>
  <si>
    <t>other financial assurance, if applicable</t>
  </si>
  <si>
    <t>Coverage for Sudden or Nonsudden Accidental Occurrences (264.147(a), 265.147(a), 264.147(b), and 265.147(b))</t>
  </si>
  <si>
    <t>Prepare, write, and submit notification of reduction</t>
  </si>
  <si>
    <t>of liability coverage amount if applicable</t>
  </si>
  <si>
    <t>Financial Test for Liability Coverage (264.147(f) and 265.147(f))</t>
  </si>
  <si>
    <t>Guarantee for Liability Coverage (264.147(g) and 265.147(g))</t>
  </si>
  <si>
    <t>Letter of Credit for Liability Coverage (264.147(h) and 265.147(h))</t>
  </si>
  <si>
    <t>Liability Insurance (264.147(a) and (b), and 265.147(a) and (b))</t>
  </si>
  <si>
    <t>Obtain and submit insurance policy documentation</t>
  </si>
  <si>
    <t>Surety Bond for Liability Coverage (264.147(i) and 265.147(i))</t>
  </si>
  <si>
    <t>Trust Fund for Liability Coverage (264.147(j) and 265.147(j))</t>
  </si>
  <si>
    <t>Incapacity of Owners or Operators, Guarantors, or Financial Institutions (264.148 and 265.148)</t>
  </si>
  <si>
    <t>Use of State-Required Mechanisms (264.149) and 265.149)</t>
  </si>
  <si>
    <t>State Assumption of Responsibility (264.150 and 265.150)</t>
  </si>
  <si>
    <t>or activities which may result in noncompliance</t>
  </si>
  <si>
    <t>GENERAL FACILITY OPERATING REQUIREMENTS</t>
  </si>
  <si>
    <t xml:space="preserve">EXHIBIT 1 </t>
  </si>
  <si>
    <t xml:space="preserve">EXHIBIT 5 </t>
  </si>
  <si>
    <t>/hour</t>
  </si>
  <si>
    <t>ESTIMATED ANNUAL STATE AGENCY BURDEN AND COST</t>
  </si>
  <si>
    <t>TOTAL ESTIMATED STATE AGENCY BURDEN AND COST SUMMARY</t>
  </si>
  <si>
    <t>Labor Cost per</t>
  </si>
  <si>
    <t>O&amp;M Cost per</t>
  </si>
  <si>
    <t>EXHIBIT 6</t>
  </si>
  <si>
    <t xml:space="preserve">EXHIBIT 4 </t>
  </si>
  <si>
    <t>TABLE 3</t>
  </si>
  <si>
    <t xml:space="preserve">EXHIBIT 11 </t>
  </si>
  <si>
    <t>ESTIMATED ANNUAL AGENCY BURDEN AND COST</t>
  </si>
  <si>
    <t>TABLE 4</t>
  </si>
  <si>
    <t>TOTAL ESTIMATED EPA BURDEN AND COST SUMMARY</t>
  </si>
  <si>
    <t>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</si>
</sst>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5" formatCode="&quot;$&quot;#,##0"/>
    <numFmt numFmtId="167" formatCode="&quot;$&quot;#,##0.00"/>
    <numFmt numFmtId="168" formatCode="#,##0.000000"/>
    <numFmt numFmtId="169" formatCode="#,##0.0"/>
    <numFmt numFmtId="170" formatCode="0.0"/>
    <numFmt numFmtId="171" formatCode="#,##0.000"/>
  </numFmts>
  <fonts count="10" x14ac:knownFonts="1">
    <font>
      <sz val="12"/>
      <name val="Arial"/>
    </font>
    <font>
      <sz val="8"/>
      <name val="Helv"/>
    </font>
    <font>
      <sz val="8"/>
      <color indexed="8"/>
      <name val="Helv"/>
    </font>
    <font>
      <b/>
      <sz val="8"/>
      <color indexed="8"/>
      <name val="Helv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Helv"/>
    </font>
  </fonts>
  <fills count="6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gray125">
        <fgColor indexed="8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1" fillId="0" borderId="0" xfId="0" applyNumberFormat="1" applyFont="1" applyAlignment="1"/>
    <xf numFmtId="0" fontId="0" fillId="0" borderId="0" xfId="0" applyNumberFormat="1"/>
    <xf numFmtId="3" fontId="4" fillId="0" borderId="1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left"/>
    </xf>
    <xf numFmtId="3" fontId="4" fillId="0" borderId="3" xfId="0" applyNumberFormat="1" applyFont="1" applyBorder="1" applyAlignment="1"/>
    <xf numFmtId="2" fontId="4" fillId="0" borderId="3" xfId="0" applyNumberFormat="1" applyFont="1" applyBorder="1" applyAlignment="1"/>
    <xf numFmtId="0" fontId="4" fillId="0" borderId="3" xfId="0" applyNumberFormat="1" applyFont="1" applyBorder="1" applyAlignment="1"/>
    <xf numFmtId="0" fontId="2" fillId="0" borderId="0" xfId="0" applyNumberFormat="1" applyFont="1" applyAlignment="1"/>
    <xf numFmtId="4" fontId="2" fillId="0" borderId="0" xfId="0" applyNumberFormat="1" applyFont="1" applyAlignment="1"/>
    <xf numFmtId="9" fontId="2" fillId="0" borderId="0" xfId="0" applyNumberFormat="1" applyFont="1" applyAlignment="1"/>
    <xf numFmtId="0" fontId="2" fillId="0" borderId="0" xfId="0" applyNumberFormat="1" applyFont="1" applyAlignment="1">
      <alignment horizontal="right"/>
    </xf>
    <xf numFmtId="167" fontId="2" fillId="0" borderId="0" xfId="0" applyNumberFormat="1" applyFont="1" applyAlignment="1"/>
    <xf numFmtId="0" fontId="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/>
    </xf>
    <xf numFmtId="3" fontId="2" fillId="0" borderId="0" xfId="0" applyNumberFormat="1" applyFont="1" applyAlignment="1"/>
    <xf numFmtId="0" fontId="2" fillId="0" borderId="0" xfId="0" applyNumberFormat="1" applyFont="1" applyAlignment="1">
      <alignment horizontal="left"/>
    </xf>
    <xf numFmtId="168" fontId="2" fillId="0" borderId="0" xfId="0" applyNumberFormat="1" applyFont="1" applyAlignment="1"/>
    <xf numFmtId="2" fontId="2" fillId="0" borderId="0" xfId="0" applyNumberFormat="1" applyFont="1" applyAlignment="1"/>
    <xf numFmtId="0" fontId="2" fillId="0" borderId="0" xfId="0" applyNumberFormat="1" applyFont="1" applyAlignment="1">
      <alignment horizontal="fill"/>
    </xf>
    <xf numFmtId="168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/>
    <xf numFmtId="3" fontId="2" fillId="2" borderId="0" xfId="0" applyNumberFormat="1" applyFont="1" applyFill="1" applyAlignment="1"/>
    <xf numFmtId="165" fontId="2" fillId="0" borderId="0" xfId="0" applyNumberFormat="1" applyFont="1" applyAlignment="1"/>
    <xf numFmtId="3" fontId="3" fillId="0" borderId="0" xfId="0" applyNumberFormat="1" applyFont="1" applyAlignment="1"/>
    <xf numFmtId="1" fontId="2" fillId="0" borderId="0" xfId="0" applyNumberFormat="1" applyFont="1" applyAlignment="1"/>
    <xf numFmtId="168" fontId="2" fillId="0" borderId="0" xfId="0" applyNumberFormat="1" applyFont="1" applyAlignment="1">
      <alignment horizontal="left"/>
    </xf>
    <xf numFmtId="0" fontId="2" fillId="3" borderId="0" xfId="0" applyNumberFormat="1" applyFont="1" applyFill="1" applyAlignment="1"/>
    <xf numFmtId="3" fontId="4" fillId="0" borderId="1" xfId="0" applyNumberFormat="1" applyFont="1" applyBorder="1" applyAlignment="1"/>
    <xf numFmtId="2" fontId="4" fillId="0" borderId="1" xfId="0" applyNumberFormat="1" applyFont="1" applyBorder="1" applyAlignment="1"/>
    <xf numFmtId="167" fontId="4" fillId="0" borderId="7" xfId="0" applyNumberFormat="1" applyFont="1" applyBorder="1" applyAlignment="1"/>
    <xf numFmtId="1" fontId="4" fillId="0" borderId="8" xfId="0" applyNumberFormat="1" applyFont="1" applyBorder="1" applyAlignment="1"/>
    <xf numFmtId="3" fontId="4" fillId="0" borderId="5" xfId="0" applyNumberFormat="1" applyFont="1" applyBorder="1" applyAlignment="1"/>
    <xf numFmtId="2" fontId="4" fillId="0" borderId="5" xfId="0" applyNumberFormat="1" applyFont="1" applyBorder="1" applyAlignment="1"/>
    <xf numFmtId="4" fontId="4" fillId="0" borderId="5" xfId="0" applyNumberFormat="1" applyFont="1" applyBorder="1" applyAlignment="1"/>
    <xf numFmtId="167" fontId="4" fillId="0" borderId="5" xfId="0" applyNumberFormat="1" applyFont="1" applyBorder="1" applyAlignment="1"/>
    <xf numFmtId="167" fontId="4" fillId="0" borderId="6" xfId="0" applyNumberFormat="1" applyFont="1" applyBorder="1" applyAlignment="1"/>
    <xf numFmtId="0" fontId="4" fillId="0" borderId="5" xfId="0" applyNumberFormat="1" applyFont="1" applyBorder="1" applyAlignment="1"/>
    <xf numFmtId="0" fontId="6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right"/>
    </xf>
    <xf numFmtId="0" fontId="4" fillId="0" borderId="8" xfId="0" applyNumberFormat="1" applyFont="1" applyBorder="1" applyAlignment="1"/>
    <xf numFmtId="3" fontId="2" fillId="0" borderId="0" xfId="0" applyNumberFormat="1" applyFont="1" applyAlignment="1">
      <alignment horizontal="left"/>
    </xf>
    <xf numFmtId="168" fontId="2" fillId="0" borderId="0" xfId="0" applyNumberFormat="1" applyFont="1" applyAlignment="1">
      <alignment horizontal="fill"/>
    </xf>
    <xf numFmtId="0" fontId="3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fill"/>
    </xf>
    <xf numFmtId="3" fontId="4" fillId="0" borderId="9" xfId="0" applyNumberFormat="1" applyFont="1" applyBorder="1" applyAlignment="1"/>
    <xf numFmtId="167" fontId="4" fillId="0" borderId="12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left"/>
    </xf>
    <xf numFmtId="0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 applyAlignment="1"/>
    <xf numFmtId="0" fontId="4" fillId="0" borderId="7" xfId="0" applyNumberFormat="1" applyFont="1" applyBorder="1" applyAlignment="1"/>
    <xf numFmtId="0" fontId="4" fillId="0" borderId="14" xfId="0" applyNumberFormat="1" applyFont="1" applyBorder="1" applyAlignment="1">
      <alignment horizontal="left"/>
    </xf>
    <xf numFmtId="3" fontId="4" fillId="0" borderId="8" xfId="0" applyNumberFormat="1" applyFont="1" applyBorder="1" applyAlignment="1"/>
    <xf numFmtId="3" fontId="4" fillId="0" borderId="8" xfId="0" applyNumberFormat="1" applyFont="1" applyBorder="1" applyAlignment="1">
      <alignment horizontal="right"/>
    </xf>
    <xf numFmtId="2" fontId="4" fillId="0" borderId="8" xfId="0" applyNumberFormat="1" applyFont="1" applyBorder="1" applyAlignment="1"/>
    <xf numFmtId="167" fontId="4" fillId="0" borderId="8" xfId="0" applyNumberFormat="1" applyFont="1" applyBorder="1" applyAlignment="1"/>
    <xf numFmtId="4" fontId="4" fillId="0" borderId="8" xfId="0" applyNumberFormat="1" applyFont="1" applyBorder="1" applyAlignment="1"/>
    <xf numFmtId="167" fontId="4" fillId="0" borderId="15" xfId="0" applyNumberFormat="1" applyFont="1" applyBorder="1" applyAlignment="1"/>
    <xf numFmtId="168" fontId="2" fillId="3" borderId="0" xfId="0" applyNumberFormat="1" applyFont="1" applyFill="1" applyAlignment="1"/>
    <xf numFmtId="171" fontId="2" fillId="0" borderId="0" xfId="0" applyNumberFormat="1" applyFont="1" applyAlignment="1"/>
    <xf numFmtId="8" fontId="2" fillId="0" borderId="0" xfId="0" applyNumberFormat="1" applyFont="1" applyAlignme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/>
    <xf numFmtId="167" fontId="4" fillId="0" borderId="0" xfId="0" applyNumberFormat="1" applyFont="1" applyAlignment="1"/>
    <xf numFmtId="0" fontId="4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16" xfId="0" applyNumberFormat="1" applyFont="1" applyBorder="1" applyAlignment="1">
      <alignment horizontal="left" vertical="top" wrapText="1"/>
    </xf>
    <xf numFmtId="3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2" borderId="0" xfId="0" applyNumberFormat="1" applyFont="1" applyFill="1" applyAlignment="1"/>
    <xf numFmtId="2" fontId="4" fillId="2" borderId="0" xfId="0" applyNumberFormat="1" applyFont="1" applyFill="1" applyAlignment="1"/>
    <xf numFmtId="167" fontId="4" fillId="2" borderId="0" xfId="0" applyNumberFormat="1" applyFont="1" applyFill="1" applyAlignment="1"/>
    <xf numFmtId="2" fontId="4" fillId="0" borderId="0" xfId="0" applyNumberFormat="1" applyFont="1" applyAlignment="1"/>
    <xf numFmtId="3" fontId="4" fillId="2" borderId="0" xfId="0" applyNumberFormat="1" applyFont="1" applyFill="1" applyAlignment="1"/>
    <xf numFmtId="3" fontId="4" fillId="0" borderId="0" xfId="0" applyNumberFormat="1" applyFont="1" applyAlignment="1"/>
    <xf numFmtId="0" fontId="5" fillId="0" borderId="0" xfId="0" applyFont="1"/>
    <xf numFmtId="0" fontId="0" fillId="0" borderId="11" xfId="0" applyBorder="1"/>
    <xf numFmtId="0" fontId="4" fillId="0" borderId="9" xfId="0" applyNumberFormat="1" applyFont="1" applyBorder="1" applyAlignment="1">
      <alignment horizontal="centerContinuous"/>
    </xf>
    <xf numFmtId="0" fontId="4" fillId="0" borderId="11" xfId="0" applyNumberFormat="1" applyFont="1" applyBorder="1" applyAlignment="1">
      <alignment horizontal="centerContinuous"/>
    </xf>
    <xf numFmtId="0" fontId="4" fillId="0" borderId="10" xfId="0" applyNumberFormat="1" applyFont="1" applyBorder="1" applyAlignment="1">
      <alignment horizontal="centerContinuous"/>
    </xf>
    <xf numFmtId="0" fontId="4" fillId="0" borderId="10" xfId="0" applyNumberFormat="1" applyFont="1" applyBorder="1" applyAlignment="1"/>
    <xf numFmtId="167" fontId="4" fillId="0" borderId="10" xfId="0" applyNumberFormat="1" applyFont="1" applyBorder="1" applyAlignment="1"/>
    <xf numFmtId="167" fontId="4" fillId="0" borderId="11" xfId="0" applyNumberFormat="1" applyFont="1" applyBorder="1" applyAlignment="1"/>
    <xf numFmtId="0" fontId="4" fillId="0" borderId="9" xfId="0" applyNumberFormat="1" applyFont="1" applyBorder="1" applyAlignment="1"/>
    <xf numFmtId="0" fontId="0" fillId="0" borderId="9" xfId="0" applyBorder="1"/>
    <xf numFmtId="3" fontId="4" fillId="0" borderId="12" xfId="0" applyNumberFormat="1" applyFont="1" applyBorder="1" applyAlignment="1"/>
    <xf numFmtId="2" fontId="4" fillId="0" borderId="12" xfId="0" applyNumberFormat="1" applyFont="1" applyBorder="1" applyAlignment="1"/>
    <xf numFmtId="167" fontId="4" fillId="0" borderId="12" xfId="0" applyNumberFormat="1" applyFont="1" applyBorder="1" applyAlignment="1"/>
    <xf numFmtId="0" fontId="4" fillId="2" borderId="12" xfId="0" applyNumberFormat="1" applyFont="1" applyFill="1" applyBorder="1" applyAlignment="1"/>
    <xf numFmtId="3" fontId="4" fillId="2" borderId="12" xfId="0" applyNumberFormat="1" applyFont="1" applyFill="1" applyBorder="1" applyAlignment="1"/>
    <xf numFmtId="2" fontId="4" fillId="2" borderId="12" xfId="0" applyNumberFormat="1" applyFont="1" applyFill="1" applyBorder="1" applyAlignment="1"/>
    <xf numFmtId="167" fontId="4" fillId="2" borderId="12" xfId="0" applyNumberFormat="1" applyFont="1" applyFill="1" applyBorder="1" applyAlignment="1"/>
    <xf numFmtId="3" fontId="4" fillId="0" borderId="12" xfId="0" applyNumberFormat="1" applyFont="1" applyBorder="1" applyAlignment="1">
      <alignment horizontal="right"/>
    </xf>
    <xf numFmtId="0" fontId="4" fillId="0" borderId="12" xfId="0" applyNumberFormat="1" applyFont="1" applyBorder="1" applyAlignment="1"/>
    <xf numFmtId="0" fontId="4" fillId="0" borderId="12" xfId="0" applyNumberFormat="1" applyFont="1" applyBorder="1" applyAlignment="1">
      <alignment horizontal="right"/>
    </xf>
    <xf numFmtId="4" fontId="4" fillId="0" borderId="12" xfId="0" applyNumberFormat="1" applyFont="1" applyBorder="1" applyAlignment="1"/>
    <xf numFmtId="0" fontId="4" fillId="2" borderId="12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/>
    <xf numFmtId="2" fontId="4" fillId="0" borderId="12" xfId="0" applyNumberFormat="1" applyFont="1" applyBorder="1" applyAlignment="1">
      <alignment horizontal="right"/>
    </xf>
    <xf numFmtId="3" fontId="4" fillId="2" borderId="12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/>
    <xf numFmtId="2" fontId="2" fillId="2" borderId="12" xfId="0" applyNumberFormat="1" applyFont="1" applyFill="1" applyBorder="1" applyAlignment="1"/>
    <xf numFmtId="4" fontId="2" fillId="2" borderId="12" xfId="0" applyNumberFormat="1" applyFont="1" applyFill="1" applyBorder="1" applyAlignment="1"/>
    <xf numFmtId="167" fontId="2" fillId="2" borderId="12" xfId="0" applyNumberFormat="1" applyFont="1" applyFill="1" applyBorder="1" applyAlignment="1"/>
    <xf numFmtId="0" fontId="4" fillId="0" borderId="16" xfId="0" applyNumberFormat="1" applyFont="1" applyBorder="1" applyAlignment="1">
      <alignment horizontal="left"/>
    </xf>
    <xf numFmtId="167" fontId="4" fillId="0" borderId="17" xfId="0" applyNumberFormat="1" applyFont="1" applyBorder="1" applyAlignment="1"/>
    <xf numFmtId="0" fontId="4" fillId="2" borderId="16" xfId="0" applyNumberFormat="1" applyFont="1" applyFill="1" applyBorder="1" applyAlignment="1"/>
    <xf numFmtId="167" fontId="4" fillId="2" borderId="17" xfId="0" applyNumberFormat="1" applyFont="1" applyFill="1" applyBorder="1" applyAlignment="1"/>
    <xf numFmtId="0" fontId="4" fillId="0" borderId="17" xfId="0" applyNumberFormat="1" applyFont="1" applyBorder="1" applyAlignment="1"/>
    <xf numFmtId="0" fontId="4" fillId="2" borderId="17" xfId="0" applyNumberFormat="1" applyFont="1" applyFill="1" applyBorder="1" applyAlignment="1"/>
    <xf numFmtId="0" fontId="2" fillId="2" borderId="16" xfId="0" applyNumberFormat="1" applyFont="1" applyFill="1" applyBorder="1" applyAlignment="1"/>
    <xf numFmtId="167" fontId="2" fillId="2" borderId="17" xfId="0" applyNumberFormat="1" applyFont="1" applyFill="1" applyBorder="1" applyAlignment="1"/>
    <xf numFmtId="0" fontId="4" fillId="0" borderId="18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right"/>
    </xf>
    <xf numFmtId="2" fontId="4" fillId="0" borderId="19" xfId="0" applyNumberFormat="1" applyFont="1" applyBorder="1" applyAlignment="1">
      <alignment horizontal="right"/>
    </xf>
    <xf numFmtId="4" fontId="4" fillId="0" borderId="19" xfId="0" applyNumberFormat="1" applyFont="1" applyBorder="1" applyAlignment="1"/>
    <xf numFmtId="167" fontId="4" fillId="0" borderId="20" xfId="0" applyNumberFormat="1" applyFont="1" applyBorder="1" applyAlignment="1"/>
    <xf numFmtId="1" fontId="4" fillId="0" borderId="12" xfId="0" applyNumberFormat="1" applyFont="1" applyBorder="1" applyAlignment="1"/>
    <xf numFmtId="170" fontId="4" fillId="0" borderId="12" xfId="0" applyNumberFormat="1" applyFont="1" applyBorder="1" applyAlignment="1"/>
    <xf numFmtId="169" fontId="4" fillId="0" borderId="12" xfId="0" applyNumberFormat="1" applyFont="1" applyBorder="1" applyAlignment="1"/>
    <xf numFmtId="0" fontId="4" fillId="0" borderId="11" xfId="0" applyNumberFormat="1" applyFont="1" applyBorder="1" applyAlignment="1"/>
    <xf numFmtId="4" fontId="4" fillId="0" borderId="12" xfId="0" applyNumberFormat="1" applyFont="1" applyBorder="1" applyAlignment="1">
      <alignment horizontal="right"/>
    </xf>
    <xf numFmtId="2" fontId="4" fillId="2" borderId="12" xfId="0" applyNumberFormat="1" applyFont="1" applyFill="1" applyBorder="1" applyAlignment="1">
      <alignment horizontal="right"/>
    </xf>
    <xf numFmtId="4" fontId="4" fillId="0" borderId="19" xfId="0" applyNumberFormat="1" applyFont="1" applyBorder="1" applyAlignment="1">
      <alignment horizontal="right"/>
    </xf>
    <xf numFmtId="167" fontId="4" fillId="0" borderId="0" xfId="0" applyNumberFormat="1" applyFont="1" applyAlignment="1">
      <alignment horizontal="left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left"/>
    </xf>
    <xf numFmtId="0" fontId="4" fillId="0" borderId="21" xfId="0" applyNumberFormat="1" applyFont="1" applyBorder="1" applyAlignment="1"/>
    <xf numFmtId="4" fontId="4" fillId="0" borderId="1" xfId="0" applyNumberFormat="1" applyFont="1" applyBorder="1" applyAlignment="1"/>
    <xf numFmtId="0" fontId="4" fillId="0" borderId="22" xfId="0" applyNumberFormat="1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4" fillId="0" borderId="23" xfId="0" applyNumberFormat="1" applyFont="1" applyBorder="1" applyAlignment="1"/>
    <xf numFmtId="167" fontId="4" fillId="0" borderId="24" xfId="0" applyNumberFormat="1" applyFont="1" applyBorder="1" applyAlignment="1"/>
    <xf numFmtId="4" fontId="4" fillId="0" borderId="3" xfId="0" applyNumberFormat="1" applyFont="1" applyBorder="1" applyAlignment="1"/>
    <xf numFmtId="167" fontId="4" fillId="0" borderId="3" xfId="0" applyNumberFormat="1" applyFont="1" applyBorder="1" applyAlignment="1"/>
    <xf numFmtId="167" fontId="4" fillId="0" borderId="21" xfId="0" applyNumberFormat="1" applyFont="1" applyBorder="1" applyAlignment="1"/>
    <xf numFmtId="167" fontId="4" fillId="0" borderId="23" xfId="0" applyNumberFormat="1" applyFont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2" fontId="4" fillId="0" borderId="23" xfId="0" applyNumberFormat="1" applyFont="1" applyBorder="1" applyAlignment="1"/>
    <xf numFmtId="167" fontId="4" fillId="0" borderId="23" xfId="0" applyNumberFormat="1" applyFont="1" applyBorder="1" applyAlignment="1"/>
    <xf numFmtId="4" fontId="4" fillId="0" borderId="23" xfId="0" applyNumberFormat="1" applyFont="1" applyBorder="1" applyAlignment="1"/>
    <xf numFmtId="169" fontId="4" fillId="0" borderId="3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left"/>
    </xf>
    <xf numFmtId="3" fontId="4" fillId="0" borderId="26" xfId="0" applyNumberFormat="1" applyFont="1" applyBorder="1" applyAlignment="1"/>
    <xf numFmtId="2" fontId="4" fillId="0" borderId="26" xfId="0" applyNumberFormat="1" applyFont="1" applyBorder="1" applyAlignment="1"/>
    <xf numFmtId="0" fontId="4" fillId="0" borderId="26" xfId="0" applyNumberFormat="1" applyFont="1" applyBorder="1" applyAlignment="1"/>
    <xf numFmtId="0" fontId="4" fillId="0" borderId="27" xfId="0" applyNumberFormat="1" applyFont="1" applyBorder="1" applyAlignment="1"/>
    <xf numFmtId="0" fontId="4" fillId="0" borderId="28" xfId="0" applyNumberFormat="1" applyFont="1" applyBorder="1" applyAlignment="1">
      <alignment horizontal="left"/>
    </xf>
    <xf numFmtId="3" fontId="4" fillId="0" borderId="29" xfId="0" applyNumberFormat="1" applyFont="1" applyBorder="1" applyAlignment="1"/>
    <xf numFmtId="2" fontId="4" fillId="0" borderId="29" xfId="0" applyNumberFormat="1" applyFont="1" applyBorder="1" applyAlignment="1"/>
    <xf numFmtId="4" fontId="4" fillId="0" borderId="29" xfId="0" applyNumberFormat="1" applyFont="1" applyBorder="1" applyAlignment="1"/>
    <xf numFmtId="167" fontId="4" fillId="0" borderId="29" xfId="0" applyNumberFormat="1" applyFont="1" applyBorder="1" applyAlignment="1"/>
    <xf numFmtId="167" fontId="4" fillId="0" borderId="30" xfId="0" applyNumberFormat="1" applyFont="1" applyBorder="1" applyAlignment="1"/>
    <xf numFmtId="0" fontId="2" fillId="0" borderId="1" xfId="0" applyNumberFormat="1" applyFont="1" applyBorder="1" applyAlignment="1"/>
    <xf numFmtId="0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/>
    <xf numFmtId="2" fontId="4" fillId="0" borderId="0" xfId="0" applyNumberFormat="1" applyFont="1" applyBorder="1" applyAlignment="1"/>
    <xf numFmtId="0" fontId="4" fillId="0" borderId="0" xfId="0" applyNumberFormat="1" applyFont="1" applyBorder="1" applyAlignment="1"/>
    <xf numFmtId="167" fontId="4" fillId="0" borderId="0" xfId="0" applyNumberFormat="1" applyFont="1" applyBorder="1" applyAlignment="1"/>
    <xf numFmtId="167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0" fontId="4" fillId="2" borderId="0" xfId="0" applyNumberFormat="1" applyFont="1" applyFill="1" applyBorder="1" applyAlignment="1"/>
    <xf numFmtId="3" fontId="4" fillId="2" borderId="0" xfId="0" applyNumberFormat="1" applyFont="1" applyFill="1" applyBorder="1" applyAlignment="1"/>
    <xf numFmtId="2" fontId="4" fillId="2" borderId="0" xfId="0" applyNumberFormat="1" applyFont="1" applyFill="1" applyBorder="1" applyAlignment="1"/>
    <xf numFmtId="0" fontId="4" fillId="0" borderId="3" xfId="0" applyNumberFormat="1" applyFont="1" applyBorder="1" applyAlignment="1">
      <alignment horizontal="right"/>
    </xf>
    <xf numFmtId="0" fontId="4" fillId="2" borderId="31" xfId="0" applyNumberFormat="1" applyFont="1" applyFill="1" applyBorder="1" applyAlignment="1"/>
    <xf numFmtId="0" fontId="4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 applyAlignment="1"/>
    <xf numFmtId="167" fontId="4" fillId="2" borderId="32" xfId="0" applyNumberFormat="1" applyFont="1" applyFill="1" applyBorder="1" applyAlignment="1"/>
    <xf numFmtId="0" fontId="4" fillId="0" borderId="33" xfId="0" applyNumberFormat="1" applyFont="1" applyBorder="1" applyAlignment="1">
      <alignment horizontal="left"/>
    </xf>
    <xf numFmtId="0" fontId="4" fillId="0" borderId="34" xfId="0" applyNumberFormat="1" applyFont="1" applyBorder="1" applyAlignment="1">
      <alignment horizontal="right"/>
    </xf>
    <xf numFmtId="2" fontId="4" fillId="0" borderId="34" xfId="0" applyNumberFormat="1" applyFont="1" applyBorder="1" applyAlignment="1">
      <alignment horizontal="right"/>
    </xf>
    <xf numFmtId="4" fontId="4" fillId="0" borderId="34" xfId="0" applyNumberFormat="1" applyFont="1" applyBorder="1" applyAlignment="1"/>
    <xf numFmtId="167" fontId="4" fillId="0" borderId="35" xfId="0" applyNumberFormat="1" applyFont="1" applyBorder="1" applyAlignment="1"/>
    <xf numFmtId="0" fontId="2" fillId="2" borderId="36" xfId="0" applyNumberFormat="1" applyFont="1" applyFill="1" applyBorder="1" applyAlignment="1"/>
    <xf numFmtId="165" fontId="2" fillId="2" borderId="37" xfId="0" applyNumberFormat="1" applyFont="1" applyFill="1" applyBorder="1" applyAlignment="1"/>
    <xf numFmtId="0" fontId="3" fillId="0" borderId="38" xfId="0" applyNumberFormat="1" applyFont="1" applyBorder="1" applyAlignment="1">
      <alignment horizontal="left"/>
    </xf>
    <xf numFmtId="3" fontId="3" fillId="0" borderId="39" xfId="0" applyNumberFormat="1" applyFont="1" applyBorder="1" applyAlignment="1"/>
    <xf numFmtId="165" fontId="3" fillId="0" borderId="40" xfId="0" applyNumberFormat="1" applyFont="1" applyBorder="1" applyAlignment="1"/>
    <xf numFmtId="0" fontId="3" fillId="0" borderId="41" xfId="0" applyNumberFormat="1" applyFont="1" applyBorder="1" applyAlignment="1">
      <alignment horizontal="left"/>
    </xf>
    <xf numFmtId="3" fontId="2" fillId="0" borderId="42" xfId="0" applyNumberFormat="1" applyFont="1" applyBorder="1" applyAlignment="1"/>
    <xf numFmtId="3" fontId="2" fillId="0" borderId="43" xfId="0" applyNumberFormat="1" applyFont="1" applyBorder="1" applyAlignment="1"/>
    <xf numFmtId="0" fontId="2" fillId="0" borderId="44" xfId="0" applyNumberFormat="1" applyFont="1" applyBorder="1" applyAlignment="1">
      <alignment horizontal="left"/>
    </xf>
    <xf numFmtId="3" fontId="2" fillId="0" borderId="8" xfId="0" applyNumberFormat="1" applyFont="1" applyBorder="1" applyAlignment="1"/>
    <xf numFmtId="165" fontId="2" fillId="0" borderId="8" xfId="0" applyNumberFormat="1" applyFont="1" applyBorder="1" applyAlignment="1"/>
    <xf numFmtId="165" fontId="2" fillId="0" borderId="45" xfId="0" applyNumberFormat="1" applyFont="1" applyBorder="1" applyAlignment="1"/>
    <xf numFmtId="0" fontId="3" fillId="0" borderId="46" xfId="0" applyNumberFormat="1" applyFont="1" applyBorder="1" applyAlignment="1">
      <alignment horizontal="left"/>
    </xf>
    <xf numFmtId="3" fontId="2" fillId="0" borderId="1" xfId="0" applyNumberFormat="1" applyFont="1" applyBorder="1" applyAlignment="1"/>
    <xf numFmtId="165" fontId="2" fillId="0" borderId="47" xfId="0" applyNumberFormat="1" applyFont="1" applyBorder="1" applyAlignment="1"/>
    <xf numFmtId="0" fontId="2" fillId="0" borderId="47" xfId="0" applyNumberFormat="1" applyFont="1" applyBorder="1" applyAlignment="1"/>
    <xf numFmtId="2" fontId="4" fillId="0" borderId="0" xfId="0" applyNumberFormat="1" applyFont="1" applyAlignment="1">
      <alignment horizontal="left"/>
    </xf>
    <xf numFmtId="2" fontId="4" fillId="0" borderId="9" xfId="0" applyNumberFormat="1" applyFont="1" applyBorder="1" applyAlignment="1">
      <alignment horizontal="left"/>
    </xf>
    <xf numFmtId="0" fontId="4" fillId="0" borderId="36" xfId="0" applyNumberFormat="1" applyFont="1" applyBorder="1" applyAlignment="1">
      <alignment horizontal="left"/>
    </xf>
    <xf numFmtId="167" fontId="4" fillId="0" borderId="37" xfId="0" applyNumberFormat="1" applyFont="1" applyBorder="1" applyAlignment="1"/>
    <xf numFmtId="0" fontId="4" fillId="0" borderId="46" xfId="0" applyNumberFormat="1" applyFont="1" applyBorder="1" applyAlignment="1">
      <alignment horizontal="left"/>
    </xf>
    <xf numFmtId="167" fontId="4" fillId="0" borderId="47" xfId="0" applyNumberFormat="1" applyFont="1" applyBorder="1" applyAlignment="1"/>
    <xf numFmtId="0" fontId="4" fillId="0" borderId="51" xfId="0" applyNumberFormat="1" applyFont="1" applyBorder="1" applyAlignment="1">
      <alignment horizontal="left"/>
    </xf>
    <xf numFmtId="3" fontId="4" fillId="0" borderId="52" xfId="0" applyNumberFormat="1" applyFont="1" applyBorder="1" applyAlignment="1">
      <alignment horizontal="right"/>
    </xf>
    <xf numFmtId="2" fontId="4" fillId="0" borderId="52" xfId="0" applyNumberFormat="1" applyFont="1" applyBorder="1" applyAlignment="1"/>
    <xf numFmtId="4" fontId="4" fillId="0" borderId="52" xfId="0" applyNumberFormat="1" applyFont="1" applyBorder="1" applyAlignment="1"/>
    <xf numFmtId="167" fontId="4" fillId="0" borderId="52" xfId="0" applyNumberFormat="1" applyFont="1" applyBorder="1" applyAlignment="1"/>
    <xf numFmtId="167" fontId="4" fillId="0" borderId="53" xfId="0" applyNumberFormat="1" applyFont="1" applyBorder="1" applyAlignment="1"/>
    <xf numFmtId="0" fontId="4" fillId="2" borderId="36" xfId="0" applyNumberFormat="1" applyFont="1" applyFill="1" applyBorder="1" applyAlignment="1"/>
    <xf numFmtId="0" fontId="4" fillId="2" borderId="37" xfId="0" applyNumberFormat="1" applyFont="1" applyFill="1" applyBorder="1" applyAlignment="1"/>
    <xf numFmtId="0" fontId="4" fillId="2" borderId="46" xfId="0" applyNumberFormat="1" applyFont="1" applyFill="1" applyBorder="1" applyAlignment="1"/>
    <xf numFmtId="3" fontId="4" fillId="2" borderId="1" xfId="0" applyNumberFormat="1" applyFont="1" applyFill="1" applyBorder="1" applyAlignment="1"/>
    <xf numFmtId="2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/>
    <xf numFmtId="0" fontId="4" fillId="2" borderId="47" xfId="0" applyNumberFormat="1" applyFont="1" applyFill="1" applyBorder="1" applyAlignment="1"/>
    <xf numFmtId="0" fontId="4" fillId="0" borderId="44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right"/>
    </xf>
    <xf numFmtId="167" fontId="4" fillId="0" borderId="45" xfId="0" applyNumberFormat="1" applyFont="1" applyBorder="1" applyAlignment="1"/>
    <xf numFmtId="167" fontId="4" fillId="2" borderId="37" xfId="0" applyNumberFormat="1" applyFont="1" applyFill="1" applyBorder="1" applyAlignment="1"/>
    <xf numFmtId="0" fontId="4" fillId="0" borderId="47" xfId="0" applyNumberFormat="1" applyFont="1" applyBorder="1" applyAlignment="1"/>
    <xf numFmtId="1" fontId="4" fillId="0" borderId="1" xfId="0" applyNumberFormat="1" applyFont="1" applyBorder="1" applyAlignment="1"/>
    <xf numFmtId="0" fontId="4" fillId="0" borderId="45" xfId="0" applyNumberFormat="1" applyFont="1" applyBorder="1" applyAlignment="1"/>
    <xf numFmtId="0" fontId="4" fillId="0" borderId="37" xfId="0" applyNumberFormat="1" applyFont="1" applyBorder="1" applyAlignment="1"/>
    <xf numFmtId="2" fontId="4" fillId="0" borderId="1" xfId="0" applyNumberFormat="1" applyFont="1" applyBorder="1" applyAlignment="1">
      <alignment horizontal="right"/>
    </xf>
    <xf numFmtId="0" fontId="4" fillId="0" borderId="57" xfId="0" applyNumberFormat="1" applyFont="1" applyBorder="1" applyAlignment="1">
      <alignment horizontal="left"/>
    </xf>
    <xf numFmtId="4" fontId="4" fillId="0" borderId="26" xfId="0" applyNumberFormat="1" applyFont="1" applyBorder="1" applyAlignment="1"/>
    <xf numFmtId="167" fontId="4" fillId="0" borderId="26" xfId="0" applyNumberFormat="1" applyFont="1" applyBorder="1" applyAlignment="1"/>
    <xf numFmtId="167" fontId="4" fillId="0" borderId="58" xfId="0" applyNumberFormat="1" applyFont="1" applyBorder="1" applyAlignment="1"/>
    <xf numFmtId="0" fontId="4" fillId="0" borderId="59" xfId="0" applyNumberFormat="1" applyFont="1" applyBorder="1" applyAlignment="1">
      <alignment horizontal="left"/>
    </xf>
    <xf numFmtId="0" fontId="4" fillId="0" borderId="23" xfId="0" applyNumberFormat="1" applyFont="1" applyBorder="1" applyAlignment="1">
      <alignment horizontal="right"/>
    </xf>
    <xf numFmtId="0" fontId="4" fillId="0" borderId="23" xfId="0" applyNumberFormat="1" applyFont="1" applyBorder="1" applyAlignment="1"/>
    <xf numFmtId="167" fontId="4" fillId="0" borderId="60" xfId="0" applyNumberFormat="1" applyFont="1" applyBorder="1" applyAlignment="1"/>
    <xf numFmtId="4" fontId="4" fillId="0" borderId="23" xfId="0" applyNumberFormat="1" applyFont="1" applyBorder="1" applyAlignment="1">
      <alignment horizontal="center"/>
    </xf>
    <xf numFmtId="0" fontId="4" fillId="0" borderId="61" xfId="0" applyNumberFormat="1" applyFont="1" applyBorder="1" applyAlignment="1">
      <alignment horizontal="left"/>
    </xf>
    <xf numFmtId="3" fontId="4" fillId="0" borderId="62" xfId="0" applyNumberFormat="1" applyFont="1" applyBorder="1" applyAlignment="1"/>
    <xf numFmtId="3" fontId="4" fillId="0" borderId="63" xfId="0" applyNumberFormat="1" applyFont="1" applyBorder="1" applyAlignment="1"/>
    <xf numFmtId="3" fontId="4" fillId="0" borderId="37" xfId="0" applyNumberFormat="1" applyFont="1" applyBorder="1" applyAlignment="1"/>
    <xf numFmtId="3" fontId="4" fillId="0" borderId="47" xfId="0" applyNumberFormat="1" applyFont="1" applyBorder="1" applyAlignment="1"/>
    <xf numFmtId="3" fontId="4" fillId="0" borderId="52" xfId="0" applyNumberFormat="1" applyFont="1" applyBorder="1" applyAlignment="1"/>
    <xf numFmtId="165" fontId="4" fillId="0" borderId="53" xfId="0" applyNumberFormat="1" applyFont="1" applyBorder="1" applyAlignment="1"/>
    <xf numFmtId="8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67" fontId="2" fillId="0" borderId="0" xfId="0" applyNumberFormat="1" applyFont="1"/>
    <xf numFmtId="2" fontId="2" fillId="0" borderId="0" xfId="0" applyNumberFormat="1" applyFont="1"/>
    <xf numFmtId="8" fontId="2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4" fillId="0" borderId="9" xfId="0" applyFont="1" applyBorder="1" applyAlignment="1">
      <alignment horizontal="left"/>
    </xf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4" fillId="0" borderId="36" xfId="0" applyFont="1" applyBorder="1" applyAlignment="1">
      <alignment horizontal="left"/>
    </xf>
    <xf numFmtId="3" fontId="4" fillId="0" borderId="12" xfId="0" applyNumberFormat="1" applyFont="1" applyBorder="1"/>
    <xf numFmtId="2" fontId="4" fillId="0" borderId="12" xfId="0" applyNumberFormat="1" applyFont="1" applyBorder="1"/>
    <xf numFmtId="4" fontId="4" fillId="0" borderId="12" xfId="0" applyNumberFormat="1" applyFont="1" applyBorder="1"/>
    <xf numFmtId="167" fontId="4" fillId="0" borderId="37" xfId="0" applyNumberFormat="1" applyFont="1" applyBorder="1"/>
    <xf numFmtId="0" fontId="4" fillId="0" borderId="46" xfId="0" applyFont="1" applyBorder="1" applyAlignment="1">
      <alignment horizontal="left"/>
    </xf>
    <xf numFmtId="3" fontId="4" fillId="0" borderId="1" xfId="0" applyNumberFormat="1" applyFont="1" applyBorder="1"/>
    <xf numFmtId="2" fontId="4" fillId="0" borderId="1" xfId="0" applyNumberFormat="1" applyFont="1" applyBorder="1"/>
    <xf numFmtId="4" fontId="4" fillId="0" borderId="1" xfId="0" applyNumberFormat="1" applyFont="1" applyBorder="1"/>
    <xf numFmtId="167" fontId="4" fillId="0" borderId="1" xfId="0" applyNumberFormat="1" applyFont="1" applyBorder="1"/>
    <xf numFmtId="167" fontId="4" fillId="0" borderId="47" xfId="0" applyNumberFormat="1" applyFont="1" applyBorder="1"/>
    <xf numFmtId="0" fontId="4" fillId="0" borderId="51" xfId="0" applyFont="1" applyBorder="1" applyAlignment="1">
      <alignment horizontal="left"/>
    </xf>
    <xf numFmtId="2" fontId="4" fillId="0" borderId="52" xfId="0" applyNumberFormat="1" applyFont="1" applyBorder="1"/>
    <xf numFmtId="4" fontId="4" fillId="0" borderId="52" xfId="0" applyNumberFormat="1" applyFont="1" applyBorder="1"/>
    <xf numFmtId="167" fontId="4" fillId="0" borderId="52" xfId="0" applyNumberFormat="1" applyFont="1" applyBorder="1"/>
    <xf numFmtId="167" fontId="4" fillId="0" borderId="53" xfId="0" applyNumberFormat="1" applyFont="1" applyBorder="1"/>
    <xf numFmtId="0" fontId="4" fillId="2" borderId="36" xfId="0" applyFont="1" applyFill="1" applyBorder="1"/>
    <xf numFmtId="3" fontId="4" fillId="2" borderId="12" xfId="0" applyNumberFormat="1" applyFont="1" applyFill="1" applyBorder="1"/>
    <xf numFmtId="2" fontId="4" fillId="2" borderId="12" xfId="0" applyNumberFormat="1" applyFont="1" applyFill="1" applyBorder="1"/>
    <xf numFmtId="0" fontId="4" fillId="2" borderId="12" xfId="0" applyFont="1" applyFill="1" applyBorder="1"/>
    <xf numFmtId="0" fontId="4" fillId="2" borderId="37" xfId="0" applyFont="1" applyFill="1" applyBorder="1"/>
    <xf numFmtId="0" fontId="4" fillId="2" borderId="46" xfId="0" applyFont="1" applyFill="1" applyBorder="1"/>
    <xf numFmtId="3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0" fontId="4" fillId="2" borderId="47" xfId="0" applyFont="1" applyFill="1" applyBorder="1"/>
    <xf numFmtId="167" fontId="4" fillId="0" borderId="12" xfId="0" applyNumberFormat="1" applyFont="1" applyBorder="1"/>
    <xf numFmtId="167" fontId="4" fillId="2" borderId="37" xfId="0" applyNumberFormat="1" applyFont="1" applyFill="1" applyBorder="1"/>
    <xf numFmtId="0" fontId="4" fillId="0" borderId="44" xfId="0" applyFont="1" applyBorder="1" applyAlignment="1">
      <alignment horizontal="left"/>
    </xf>
    <xf numFmtId="0" fontId="4" fillId="0" borderId="8" xfId="0" applyFont="1" applyBorder="1"/>
    <xf numFmtId="2" fontId="4" fillId="0" borderId="8" xfId="0" applyNumberFormat="1" applyFont="1" applyBorder="1"/>
    <xf numFmtId="4" fontId="4" fillId="0" borderId="8" xfId="0" applyNumberFormat="1" applyFont="1" applyBorder="1"/>
    <xf numFmtId="167" fontId="4" fillId="0" borderId="8" xfId="0" applyNumberFormat="1" applyFont="1" applyBorder="1"/>
    <xf numFmtId="167" fontId="4" fillId="0" borderId="45" xfId="0" applyNumberFormat="1" applyFon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47" xfId="0" applyFont="1" applyBorder="1"/>
    <xf numFmtId="1" fontId="4" fillId="0" borderId="8" xfId="0" applyNumberFormat="1" applyFont="1" applyBorder="1"/>
    <xf numFmtId="1" fontId="4" fillId="0" borderId="12" xfId="0" applyNumberFormat="1" applyFont="1" applyBorder="1"/>
    <xf numFmtId="1" fontId="4" fillId="0" borderId="1" xfId="0" applyNumberFormat="1" applyFont="1" applyBorder="1"/>
    <xf numFmtId="0" fontId="4" fillId="0" borderId="8" xfId="0" applyFont="1" applyBorder="1" applyAlignment="1">
      <alignment horizontal="right"/>
    </xf>
    <xf numFmtId="0" fontId="4" fillId="0" borderId="45" xfId="0" applyFont="1" applyBorder="1"/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4" fillId="0" borderId="37" xfId="0" applyFont="1" applyBorder="1"/>
    <xf numFmtId="4" fontId="2" fillId="0" borderId="0" xfId="0" applyNumberFormat="1" applyFont="1"/>
    <xf numFmtId="0" fontId="4" fillId="0" borderId="57" xfId="0" applyFont="1" applyBorder="1" applyAlignment="1">
      <alignment horizontal="left"/>
    </xf>
    <xf numFmtId="0" fontId="4" fillId="0" borderId="26" xfId="0" applyFont="1" applyBorder="1"/>
    <xf numFmtId="4" fontId="4" fillId="0" borderId="26" xfId="0" applyNumberFormat="1" applyFont="1" applyBorder="1"/>
    <xf numFmtId="167" fontId="4" fillId="0" borderId="26" xfId="0" applyNumberFormat="1" applyFont="1" applyBorder="1"/>
    <xf numFmtId="167" fontId="4" fillId="0" borderId="58" xfId="0" applyNumberFormat="1" applyFont="1" applyBorder="1"/>
    <xf numFmtId="0" fontId="4" fillId="0" borderId="59" xfId="0" applyFont="1" applyBorder="1" applyAlignment="1">
      <alignment horizontal="left"/>
    </xf>
    <xf numFmtId="0" fontId="4" fillId="0" borderId="23" xfId="0" applyFont="1" applyBorder="1" applyAlignment="1">
      <alignment horizontal="right"/>
    </xf>
    <xf numFmtId="0" fontId="4" fillId="0" borderId="23" xfId="0" applyFont="1" applyBorder="1"/>
    <xf numFmtId="4" fontId="4" fillId="0" borderId="23" xfId="0" applyNumberFormat="1" applyFont="1" applyBorder="1"/>
    <xf numFmtId="167" fontId="4" fillId="0" borderId="23" xfId="0" applyNumberFormat="1" applyFont="1" applyBorder="1"/>
    <xf numFmtId="167" fontId="4" fillId="0" borderId="60" xfId="0" applyNumberFormat="1" applyFont="1" applyBorder="1"/>
    <xf numFmtId="0" fontId="4" fillId="0" borderId="22" xfId="0" applyFont="1" applyBorder="1" applyAlignment="1">
      <alignment horizontal="left"/>
    </xf>
    <xf numFmtId="167" fontId="4" fillId="0" borderId="24" xfId="0" applyNumberFormat="1" applyFont="1" applyBorder="1"/>
    <xf numFmtId="3" fontId="2" fillId="0" borderId="0" xfId="0" applyNumberFormat="1" applyFont="1"/>
    <xf numFmtId="0" fontId="4" fillId="2" borderId="0" xfId="0" applyFont="1" applyFill="1"/>
    <xf numFmtId="3" fontId="4" fillId="2" borderId="0" xfId="0" applyNumberFormat="1" applyFont="1" applyFill="1"/>
    <xf numFmtId="0" fontId="4" fillId="0" borderId="61" xfId="0" applyFont="1" applyBorder="1" applyAlignment="1">
      <alignment horizontal="left"/>
    </xf>
    <xf numFmtId="3" fontId="4" fillId="0" borderId="62" xfId="0" applyNumberFormat="1" applyFont="1" applyBorder="1"/>
    <xf numFmtId="3" fontId="4" fillId="0" borderId="63" xfId="0" applyNumberFormat="1" applyFont="1" applyBorder="1"/>
    <xf numFmtId="3" fontId="4" fillId="0" borderId="37" xfId="0" applyNumberFormat="1" applyFont="1" applyBorder="1"/>
    <xf numFmtId="3" fontId="4" fillId="0" borderId="47" xfId="0" applyNumberFormat="1" applyFont="1" applyBorder="1"/>
    <xf numFmtId="3" fontId="4" fillId="0" borderId="52" xfId="0" applyNumberFormat="1" applyFont="1" applyBorder="1"/>
    <xf numFmtId="165" fontId="4" fillId="0" borderId="53" xfId="0" applyNumberFormat="1" applyFont="1" applyBorder="1"/>
    <xf numFmtId="0" fontId="4" fillId="4" borderId="4" xfId="0" applyNumberFormat="1" applyFont="1" applyFill="1" applyBorder="1" applyAlignment="1">
      <alignment horizontal="left"/>
    </xf>
    <xf numFmtId="3" fontId="4" fillId="4" borderId="5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5" xfId="0" applyNumberFormat="1" applyFont="1" applyFill="1" applyBorder="1" applyAlignment="1"/>
    <xf numFmtId="167" fontId="4" fillId="4" borderId="5" xfId="0" applyNumberFormat="1" applyFont="1" applyFill="1" applyBorder="1" applyAlignment="1"/>
    <xf numFmtId="0" fontId="4" fillId="4" borderId="6" xfId="0" applyNumberFormat="1" applyFont="1" applyFill="1" applyBorder="1" applyAlignment="1"/>
    <xf numFmtId="0" fontId="7" fillId="0" borderId="0" xfId="0" applyFont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5" borderId="55" xfId="0" applyFont="1" applyFill="1" applyBorder="1"/>
    <xf numFmtId="2" fontId="4" fillId="5" borderId="55" xfId="0" applyNumberFormat="1" applyFont="1" applyFill="1" applyBorder="1"/>
    <xf numFmtId="167" fontId="4" fillId="5" borderId="56" xfId="0" applyNumberFormat="1" applyFont="1" applyFill="1" applyBorder="1"/>
    <xf numFmtId="3" fontId="4" fillId="5" borderId="55" xfId="0" applyNumberFormat="1" applyFont="1" applyFill="1" applyBorder="1"/>
    <xf numFmtId="4" fontId="4" fillId="5" borderId="55" xfId="0" applyNumberFormat="1" applyFont="1" applyFill="1" applyBorder="1"/>
    <xf numFmtId="0" fontId="4" fillId="5" borderId="48" xfId="0" applyFont="1" applyFill="1" applyBorder="1" applyAlignment="1">
      <alignment horizontal="left"/>
    </xf>
    <xf numFmtId="3" fontId="4" fillId="5" borderId="49" xfId="0" applyNumberFormat="1" applyFont="1" applyFill="1" applyBorder="1"/>
    <xf numFmtId="2" fontId="4" fillId="5" borderId="49" xfId="0" applyNumberFormat="1" applyFont="1" applyFill="1" applyBorder="1"/>
    <xf numFmtId="0" fontId="4" fillId="5" borderId="49" xfId="0" applyFont="1" applyFill="1" applyBorder="1"/>
    <xf numFmtId="0" fontId="4" fillId="5" borderId="50" xfId="0" applyFont="1" applyFill="1" applyBorder="1"/>
    <xf numFmtId="0" fontId="8" fillId="0" borderId="0" xfId="0" applyNumberFormat="1" applyFont="1" applyAlignment="1">
      <alignment horizontal="left"/>
    </xf>
    <xf numFmtId="0" fontId="4" fillId="5" borderId="48" xfId="0" applyNumberFormat="1" applyFont="1" applyFill="1" applyBorder="1" applyAlignment="1">
      <alignment horizontal="left"/>
    </xf>
    <xf numFmtId="3" fontId="4" fillId="5" borderId="49" xfId="0" applyNumberFormat="1" applyFont="1" applyFill="1" applyBorder="1" applyAlignment="1"/>
    <xf numFmtId="2" fontId="4" fillId="5" borderId="49" xfId="0" applyNumberFormat="1" applyFont="1" applyFill="1" applyBorder="1" applyAlignment="1"/>
    <xf numFmtId="0" fontId="4" fillId="5" borderId="49" xfId="0" applyNumberFormat="1" applyFont="1" applyFill="1" applyBorder="1" applyAlignment="1"/>
    <xf numFmtId="0" fontId="4" fillId="5" borderId="50" xfId="0" applyNumberFormat="1" applyFont="1" applyFill="1" applyBorder="1" applyAlignment="1"/>
    <xf numFmtId="0" fontId="4" fillId="5" borderId="54" xfId="0" applyNumberFormat="1" applyFont="1" applyFill="1" applyBorder="1" applyAlignment="1">
      <alignment horizontal="left"/>
    </xf>
    <xf numFmtId="3" fontId="4" fillId="5" borderId="55" xfId="0" applyNumberFormat="1" applyFont="1" applyFill="1" applyBorder="1" applyAlignment="1"/>
    <xf numFmtId="2" fontId="4" fillId="5" borderId="55" xfId="0" applyNumberFormat="1" applyFont="1" applyFill="1" applyBorder="1" applyAlignment="1"/>
    <xf numFmtId="4" fontId="4" fillId="5" borderId="55" xfId="0" applyNumberFormat="1" applyFont="1" applyFill="1" applyBorder="1" applyAlignment="1"/>
    <xf numFmtId="167" fontId="4" fillId="5" borderId="56" xfId="0" applyNumberFormat="1" applyFont="1" applyFill="1" applyBorder="1" applyAlignment="1"/>
    <xf numFmtId="0" fontId="4" fillId="5" borderId="55" xfId="0" applyNumberFormat="1" applyFont="1" applyFill="1" applyBorder="1" applyAlignment="1"/>
    <xf numFmtId="0" fontId="9" fillId="0" borderId="0" xfId="0" applyNumberFormat="1" applyFont="1" applyAlignment="1">
      <alignment horizontal="left"/>
    </xf>
    <xf numFmtId="0" fontId="8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13438\Local%20Settings\Temporary%20Internet%20Files\OLK45\MISTAK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yas_peggy_epa_gov/Documents/My%20ICR%20Library/ICR%201571/1571.13/1571fed13.xls" TargetMode="External"/><Relationship Id="rId1" Type="http://schemas.openxmlformats.org/officeDocument/2006/relationships/externalLinkPath" Target="/personal/vyas_peggy_epa_gov/Documents/My%20ICR%20Library/ICR%201571/1571.13/1571fed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e 2"/>
      <sheetName val="B"/>
      <sheetName val="GFS_RESP"/>
      <sheetName val="Exhibit 1"/>
      <sheetName val="Exhibit 2"/>
      <sheetName val="Exhibit 3"/>
      <sheetName val="Exhibit 5"/>
      <sheetName val="Exhibit 6 "/>
      <sheetName val="Exhibit 7"/>
      <sheetName val="Exhibit 8"/>
      <sheetName val="Exhibit 13"/>
      <sheetName val="Exhibit 11"/>
      <sheetName val="Table 4"/>
    </sheetNames>
    <sheetDataSet>
      <sheetData sheetId="0" refreshError="1"/>
      <sheetData sheetId="1" refreshError="1"/>
      <sheetData sheetId="2" refreshError="1"/>
      <sheetData sheetId="3" refreshError="1">
        <row r="13">
          <cell r="C13">
            <v>1133</v>
          </cell>
          <cell r="D13">
            <v>8</v>
          </cell>
        </row>
        <row r="16">
          <cell r="C16">
            <v>563</v>
          </cell>
          <cell r="D16">
            <v>3</v>
          </cell>
        </row>
        <row r="49">
          <cell r="B49">
            <v>33.78</v>
          </cell>
          <cell r="C49">
            <v>0.18</v>
          </cell>
        </row>
        <row r="93">
          <cell r="B93">
            <v>0</v>
          </cell>
          <cell r="C93">
            <v>0</v>
          </cell>
        </row>
      </sheetData>
      <sheetData sheetId="4" refreshError="1"/>
      <sheetData sheetId="5" refreshError="1">
        <row r="81">
          <cell r="B81">
            <v>11.33</v>
          </cell>
          <cell r="C81">
            <v>0.08</v>
          </cell>
        </row>
      </sheetData>
      <sheetData sheetId="6" refreshError="1">
        <row r="54">
          <cell r="B54" t="str">
            <v>N/A</v>
          </cell>
          <cell r="C54">
            <v>0</v>
          </cell>
        </row>
        <row r="60">
          <cell r="B60" t="str">
            <v>N/A</v>
          </cell>
          <cell r="C60">
            <v>0.15000000000000002</v>
          </cell>
        </row>
        <row r="66">
          <cell r="B66">
            <v>7</v>
          </cell>
          <cell r="C66">
            <v>0</v>
          </cell>
        </row>
        <row r="73">
          <cell r="B73">
            <v>1.4000000000000001</v>
          </cell>
          <cell r="C73">
            <v>0</v>
          </cell>
        </row>
        <row r="75">
          <cell r="B75">
            <v>1.4000000000000001</v>
          </cell>
          <cell r="C75">
            <v>0</v>
          </cell>
        </row>
        <row r="77">
          <cell r="B77">
            <v>0.35000000000000003</v>
          </cell>
          <cell r="C77">
            <v>0</v>
          </cell>
        </row>
        <row r="84">
          <cell r="B84">
            <v>7</v>
          </cell>
          <cell r="C84">
            <v>0</v>
          </cell>
        </row>
        <row r="89">
          <cell r="B89">
            <v>0.5</v>
          </cell>
          <cell r="C89">
            <v>0</v>
          </cell>
        </row>
        <row r="96">
          <cell r="B96" t="str">
            <v>N/A</v>
          </cell>
          <cell r="C96">
            <v>0</v>
          </cell>
        </row>
        <row r="103">
          <cell r="B103" t="str">
            <v>N/A</v>
          </cell>
          <cell r="C103">
            <v>0</v>
          </cell>
        </row>
        <row r="109">
          <cell r="B109" t="str">
            <v>N/A</v>
          </cell>
          <cell r="C109">
            <v>0</v>
          </cell>
        </row>
        <row r="111">
          <cell r="B111" t="str">
            <v>N/A</v>
          </cell>
          <cell r="C111">
            <v>0</v>
          </cell>
        </row>
        <row r="113">
          <cell r="B113" t="str">
            <v>N/A</v>
          </cell>
          <cell r="C113">
            <v>0</v>
          </cell>
        </row>
        <row r="120">
          <cell r="B120">
            <v>1</v>
          </cell>
          <cell r="C120">
            <v>0</v>
          </cell>
        </row>
        <row r="126">
          <cell r="B126">
            <v>1</v>
          </cell>
          <cell r="C126">
            <v>0</v>
          </cell>
        </row>
        <row r="140">
          <cell r="B140">
            <v>0</v>
          </cell>
          <cell r="C140">
            <v>0</v>
          </cell>
        </row>
      </sheetData>
      <sheetData sheetId="7" refreshError="1"/>
      <sheetData sheetId="8" refreshError="1">
        <row r="50">
          <cell r="B50">
            <v>1141</v>
          </cell>
        </row>
        <row r="52">
          <cell r="B52">
            <v>1141</v>
          </cell>
        </row>
        <row r="54">
          <cell r="B54">
            <v>78</v>
          </cell>
        </row>
        <row r="55">
          <cell r="B55">
            <v>39</v>
          </cell>
        </row>
        <row r="56">
          <cell r="B56">
            <v>247</v>
          </cell>
        </row>
        <row r="58">
          <cell r="B58">
            <v>11.33</v>
          </cell>
        </row>
        <row r="61">
          <cell r="B61">
            <v>11.33</v>
          </cell>
        </row>
        <row r="63">
          <cell r="B63">
            <v>11.33</v>
          </cell>
        </row>
        <row r="65">
          <cell r="B65">
            <v>22.66</v>
          </cell>
        </row>
        <row r="67">
          <cell r="B67">
            <v>11.33</v>
          </cell>
        </row>
      </sheetData>
      <sheetData sheetId="9" refreshError="1"/>
      <sheetData sheetId="10" refreshError="1"/>
      <sheetData sheetId="11" refreshError="1">
        <row r="28">
          <cell r="K28">
            <v>5.9226000000000001</v>
          </cell>
          <cell r="L28">
            <v>357.25123200000002</v>
          </cell>
        </row>
        <row r="33">
          <cell r="K33">
            <v>197.42000000000002</v>
          </cell>
          <cell r="L33">
            <v>11908.374400000001</v>
          </cell>
        </row>
        <row r="40">
          <cell r="K40">
            <v>111.715</v>
          </cell>
          <cell r="L40">
            <v>6738.6487999999999</v>
          </cell>
        </row>
        <row r="66">
          <cell r="K66">
            <v>49.174999999999997</v>
          </cell>
          <cell r="L66">
            <v>2966.2360000000003</v>
          </cell>
        </row>
        <row r="84">
          <cell r="K84">
            <v>487</v>
          </cell>
          <cell r="L84">
            <v>29549.34</v>
          </cell>
        </row>
        <row r="98">
          <cell r="K98">
            <v>623.62821500000007</v>
          </cell>
          <cell r="L98">
            <v>37381.570819449997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A0A5-4B16-42AA-887D-16A03F443FAE}">
  <dimension ref="A1:T144"/>
  <sheetViews>
    <sheetView showOutlineSymbols="0" topLeftCell="A73" zoomScaleNormal="75" zoomScaleSheetLayoutView="100" workbookViewId="0">
      <selection activeCell="W117" sqref="W117"/>
    </sheetView>
  </sheetViews>
  <sheetFormatPr defaultColWidth="9.7265625" defaultRowHeight="10.199999999999999" x14ac:dyDescent="0.2"/>
  <cols>
    <col min="1" max="1" width="25" style="1" customWidth="1"/>
    <col min="2" max="2" width="9.7265625" style="1" customWidth="1"/>
    <col min="3" max="3" width="8.7265625" style="1" customWidth="1"/>
    <col min="4" max="4" width="8.26953125" style="1" customWidth="1"/>
    <col min="5" max="5" width="9" style="1" customWidth="1"/>
    <col min="6" max="7" width="8.7265625" style="1" customWidth="1"/>
    <col min="8" max="8" width="8.54296875" style="1" customWidth="1"/>
    <col min="9" max="9" width="8.7265625" style="1" customWidth="1"/>
    <col min="10" max="10" width="8.54296875" style="1" customWidth="1"/>
    <col min="11" max="11" width="9.54296875" style="1" customWidth="1"/>
    <col min="12" max="12" width="9.7265625" style="1" customWidth="1"/>
    <col min="13" max="13" width="11.7265625" style="1" hidden="1" customWidth="1"/>
    <col min="14" max="14" width="12.7265625" style="1" hidden="1" customWidth="1"/>
    <col min="15" max="15" width="13.7265625" style="1" hidden="1" customWidth="1"/>
    <col min="16" max="17" width="10.7265625" style="1" hidden="1" customWidth="1"/>
    <col min="18" max="19" width="9.7265625" style="1" hidden="1" customWidth="1"/>
    <col min="20" max="20" width="12.7265625" style="1" hidden="1" customWidth="1"/>
    <col min="21" max="16384" width="9.7265625" style="1"/>
  </cols>
  <sheetData>
    <row r="1" spans="1:19" hidden="1" x14ac:dyDescent="0.2">
      <c r="A1" s="11" t="s">
        <v>33</v>
      </c>
      <c r="B1" s="15" t="s">
        <v>40</v>
      </c>
      <c r="C1" s="15" t="s">
        <v>46</v>
      </c>
      <c r="D1" s="8"/>
      <c r="E1" s="15" t="s">
        <v>48</v>
      </c>
      <c r="F1" s="15" t="s">
        <v>49</v>
      </c>
      <c r="G1" s="8"/>
      <c r="H1" s="8"/>
      <c r="I1" s="12"/>
      <c r="J1" s="12"/>
      <c r="K1" s="18" t="s">
        <v>50</v>
      </c>
      <c r="L1" s="8"/>
      <c r="M1" s="8" t="s">
        <v>113</v>
      </c>
      <c r="N1" s="8"/>
      <c r="O1" s="8" t="s">
        <v>32</v>
      </c>
      <c r="P1" s="19" t="s">
        <v>29</v>
      </c>
      <c r="Q1" s="8" t="s">
        <v>103</v>
      </c>
      <c r="R1" s="8"/>
      <c r="S1" s="8"/>
    </row>
    <row r="2" spans="1:19" hidden="1" x14ac:dyDescent="0.2">
      <c r="A2" s="11" t="s">
        <v>34</v>
      </c>
      <c r="B2" s="8"/>
      <c r="C2" s="12"/>
      <c r="D2" s="8"/>
      <c r="E2" s="12"/>
      <c r="F2" s="12"/>
      <c r="G2" s="8"/>
      <c r="H2" s="8"/>
      <c r="I2" s="12"/>
      <c r="J2" s="12"/>
      <c r="K2" s="8">
        <v>1</v>
      </c>
      <c r="L2" s="8"/>
      <c r="M2" s="8" t="s">
        <v>21</v>
      </c>
      <c r="N2" s="8" t="s">
        <v>117</v>
      </c>
      <c r="O2" s="8">
        <v>153</v>
      </c>
      <c r="P2" s="8">
        <f>ROUND(((976/1432)*O2),0)</f>
        <v>104</v>
      </c>
      <c r="Q2" s="8">
        <f>ROUND(((456/1432)*O2),0)</f>
        <v>49</v>
      </c>
      <c r="R2" s="8"/>
      <c r="S2" s="8"/>
    </row>
    <row r="3" spans="1:19" hidden="1" x14ac:dyDescent="0.2">
      <c r="A3" s="11" t="s">
        <v>35</v>
      </c>
      <c r="B3" s="8"/>
      <c r="C3" s="20"/>
      <c r="D3" s="8"/>
      <c r="E3" s="20"/>
      <c r="F3" s="20"/>
      <c r="G3" s="8"/>
      <c r="H3" s="8" t="s">
        <v>105</v>
      </c>
      <c r="I3" s="12"/>
      <c r="J3" s="12"/>
      <c r="K3" s="8"/>
      <c r="L3" s="8"/>
      <c r="M3" s="8"/>
      <c r="N3" s="8" t="s">
        <v>118</v>
      </c>
      <c r="O3" s="8">
        <v>135</v>
      </c>
      <c r="P3" s="8">
        <f>ROUND(((976/1432)*O3),0)</f>
        <v>92</v>
      </c>
      <c r="Q3" s="8">
        <f>ROUND(((456/1432)*O3),0)</f>
        <v>43</v>
      </c>
      <c r="R3" s="8"/>
      <c r="S3" s="8"/>
    </row>
    <row r="4" spans="1:19" hidden="1" x14ac:dyDescent="0.2">
      <c r="A4" s="11" t="s">
        <v>36</v>
      </c>
      <c r="B4" s="68">
        <v>135.66</v>
      </c>
      <c r="C4" s="12">
        <v>80.19</v>
      </c>
      <c r="D4" s="8">
        <v>0</v>
      </c>
      <c r="E4" s="12">
        <v>59.75</v>
      </c>
      <c r="F4" s="12">
        <v>35.94</v>
      </c>
      <c r="G4" s="8"/>
      <c r="H4" s="8"/>
      <c r="I4" s="12"/>
      <c r="J4" s="12"/>
      <c r="K4" s="8"/>
      <c r="L4" s="8"/>
      <c r="M4" s="8"/>
      <c r="N4" s="8" t="s">
        <v>119</v>
      </c>
      <c r="O4" s="8">
        <v>0</v>
      </c>
      <c r="P4" s="8">
        <f>ROUND(((976/1432)*O4),0)</f>
        <v>0</v>
      </c>
      <c r="Q4" s="8">
        <f>ROUND(((456/1432)*O4),0)</f>
        <v>0</v>
      </c>
      <c r="R4" s="8"/>
      <c r="S4" s="8"/>
    </row>
    <row r="5" spans="1:19" hidden="1" x14ac:dyDescent="0.2">
      <c r="A5" s="8"/>
      <c r="B5" s="8"/>
      <c r="C5" s="12"/>
      <c r="D5" s="8"/>
      <c r="E5" s="8"/>
      <c r="F5" s="8"/>
      <c r="G5" s="8"/>
      <c r="H5" s="8"/>
      <c r="I5" s="12"/>
      <c r="J5" s="12"/>
      <c r="K5" s="18" t="s">
        <v>50</v>
      </c>
      <c r="L5" s="8"/>
      <c r="M5" s="8"/>
      <c r="N5" s="8" t="s">
        <v>120</v>
      </c>
      <c r="O5" s="8">
        <v>0</v>
      </c>
      <c r="P5" s="17">
        <v>0</v>
      </c>
      <c r="Q5" s="17">
        <v>0</v>
      </c>
      <c r="R5" s="8"/>
      <c r="S5" s="8"/>
    </row>
    <row r="6" spans="1:19" hidden="1" x14ac:dyDescent="0.2">
      <c r="A6" s="11" t="s">
        <v>37</v>
      </c>
      <c r="B6" s="8"/>
      <c r="C6" s="15" t="s">
        <v>46</v>
      </c>
      <c r="D6" s="8"/>
      <c r="E6" s="15" t="s">
        <v>48</v>
      </c>
      <c r="F6" s="15" t="s">
        <v>49</v>
      </c>
      <c r="G6" s="8"/>
      <c r="H6" s="8"/>
      <c r="I6" s="12"/>
      <c r="J6" s="12"/>
      <c r="K6" s="8">
        <v>2</v>
      </c>
      <c r="L6" s="8"/>
      <c r="M6" s="8"/>
      <c r="N6" s="8" t="s">
        <v>121</v>
      </c>
      <c r="O6" s="8">
        <v>0</v>
      </c>
      <c r="P6" s="17">
        <v>0</v>
      </c>
      <c r="Q6" s="17">
        <v>0</v>
      </c>
      <c r="R6" s="8"/>
      <c r="S6" s="8"/>
    </row>
    <row r="7" spans="1:19" hidden="1" x14ac:dyDescent="0.2">
      <c r="A7" s="11" t="s">
        <v>34</v>
      </c>
      <c r="B7" s="8"/>
      <c r="C7" s="12"/>
      <c r="D7" s="8"/>
      <c r="E7" s="12"/>
      <c r="F7" s="12"/>
      <c r="G7" s="8"/>
      <c r="H7" s="8"/>
      <c r="I7" s="12"/>
      <c r="J7" s="12"/>
      <c r="K7" s="8"/>
      <c r="L7" s="8"/>
      <c r="M7" s="8"/>
      <c r="N7" s="8"/>
      <c r="O7" s="8"/>
      <c r="P7" s="19"/>
      <c r="Q7" s="8"/>
      <c r="R7" s="8"/>
      <c r="S7" s="8"/>
    </row>
    <row r="8" spans="1:19" hidden="1" x14ac:dyDescent="0.2">
      <c r="A8" s="11" t="s">
        <v>35</v>
      </c>
      <c r="B8" s="8"/>
      <c r="C8" s="20"/>
      <c r="D8" s="8"/>
      <c r="E8" s="20"/>
      <c r="F8" s="20"/>
      <c r="G8" s="8"/>
      <c r="H8" s="8"/>
      <c r="I8" s="12"/>
      <c r="J8" s="12"/>
      <c r="K8" s="8"/>
      <c r="L8" s="8"/>
      <c r="M8" s="8" t="s">
        <v>114</v>
      </c>
      <c r="N8" s="8"/>
      <c r="O8" s="8">
        <v>47</v>
      </c>
      <c r="P8" s="8">
        <f>ROUND(((382/1479)*O8),0)</f>
        <v>12</v>
      </c>
      <c r="Q8" s="8">
        <f>ROUND(((1097/1479)*O8),0)</f>
        <v>35</v>
      </c>
      <c r="R8" s="8"/>
      <c r="S8" s="8"/>
    </row>
    <row r="9" spans="1:19" hidden="1" x14ac:dyDescent="0.2">
      <c r="A9" s="11" t="s">
        <v>36</v>
      </c>
      <c r="B9" s="68" t="s">
        <v>379</v>
      </c>
      <c r="C9" s="12" t="s">
        <v>379</v>
      </c>
      <c r="D9" s="8"/>
      <c r="E9" s="12" t="s">
        <v>379</v>
      </c>
      <c r="F9" s="12" t="s">
        <v>379</v>
      </c>
      <c r="G9" s="8"/>
      <c r="H9" s="8">
        <f>450/2453</f>
        <v>0.18344883815735832</v>
      </c>
      <c r="I9" s="12"/>
      <c r="J9" s="12"/>
      <c r="K9" s="8"/>
      <c r="L9" s="8"/>
      <c r="M9" s="8"/>
      <c r="N9" s="8"/>
      <c r="O9" s="8"/>
      <c r="P9" s="19"/>
      <c r="Q9" s="8"/>
      <c r="R9" s="8"/>
      <c r="S9" s="8"/>
    </row>
    <row r="10" spans="1:19" hidden="1" x14ac:dyDescent="0.2">
      <c r="A10" s="11"/>
      <c r="B10" s="8"/>
      <c r="C10" s="12"/>
      <c r="D10" s="8"/>
      <c r="E10" s="12"/>
      <c r="F10" s="12"/>
      <c r="G10" s="8"/>
      <c r="H10" s="8"/>
      <c r="I10" s="12"/>
      <c r="J10" s="12"/>
      <c r="K10" s="8"/>
      <c r="L10" s="8"/>
      <c r="M10" s="8"/>
      <c r="N10" s="8"/>
      <c r="O10" s="8"/>
      <c r="P10" s="19"/>
      <c r="Q10" s="8"/>
      <c r="R10" s="8"/>
      <c r="S10" s="8"/>
    </row>
    <row r="11" spans="1:19" hidden="1" x14ac:dyDescent="0.2">
      <c r="A11" s="11" t="s">
        <v>13</v>
      </c>
      <c r="B11" s="8"/>
      <c r="C11" s="12"/>
      <c r="D11" s="8" t="s">
        <v>30</v>
      </c>
      <c r="E11" s="12"/>
      <c r="F11" s="12"/>
      <c r="G11" s="8"/>
      <c r="H11" s="8"/>
      <c r="I11" s="12"/>
      <c r="J11" s="12"/>
      <c r="K11" s="8"/>
      <c r="L11" s="8"/>
      <c r="M11" s="8"/>
      <c r="N11" s="8"/>
      <c r="O11" s="8"/>
      <c r="P11" s="19"/>
      <c r="Q11" s="8"/>
      <c r="R11" s="8"/>
      <c r="S11" s="8"/>
    </row>
    <row r="12" spans="1:19" hidden="1" x14ac:dyDescent="0.2">
      <c r="A12" s="11"/>
      <c r="B12" s="8"/>
      <c r="C12" s="14" t="s">
        <v>29</v>
      </c>
      <c r="D12" s="15" t="s">
        <v>31</v>
      </c>
      <c r="E12" s="14" t="s">
        <v>32</v>
      </c>
      <c r="F12" s="12"/>
      <c r="G12" s="8"/>
      <c r="H12" s="8"/>
      <c r="I12" s="12"/>
      <c r="J12" s="12"/>
      <c r="K12" s="8"/>
      <c r="L12" s="8"/>
      <c r="M12" s="8"/>
      <c r="N12" s="8"/>
      <c r="O12" s="8"/>
      <c r="P12" s="19"/>
      <c r="Q12" s="8"/>
      <c r="R12" s="8"/>
      <c r="S12" s="8"/>
    </row>
    <row r="13" spans="1:19" hidden="1" x14ac:dyDescent="0.2">
      <c r="A13" s="11" t="s">
        <v>14</v>
      </c>
      <c r="B13" s="8"/>
      <c r="C13" s="8">
        <v>1076</v>
      </c>
      <c r="D13" s="8">
        <v>4</v>
      </c>
      <c r="E13" s="28">
        <f t="shared" ref="E13:E24" si="0">+C13+D13</f>
        <v>1080</v>
      </c>
      <c r="F13" s="12"/>
      <c r="G13" s="21"/>
      <c r="H13" s="8"/>
      <c r="I13" s="12"/>
      <c r="J13" s="12"/>
      <c r="K13" s="8"/>
      <c r="L13" s="8"/>
      <c r="M13" s="8"/>
      <c r="N13" s="8"/>
      <c r="O13" s="8"/>
      <c r="P13" s="22"/>
      <c r="Q13" s="16"/>
      <c r="R13" s="16"/>
      <c r="S13" s="16"/>
    </row>
    <row r="14" spans="1:19" hidden="1" x14ac:dyDescent="0.2">
      <c r="A14" s="11" t="s">
        <v>15</v>
      </c>
      <c r="B14" s="8"/>
      <c r="C14" s="17">
        <v>323</v>
      </c>
      <c r="D14" s="17">
        <v>1</v>
      </c>
      <c r="E14" s="17">
        <f t="shared" si="0"/>
        <v>324</v>
      </c>
      <c r="F14" s="10">
        <v>0.25</v>
      </c>
      <c r="G14" s="8"/>
      <c r="H14" s="8"/>
      <c r="I14" s="12"/>
      <c r="J14" s="12"/>
      <c r="K14" s="8"/>
      <c r="L14" s="8"/>
      <c r="M14" s="8"/>
      <c r="N14" s="8"/>
      <c r="O14" s="8"/>
      <c r="P14" s="19"/>
      <c r="Q14" s="8"/>
      <c r="R14" s="8"/>
      <c r="S14" s="8"/>
    </row>
    <row r="15" spans="1:19" hidden="1" x14ac:dyDescent="0.2">
      <c r="A15" s="11" t="s">
        <v>16</v>
      </c>
      <c r="B15" s="8"/>
      <c r="C15" s="17">
        <v>215</v>
      </c>
      <c r="D15" s="17">
        <v>1</v>
      </c>
      <c r="E15" s="17">
        <f t="shared" si="0"/>
        <v>216</v>
      </c>
      <c r="F15" s="10">
        <v>0.75</v>
      </c>
      <c r="G15" s="8"/>
      <c r="H15" s="8"/>
      <c r="I15" s="12"/>
      <c r="J15" s="12"/>
      <c r="K15" s="8"/>
      <c r="L15" s="8"/>
      <c r="M15" s="8"/>
      <c r="N15" s="8"/>
      <c r="O15" s="8"/>
      <c r="P15" s="19"/>
      <c r="Q15" s="8"/>
      <c r="R15" s="8"/>
      <c r="S15" s="8"/>
    </row>
    <row r="16" spans="1:19" hidden="1" x14ac:dyDescent="0.2">
      <c r="A16" s="11" t="s">
        <v>17</v>
      </c>
      <c r="B16" s="8"/>
      <c r="C16" s="28">
        <v>538</v>
      </c>
      <c r="D16" s="28">
        <v>2</v>
      </c>
      <c r="E16" s="8">
        <f t="shared" si="0"/>
        <v>540</v>
      </c>
      <c r="F16" s="12"/>
      <c r="G16" s="8"/>
      <c r="H16" s="8"/>
      <c r="I16" s="12"/>
      <c r="J16" s="12"/>
      <c r="K16" s="8"/>
      <c r="L16" s="8"/>
      <c r="M16" s="8"/>
      <c r="N16" s="8"/>
      <c r="O16" s="8"/>
      <c r="P16" s="19"/>
      <c r="Q16" s="8"/>
      <c r="R16" s="8"/>
      <c r="S16" s="8"/>
    </row>
    <row r="17" spans="1:16" hidden="1" x14ac:dyDescent="0.2">
      <c r="A17" s="11" t="s">
        <v>18</v>
      </c>
      <c r="B17" s="8"/>
      <c r="C17" s="28">
        <v>0</v>
      </c>
      <c r="D17" s="28">
        <v>0</v>
      </c>
      <c r="E17" s="28">
        <f t="shared" si="0"/>
        <v>0</v>
      </c>
      <c r="F17" s="12"/>
      <c r="G17" s="8"/>
      <c r="H17" s="8"/>
      <c r="I17" s="12"/>
      <c r="J17" s="12"/>
      <c r="K17" s="8"/>
      <c r="L17" s="8"/>
      <c r="M17" s="8"/>
      <c r="N17" s="8"/>
      <c r="O17" s="8"/>
      <c r="P17" s="19"/>
    </row>
    <row r="18" spans="1:16" hidden="1" x14ac:dyDescent="0.2">
      <c r="A18" s="11" t="s">
        <v>19</v>
      </c>
      <c r="B18" s="8"/>
      <c r="C18" s="8">
        <v>418</v>
      </c>
      <c r="D18" s="8">
        <v>2</v>
      </c>
      <c r="E18" s="8">
        <f t="shared" si="0"/>
        <v>420</v>
      </c>
      <c r="F18" s="12"/>
      <c r="G18" s="8"/>
      <c r="H18" s="8"/>
      <c r="I18" s="12"/>
      <c r="J18" s="12"/>
      <c r="K18" s="8"/>
      <c r="L18" s="8"/>
      <c r="M18" s="8"/>
      <c r="N18" s="8"/>
      <c r="O18" s="8"/>
      <c r="P18" s="8"/>
    </row>
    <row r="19" spans="1:16" hidden="1" x14ac:dyDescent="0.2">
      <c r="A19" s="11" t="s">
        <v>20</v>
      </c>
      <c r="B19" s="8"/>
      <c r="C19" s="28">
        <v>341</v>
      </c>
      <c r="D19" s="28">
        <v>1</v>
      </c>
      <c r="E19" s="28">
        <f t="shared" si="0"/>
        <v>342</v>
      </c>
      <c r="F19" s="12"/>
      <c r="G19" s="8"/>
      <c r="H19" s="8"/>
      <c r="I19" s="12"/>
      <c r="J19" s="12"/>
      <c r="K19" s="8"/>
      <c r="L19" s="8"/>
      <c r="M19" s="8"/>
      <c r="N19" s="8"/>
      <c r="O19" s="8"/>
      <c r="P19" s="19"/>
    </row>
    <row r="20" spans="1:16" hidden="1" x14ac:dyDescent="0.2">
      <c r="A20" s="11" t="s">
        <v>51</v>
      </c>
      <c r="B20" s="8"/>
      <c r="C20" s="28">
        <v>46</v>
      </c>
      <c r="D20" s="28">
        <v>0</v>
      </c>
      <c r="E20" s="28">
        <f t="shared" si="0"/>
        <v>46</v>
      </c>
      <c r="F20" s="12"/>
      <c r="G20" s="8"/>
      <c r="H20" s="8"/>
      <c r="I20" s="12"/>
      <c r="J20" s="12"/>
      <c r="K20" s="8"/>
      <c r="L20" s="8"/>
      <c r="M20" s="8"/>
      <c r="N20" s="8"/>
      <c r="O20" s="8"/>
      <c r="P20" s="19"/>
    </row>
    <row r="21" spans="1:16" hidden="1" x14ac:dyDescent="0.2">
      <c r="A21" s="11" t="s">
        <v>52</v>
      </c>
      <c r="B21" s="8"/>
      <c r="C21" s="28">
        <v>1</v>
      </c>
      <c r="D21" s="28">
        <v>0</v>
      </c>
      <c r="E21" s="28">
        <f t="shared" si="0"/>
        <v>1</v>
      </c>
      <c r="F21" s="12"/>
      <c r="G21" s="8"/>
      <c r="H21" s="8"/>
      <c r="I21" s="12"/>
      <c r="J21" s="12"/>
      <c r="K21" s="8"/>
      <c r="L21" s="8"/>
      <c r="M21" s="8"/>
      <c r="N21" s="8"/>
      <c r="O21" s="8"/>
      <c r="P21" s="19"/>
    </row>
    <row r="22" spans="1:16" hidden="1" x14ac:dyDescent="0.2">
      <c r="A22" s="11" t="s">
        <v>53</v>
      </c>
      <c r="B22" s="8"/>
      <c r="C22" s="28">
        <v>294</v>
      </c>
      <c r="D22" s="28">
        <v>1</v>
      </c>
      <c r="E22" s="28">
        <f t="shared" si="0"/>
        <v>295</v>
      </c>
      <c r="F22" s="12"/>
      <c r="G22" s="8"/>
      <c r="H22" s="8"/>
      <c r="I22" s="12"/>
      <c r="J22" s="12"/>
      <c r="K22" s="8"/>
      <c r="L22" s="8"/>
      <c r="M22" s="8"/>
      <c r="N22" s="8"/>
      <c r="O22" s="8"/>
      <c r="P22" s="19"/>
    </row>
    <row r="23" spans="1:16" hidden="1" x14ac:dyDescent="0.2">
      <c r="A23" s="11" t="s">
        <v>54</v>
      </c>
      <c r="B23" s="8"/>
      <c r="C23" s="28">
        <v>295</v>
      </c>
      <c r="D23" s="28">
        <v>1</v>
      </c>
      <c r="E23" s="28">
        <f t="shared" si="0"/>
        <v>296</v>
      </c>
      <c r="F23" s="12"/>
      <c r="G23" s="8"/>
      <c r="H23" s="8"/>
      <c r="I23" s="12"/>
      <c r="J23" s="12"/>
      <c r="K23" s="8"/>
      <c r="L23" s="8"/>
      <c r="M23" s="8"/>
      <c r="N23" s="8"/>
      <c r="O23" s="8"/>
      <c r="P23" s="19"/>
    </row>
    <row r="24" spans="1:16" hidden="1" x14ac:dyDescent="0.2">
      <c r="A24" s="11" t="s">
        <v>22</v>
      </c>
      <c r="B24" s="8"/>
      <c r="C24" s="17">
        <v>40</v>
      </c>
      <c r="D24" s="17">
        <v>0</v>
      </c>
      <c r="E24" s="17">
        <f t="shared" si="0"/>
        <v>40</v>
      </c>
      <c r="F24" s="12"/>
      <c r="G24" s="8"/>
      <c r="H24" s="8"/>
      <c r="I24" s="12"/>
      <c r="J24" s="12"/>
      <c r="K24" s="8"/>
      <c r="L24" s="8"/>
      <c r="M24" s="8"/>
      <c r="N24" s="8"/>
      <c r="O24" s="8"/>
      <c r="P24" s="19"/>
    </row>
    <row r="25" spans="1:16" hidden="1" x14ac:dyDescent="0.2">
      <c r="A25" s="11" t="s">
        <v>55</v>
      </c>
      <c r="B25" s="8" t="s">
        <v>379</v>
      </c>
      <c r="C25" s="8">
        <v>1</v>
      </c>
      <c r="D25" s="8">
        <v>0</v>
      </c>
      <c r="E25" s="8">
        <v>1</v>
      </c>
      <c r="F25" s="12"/>
      <c r="G25" s="8"/>
      <c r="H25" s="8"/>
      <c r="I25" s="12"/>
      <c r="J25" s="12"/>
      <c r="K25" s="8"/>
      <c r="L25" s="8"/>
      <c r="M25" s="8"/>
      <c r="N25" s="8"/>
      <c r="O25" s="8"/>
      <c r="P25" s="19"/>
    </row>
    <row r="26" spans="1:16" hidden="1" x14ac:dyDescent="0.2">
      <c r="A26" s="11" t="s">
        <v>23</v>
      </c>
      <c r="B26" s="8"/>
      <c r="C26" s="8">
        <v>0</v>
      </c>
      <c r="D26" s="8">
        <v>0</v>
      </c>
      <c r="E26" s="8">
        <v>0</v>
      </c>
      <c r="F26" s="12"/>
      <c r="G26" s="8"/>
      <c r="H26" s="8"/>
      <c r="I26" s="12"/>
      <c r="J26" s="12"/>
      <c r="K26" s="8"/>
      <c r="L26" s="8"/>
      <c r="M26" s="8"/>
      <c r="N26" s="8"/>
      <c r="O26" s="8"/>
      <c r="P26" s="19"/>
    </row>
    <row r="27" spans="1:16" hidden="1" x14ac:dyDescent="0.2">
      <c r="A27" s="11" t="s">
        <v>24</v>
      </c>
      <c r="B27" s="8" t="s">
        <v>379</v>
      </c>
      <c r="C27" s="8">
        <v>1</v>
      </c>
      <c r="D27" s="8">
        <v>0</v>
      </c>
      <c r="E27" s="8">
        <v>1</v>
      </c>
      <c r="F27" s="12"/>
      <c r="G27" s="8"/>
      <c r="H27" s="8"/>
      <c r="I27" s="12"/>
      <c r="J27" s="12"/>
      <c r="K27" s="8"/>
      <c r="L27" s="8"/>
      <c r="M27" s="8"/>
      <c r="N27" s="8"/>
      <c r="O27" s="8"/>
      <c r="P27" s="19"/>
    </row>
    <row r="28" spans="1:16" hidden="1" x14ac:dyDescent="0.2">
      <c r="A28" s="11" t="s">
        <v>25</v>
      </c>
      <c r="B28" s="8"/>
      <c r="C28" s="28">
        <v>7</v>
      </c>
      <c r="D28" s="28">
        <v>0</v>
      </c>
      <c r="E28" s="28">
        <f>+C28+D28</f>
        <v>7</v>
      </c>
      <c r="F28" s="10">
        <v>0.05</v>
      </c>
      <c r="G28" s="8"/>
      <c r="H28" s="8"/>
      <c r="I28" s="12"/>
      <c r="J28" s="12"/>
      <c r="K28" s="8"/>
      <c r="L28" s="8"/>
      <c r="M28" s="8"/>
      <c r="N28" s="8"/>
      <c r="O28" s="8"/>
      <c r="P28" s="19"/>
    </row>
    <row r="29" spans="1:16" hidden="1" x14ac:dyDescent="0.2">
      <c r="A29" s="11" t="s">
        <v>26</v>
      </c>
      <c r="B29" s="8"/>
      <c r="C29" s="28">
        <v>1</v>
      </c>
      <c r="D29" s="28">
        <v>0</v>
      </c>
      <c r="E29" s="28">
        <f>+C29+D29</f>
        <v>1</v>
      </c>
      <c r="F29" s="12"/>
      <c r="G29" s="8"/>
      <c r="H29" s="8"/>
      <c r="I29" s="12"/>
      <c r="J29" s="12"/>
      <c r="K29" s="8"/>
      <c r="L29" s="8"/>
      <c r="M29" s="8"/>
      <c r="N29" s="8"/>
      <c r="O29" s="8"/>
      <c r="P29" s="19"/>
    </row>
    <row r="30" spans="1:16" hidden="1" x14ac:dyDescent="0.2">
      <c r="A30" s="11" t="s">
        <v>56</v>
      </c>
      <c r="B30" s="8"/>
      <c r="C30" s="8">
        <v>512</v>
      </c>
      <c r="D30" s="8">
        <v>2</v>
      </c>
      <c r="E30" s="8">
        <f>+C30+D30</f>
        <v>514</v>
      </c>
      <c r="F30" s="12"/>
      <c r="G30" s="8"/>
      <c r="H30" s="8"/>
      <c r="I30" s="12"/>
      <c r="J30" s="12"/>
      <c r="K30" s="8"/>
      <c r="L30" s="8"/>
      <c r="M30" s="8"/>
      <c r="N30" s="8"/>
      <c r="O30" s="8"/>
      <c r="P30" s="19"/>
    </row>
    <row r="31" spans="1:16" hidden="1" x14ac:dyDescent="0.2">
      <c r="A31" s="11" t="s">
        <v>27</v>
      </c>
      <c r="B31" s="8"/>
      <c r="C31" s="8">
        <v>32</v>
      </c>
      <c r="D31" s="8">
        <v>0</v>
      </c>
      <c r="E31" s="8">
        <f>+C31+D31</f>
        <v>32</v>
      </c>
      <c r="F31" s="8"/>
      <c r="G31" s="8"/>
      <c r="H31" s="8"/>
      <c r="I31" s="12"/>
      <c r="J31" s="12"/>
      <c r="K31" s="8"/>
      <c r="L31" s="8"/>
      <c r="M31" s="8"/>
      <c r="N31" s="8"/>
      <c r="O31" s="8"/>
      <c r="P31" s="19"/>
    </row>
    <row r="32" spans="1:16" hidden="1" x14ac:dyDescent="0.2">
      <c r="A32" s="11" t="s">
        <v>57</v>
      </c>
      <c r="B32" s="8"/>
      <c r="C32" s="8">
        <v>3</v>
      </c>
      <c r="D32" s="8">
        <v>0</v>
      </c>
      <c r="E32" s="8">
        <f>+C32+D32</f>
        <v>3</v>
      </c>
      <c r="F32" s="8"/>
      <c r="G32" s="8"/>
      <c r="H32" s="8"/>
      <c r="I32" s="12"/>
      <c r="J32" s="12"/>
      <c r="K32" s="8"/>
      <c r="L32" s="8"/>
      <c r="M32" s="8"/>
      <c r="N32" s="8"/>
      <c r="O32" s="8"/>
      <c r="P32" s="19"/>
    </row>
    <row r="33" spans="1:20" hidden="1" x14ac:dyDescent="0.2">
      <c r="A33" s="11" t="s">
        <v>28</v>
      </c>
      <c r="B33" s="8"/>
      <c r="C33" s="8">
        <v>0</v>
      </c>
      <c r="D33" s="8">
        <v>0</v>
      </c>
      <c r="E33" s="8">
        <f>C33+D33</f>
        <v>0</v>
      </c>
      <c r="F33" s="8"/>
      <c r="G33" s="8"/>
      <c r="H33" s="8"/>
      <c r="I33" s="12"/>
      <c r="J33" s="12"/>
      <c r="K33" s="8"/>
      <c r="L33" s="8"/>
      <c r="M33" s="8"/>
      <c r="N33" s="8"/>
      <c r="O33" s="8"/>
      <c r="P33" s="19"/>
      <c r="Q33" s="8"/>
      <c r="R33" s="8"/>
      <c r="S33" s="8"/>
      <c r="T33" s="26"/>
    </row>
    <row r="34" spans="1:20" hidden="1" x14ac:dyDescent="0.2">
      <c r="A34" s="11"/>
      <c r="B34" s="8"/>
      <c r="C34" s="8"/>
      <c r="D34" s="8"/>
      <c r="E34" s="8"/>
      <c r="F34" s="8"/>
      <c r="G34" s="8"/>
      <c r="H34" s="8"/>
      <c r="I34" s="12"/>
      <c r="J34" s="12"/>
      <c r="K34" s="8"/>
      <c r="L34" s="8"/>
      <c r="M34" s="8"/>
      <c r="N34" s="8"/>
      <c r="O34" s="8"/>
      <c r="P34" s="19"/>
      <c r="Q34" s="8"/>
      <c r="R34" s="8"/>
      <c r="S34" s="8"/>
      <c r="T34" s="26"/>
    </row>
    <row r="35" spans="1:20" hidden="1" x14ac:dyDescent="0.2">
      <c r="A35" s="8"/>
      <c r="B35" s="8"/>
      <c r="C35" s="8"/>
      <c r="D35" s="8"/>
      <c r="E35" s="8"/>
      <c r="F35" s="8"/>
      <c r="G35" s="8"/>
      <c r="H35" s="8"/>
      <c r="I35" s="12"/>
      <c r="J35" s="12"/>
      <c r="K35" s="8"/>
      <c r="L35" s="8"/>
      <c r="M35" s="8"/>
      <c r="N35" s="8"/>
      <c r="O35" s="8"/>
      <c r="P35" s="19"/>
      <c r="Q35" s="8"/>
      <c r="R35" s="8"/>
      <c r="S35" s="8"/>
      <c r="T35" s="26"/>
    </row>
    <row r="36" spans="1:20" ht="17.399999999999999" x14ac:dyDescent="0.3">
      <c r="A36" s="353" t="s">
        <v>437</v>
      </c>
      <c r="B36" s="70"/>
      <c r="C36" s="70"/>
      <c r="D36" s="70"/>
      <c r="E36" s="70"/>
      <c r="F36" s="70"/>
      <c r="G36" s="70"/>
      <c r="H36" s="70"/>
      <c r="I36" s="71"/>
      <c r="J36" s="71"/>
      <c r="K36" s="70"/>
      <c r="L36" s="70"/>
      <c r="M36" s="8"/>
      <c r="N36" s="8"/>
      <c r="O36" s="8"/>
      <c r="P36" s="19"/>
      <c r="Q36" s="8"/>
      <c r="R36" s="8"/>
      <c r="S36" s="8"/>
      <c r="T36" s="26"/>
    </row>
    <row r="37" spans="1:20" ht="17.399999999999999" x14ac:dyDescent="0.3">
      <c r="A37" s="353" t="s">
        <v>58</v>
      </c>
      <c r="B37" s="70"/>
      <c r="C37" s="70"/>
      <c r="D37" s="70"/>
      <c r="E37" s="70"/>
      <c r="F37" s="70"/>
      <c r="G37" s="70"/>
      <c r="H37" s="70"/>
      <c r="I37" s="71"/>
      <c r="J37" s="71"/>
      <c r="K37" s="70"/>
      <c r="L37" s="70"/>
      <c r="M37" s="8"/>
      <c r="N37" s="8"/>
      <c r="O37" s="8"/>
      <c r="P37" s="19"/>
      <c r="Q37" s="8"/>
      <c r="R37" s="8"/>
      <c r="S37" s="8"/>
      <c r="T37" s="26"/>
    </row>
    <row r="38" spans="1:20" ht="17.399999999999999" x14ac:dyDescent="0.3">
      <c r="A38" s="353" t="s">
        <v>59</v>
      </c>
      <c r="B38" s="70"/>
      <c r="C38" s="70"/>
      <c r="D38" s="70"/>
      <c r="E38" s="70"/>
      <c r="F38" s="70"/>
      <c r="G38" s="70"/>
      <c r="H38" s="70"/>
      <c r="I38" s="71"/>
      <c r="J38" s="71"/>
      <c r="K38" s="70"/>
      <c r="L38" s="70"/>
      <c r="M38" s="8"/>
      <c r="N38" s="8"/>
      <c r="O38" s="8"/>
      <c r="P38" s="19"/>
      <c r="Q38" s="8"/>
      <c r="R38" s="8"/>
      <c r="S38" s="8"/>
      <c r="T38" s="26"/>
    </row>
    <row r="39" spans="1:20" x14ac:dyDescent="0.2">
      <c r="A39" s="70"/>
      <c r="B39" s="70"/>
      <c r="C39" s="70"/>
      <c r="D39" s="70"/>
      <c r="E39" s="70"/>
      <c r="F39" s="70"/>
      <c r="G39" s="70"/>
      <c r="H39" s="70"/>
      <c r="I39" s="71"/>
      <c r="J39" s="71"/>
      <c r="K39" s="70"/>
      <c r="L39" s="70"/>
      <c r="M39" s="8"/>
      <c r="N39" s="8"/>
      <c r="O39" s="8"/>
      <c r="P39" s="19"/>
      <c r="Q39" s="8"/>
      <c r="R39" s="8"/>
      <c r="S39" s="8"/>
      <c r="T39" s="26"/>
    </row>
    <row r="40" spans="1:20" x14ac:dyDescent="0.2">
      <c r="A40" s="70"/>
      <c r="B40" s="70"/>
      <c r="C40" s="72"/>
      <c r="D40" s="70"/>
      <c r="E40" s="70"/>
      <c r="F40" s="70"/>
      <c r="G40" s="70"/>
      <c r="H40" s="70"/>
      <c r="I40" s="71"/>
      <c r="J40" s="71"/>
      <c r="K40" s="70"/>
      <c r="L40" s="70"/>
      <c r="M40" s="8"/>
      <c r="N40" s="8"/>
      <c r="O40" s="8"/>
      <c r="P40" s="19"/>
      <c r="Q40" s="8"/>
      <c r="R40" s="8"/>
      <c r="S40" s="8"/>
      <c r="T40" s="26"/>
    </row>
    <row r="41" spans="1:20" x14ac:dyDescent="0.2">
      <c r="A41" s="70"/>
      <c r="B41" s="69" t="s">
        <v>100</v>
      </c>
      <c r="C41" s="69"/>
      <c r="D41" s="70"/>
      <c r="E41" s="70"/>
      <c r="F41" s="70"/>
      <c r="G41" s="70"/>
      <c r="H41" s="70"/>
      <c r="I41" s="71"/>
      <c r="J41" s="71"/>
      <c r="K41" s="70"/>
      <c r="L41" s="70"/>
      <c r="M41" s="8"/>
      <c r="N41" s="8"/>
      <c r="O41" s="8"/>
      <c r="P41" s="19"/>
      <c r="Q41" s="8"/>
      <c r="R41" s="8"/>
      <c r="S41" s="8"/>
      <c r="T41" s="26"/>
    </row>
    <row r="42" spans="1:20" x14ac:dyDescent="0.2">
      <c r="A42" s="70"/>
      <c r="B42" s="84" t="s">
        <v>33</v>
      </c>
      <c r="C42" s="84"/>
      <c r="D42" s="84" t="s">
        <v>104</v>
      </c>
      <c r="E42" s="84"/>
      <c r="F42" s="73"/>
      <c r="G42" s="73"/>
      <c r="H42" s="73"/>
      <c r="I42" s="73"/>
      <c r="J42" s="69"/>
      <c r="K42" s="70" t="s">
        <v>112</v>
      </c>
      <c r="L42" s="73"/>
      <c r="M42" s="15" t="s">
        <v>115</v>
      </c>
      <c r="N42" s="15" t="s">
        <v>115</v>
      </c>
      <c r="O42" s="15" t="s">
        <v>123</v>
      </c>
      <c r="P42" s="29" t="s">
        <v>126</v>
      </c>
      <c r="Q42" s="8"/>
      <c r="R42" s="8"/>
      <c r="S42" s="8"/>
      <c r="T42" s="26"/>
    </row>
    <row r="43" spans="1:20" ht="15" x14ac:dyDescent="0.25">
      <c r="A43" s="70"/>
      <c r="B43" s="86"/>
      <c r="C43" s="87"/>
      <c r="D43" s="86"/>
      <c r="E43" s="88"/>
      <c r="F43" s="88"/>
      <c r="G43" s="88"/>
      <c r="H43" s="89"/>
      <c r="I43" s="90"/>
      <c r="J43" s="91"/>
      <c r="K43" s="93"/>
      <c r="L43" s="85"/>
      <c r="M43" s="15"/>
      <c r="N43" s="15"/>
      <c r="O43" s="15"/>
      <c r="P43" s="29"/>
      <c r="Q43" s="8"/>
      <c r="R43" s="8"/>
      <c r="S43" s="8"/>
      <c r="T43" s="26"/>
    </row>
    <row r="44" spans="1:20" x14ac:dyDescent="0.2">
      <c r="A44" s="70"/>
      <c r="B44" s="70"/>
      <c r="C44" s="70"/>
      <c r="D44" s="73" t="s">
        <v>40</v>
      </c>
      <c r="E44" s="73" t="s">
        <v>46</v>
      </c>
      <c r="F44" s="73" t="s">
        <v>48</v>
      </c>
      <c r="G44" s="73" t="s">
        <v>49</v>
      </c>
      <c r="H44" s="73" t="s">
        <v>106</v>
      </c>
      <c r="I44" s="74" t="s">
        <v>109</v>
      </c>
      <c r="J44" s="74"/>
      <c r="K44" s="73" t="s">
        <v>32</v>
      </c>
      <c r="L44" s="73" t="s">
        <v>32</v>
      </c>
      <c r="M44" s="15" t="s">
        <v>29</v>
      </c>
      <c r="N44" s="15" t="s">
        <v>122</v>
      </c>
      <c r="O44" s="15" t="s">
        <v>43</v>
      </c>
      <c r="P44" s="29" t="s">
        <v>127</v>
      </c>
      <c r="Q44" s="8"/>
      <c r="R44" s="8"/>
      <c r="S44" s="8"/>
      <c r="T44" s="26"/>
    </row>
    <row r="45" spans="1:20" x14ac:dyDescent="0.2">
      <c r="A45" s="70"/>
      <c r="B45" s="70"/>
      <c r="C45" s="73" t="s">
        <v>103</v>
      </c>
      <c r="D45" s="248">
        <f>B4</f>
        <v>135.66</v>
      </c>
      <c r="E45" s="74">
        <f>C4</f>
        <v>80.19</v>
      </c>
      <c r="F45" s="74">
        <f>E4</f>
        <v>59.75</v>
      </c>
      <c r="G45" s="74">
        <f>F4</f>
        <v>35.94</v>
      </c>
      <c r="H45" s="73" t="s">
        <v>107</v>
      </c>
      <c r="I45" s="74" t="s">
        <v>110</v>
      </c>
      <c r="J45" s="74" t="s">
        <v>111</v>
      </c>
      <c r="K45" s="73" t="s">
        <v>41</v>
      </c>
      <c r="L45" s="73" t="s">
        <v>47</v>
      </c>
      <c r="M45" s="15" t="s">
        <v>116</v>
      </c>
      <c r="N45" s="15" t="s">
        <v>116</v>
      </c>
      <c r="O45" s="15" t="s">
        <v>124</v>
      </c>
      <c r="P45" s="29" t="s">
        <v>128</v>
      </c>
      <c r="Q45" s="8"/>
      <c r="R45" s="8"/>
      <c r="S45" s="8"/>
      <c r="T45" s="26"/>
    </row>
    <row r="46" spans="1:20" x14ac:dyDescent="0.2">
      <c r="A46" s="69" t="s">
        <v>60</v>
      </c>
      <c r="B46" s="73" t="s">
        <v>29</v>
      </c>
      <c r="C46" s="73" t="s">
        <v>31</v>
      </c>
      <c r="D46" s="73" t="s">
        <v>439</v>
      </c>
      <c r="E46" s="73" t="s">
        <v>439</v>
      </c>
      <c r="F46" s="73" t="s">
        <v>439</v>
      </c>
      <c r="G46" s="73" t="s">
        <v>439</v>
      </c>
      <c r="H46" s="73" t="s">
        <v>108</v>
      </c>
      <c r="I46" s="74" t="s">
        <v>107</v>
      </c>
      <c r="J46" s="74" t="s">
        <v>107</v>
      </c>
      <c r="K46" s="73" t="s">
        <v>42</v>
      </c>
      <c r="L46" s="73" t="s">
        <v>42</v>
      </c>
      <c r="M46" s="15" t="s">
        <v>33</v>
      </c>
      <c r="N46" s="15" t="s">
        <v>33</v>
      </c>
      <c r="O46" s="15" t="s">
        <v>45</v>
      </c>
      <c r="P46" s="29" t="s">
        <v>129</v>
      </c>
      <c r="Q46" s="8"/>
      <c r="R46" s="8"/>
      <c r="S46" s="8" t="s">
        <v>132</v>
      </c>
      <c r="T46" s="26" t="s">
        <v>111</v>
      </c>
    </row>
    <row r="47" spans="1:20" ht="1.05" customHeight="1" x14ac:dyDescent="0.2">
      <c r="A47" s="78"/>
      <c r="B47" s="78"/>
      <c r="C47" s="78"/>
      <c r="D47" s="79"/>
      <c r="E47" s="78"/>
      <c r="F47" s="78"/>
      <c r="G47" s="78"/>
      <c r="H47" s="78"/>
      <c r="I47" s="80"/>
      <c r="J47" s="80"/>
      <c r="K47" s="78"/>
      <c r="L47" s="78"/>
      <c r="M47" s="8"/>
      <c r="N47" s="8"/>
      <c r="O47" s="8"/>
      <c r="P47" s="19"/>
      <c r="Q47" s="8"/>
      <c r="R47" s="8"/>
      <c r="S47" s="8"/>
      <c r="T47" s="26"/>
    </row>
    <row r="48" spans="1:20" x14ac:dyDescent="0.2">
      <c r="A48" s="335" t="s">
        <v>407</v>
      </c>
      <c r="B48" s="336"/>
      <c r="C48" s="336"/>
      <c r="D48" s="337"/>
      <c r="E48" s="338"/>
      <c r="F48" s="338"/>
      <c r="G48" s="338"/>
      <c r="H48" s="338"/>
      <c r="I48" s="339"/>
      <c r="J48" s="339"/>
      <c r="K48" s="338"/>
      <c r="L48" s="340"/>
      <c r="M48" s="8"/>
      <c r="N48" s="8"/>
      <c r="O48" s="8"/>
      <c r="P48" s="19"/>
      <c r="Q48" s="8"/>
      <c r="R48" s="8"/>
      <c r="S48" s="8"/>
      <c r="T48" s="26"/>
    </row>
    <row r="49" spans="1:20" x14ac:dyDescent="0.2">
      <c r="A49" s="114" t="s">
        <v>61</v>
      </c>
      <c r="B49" s="94">
        <f>0.06*$C$16</f>
        <v>32.28</v>
      </c>
      <c r="C49" s="94">
        <f>0.06*$D$16</f>
        <v>0.12</v>
      </c>
      <c r="D49" s="95">
        <v>0</v>
      </c>
      <c r="E49" s="95">
        <v>0.25</v>
      </c>
      <c r="F49" s="95">
        <v>0.75</v>
      </c>
      <c r="G49" s="95">
        <v>0</v>
      </c>
      <c r="H49" s="96">
        <f>+($B$4*D49)+($C$4*E49)+($E$4*F49)+($F$4*G49)</f>
        <v>64.86</v>
      </c>
      <c r="I49" s="96">
        <v>0</v>
      </c>
      <c r="J49" s="96">
        <v>0</v>
      </c>
      <c r="K49" s="95">
        <f>(D49+E49+F49+G49)*(B49+C49)</f>
        <v>32.4</v>
      </c>
      <c r="L49" s="115">
        <f>(H49+I49+J49)*(C49+B49)</f>
        <v>2101.4639999999999</v>
      </c>
      <c r="M49" s="8">
        <f>+$C$16</f>
        <v>538</v>
      </c>
      <c r="N49" s="8">
        <f>+$D$16</f>
        <v>2</v>
      </c>
      <c r="O49" s="19">
        <f>(((B49+C49)/(M49+N49))*(D49+E49+F49+G49))</f>
        <v>0.06</v>
      </c>
      <c r="P49" s="17">
        <v>1</v>
      </c>
      <c r="Q49" s="8"/>
      <c r="R49" s="8"/>
      <c r="S49" s="12">
        <f>+I49*(B49+C49)</f>
        <v>0</v>
      </c>
      <c r="T49" s="26">
        <f>+J49*(B49+C49)</f>
        <v>0</v>
      </c>
    </row>
    <row r="50" spans="1:20" x14ac:dyDescent="0.2">
      <c r="A50" s="114" t="s">
        <v>62</v>
      </c>
      <c r="B50" s="94">
        <f>0.06*$C$16</f>
        <v>32.28</v>
      </c>
      <c r="C50" s="94">
        <f>0.06*$D$16</f>
        <v>0.12</v>
      </c>
      <c r="D50" s="95">
        <v>0</v>
      </c>
      <c r="E50" s="95">
        <v>0</v>
      </c>
      <c r="F50" s="95">
        <v>0.75</v>
      </c>
      <c r="G50" s="95">
        <v>0.25</v>
      </c>
      <c r="H50" s="96">
        <f>+($B$4*D50)+($C$4*E50)+($E$4*F50)+($F$4*G50)</f>
        <v>53.797499999999999</v>
      </c>
      <c r="I50" s="96">
        <v>0</v>
      </c>
      <c r="J50" s="96">
        <v>0</v>
      </c>
      <c r="K50" s="95">
        <f>(D50+E50+F50+G50)*(B50+C50)</f>
        <v>32.4</v>
      </c>
      <c r="L50" s="115">
        <f>(H50+I50+J50)*(C50+B50)</f>
        <v>1743.039</v>
      </c>
      <c r="M50" s="8">
        <f>+$C$16</f>
        <v>538</v>
      </c>
      <c r="N50" s="8">
        <f>+$D$16</f>
        <v>2</v>
      </c>
      <c r="O50" s="19">
        <f>(((B50+C50)/(M50+N50))*(D50+E50+F50+G50))</f>
        <v>0.06</v>
      </c>
      <c r="P50" s="17">
        <v>1</v>
      </c>
      <c r="Q50" s="8"/>
      <c r="R50" s="8"/>
      <c r="S50" s="12">
        <f>+I50*(B50+C50)</f>
        <v>0</v>
      </c>
      <c r="T50" s="26">
        <f>+J50*(B50+C50)</f>
        <v>0</v>
      </c>
    </row>
    <row r="51" spans="1:20" x14ac:dyDescent="0.2">
      <c r="A51" s="114" t="s">
        <v>63</v>
      </c>
      <c r="B51" s="94">
        <f>0.06*$C$16</f>
        <v>32.28</v>
      </c>
      <c r="C51" s="94">
        <f>0.06*$D$16</f>
        <v>0.12</v>
      </c>
      <c r="D51" s="95">
        <v>0</v>
      </c>
      <c r="E51" s="95">
        <v>0.25</v>
      </c>
      <c r="F51" s="95">
        <v>0.5</v>
      </c>
      <c r="G51" s="95">
        <v>0.25</v>
      </c>
      <c r="H51" s="96">
        <f>+($B$4*D51)+($C$4*E51)+($E$4*F51)+($F$4*G51)</f>
        <v>58.907499999999999</v>
      </c>
      <c r="I51" s="96">
        <v>0</v>
      </c>
      <c r="J51" s="96">
        <v>0.73</v>
      </c>
      <c r="K51" s="95">
        <f>(D51+E51+F51+G51)*(B51+C51)</f>
        <v>32.4</v>
      </c>
      <c r="L51" s="115">
        <f>(H51+I51+J51)*(C51+B51)</f>
        <v>1932.2549999999999</v>
      </c>
      <c r="M51" s="8">
        <f>+$C$16</f>
        <v>538</v>
      </c>
      <c r="N51" s="8">
        <f>+$D$16</f>
        <v>2</v>
      </c>
      <c r="O51" s="19">
        <f>(((B51+C51)/(M51+N51))*(D51+E51+F51+G51))</f>
        <v>0.06</v>
      </c>
      <c r="P51" s="17">
        <v>1</v>
      </c>
      <c r="Q51" s="8"/>
      <c r="R51" s="8"/>
      <c r="S51" s="12">
        <f>+I51*(B51+C51)</f>
        <v>0</v>
      </c>
      <c r="T51" s="26">
        <f>+J51*(B51+C51)</f>
        <v>23.651999999999997</v>
      </c>
    </row>
    <row r="52" spans="1:20" ht="1.05" customHeight="1" x14ac:dyDescent="0.2">
      <c r="A52" s="116"/>
      <c r="B52" s="98"/>
      <c r="C52" s="98"/>
      <c r="D52" s="99"/>
      <c r="E52" s="99"/>
      <c r="F52" s="99">
        <v>0.5</v>
      </c>
      <c r="G52" s="99"/>
      <c r="H52" s="99"/>
      <c r="I52" s="100"/>
      <c r="J52" s="100"/>
      <c r="K52" s="99"/>
      <c r="L52" s="117"/>
      <c r="M52" s="8"/>
      <c r="N52" s="8"/>
      <c r="O52" s="19"/>
      <c r="P52" s="17"/>
      <c r="Q52" s="8"/>
      <c r="R52" s="8"/>
      <c r="S52" s="12"/>
      <c r="T52" s="26"/>
    </row>
    <row r="53" spans="1:20" x14ac:dyDescent="0.2">
      <c r="A53" s="114" t="s">
        <v>64</v>
      </c>
      <c r="B53" s="94">
        <f>(B51)</f>
        <v>32.28</v>
      </c>
      <c r="C53" s="94">
        <f>(C51)</f>
        <v>0.12</v>
      </c>
      <c r="D53" s="95">
        <f>(D51)</f>
        <v>0</v>
      </c>
      <c r="E53" s="95">
        <f t="shared" ref="E53:L53" si="1">SUM(E49:E51)</f>
        <v>0.5</v>
      </c>
      <c r="F53" s="95">
        <f t="shared" si="1"/>
        <v>2</v>
      </c>
      <c r="G53" s="95">
        <f t="shared" si="1"/>
        <v>0.5</v>
      </c>
      <c r="H53" s="96">
        <f t="shared" si="1"/>
        <v>177.565</v>
      </c>
      <c r="I53" s="96">
        <f t="shared" si="1"/>
        <v>0</v>
      </c>
      <c r="J53" s="96">
        <f t="shared" si="1"/>
        <v>0.73</v>
      </c>
      <c r="K53" s="95">
        <f t="shared" si="1"/>
        <v>97.199999999999989</v>
      </c>
      <c r="L53" s="115">
        <f t="shared" si="1"/>
        <v>5776.7579999999998</v>
      </c>
      <c r="M53" s="8"/>
      <c r="N53" s="8"/>
      <c r="O53" s="19"/>
      <c r="P53" s="17"/>
      <c r="Q53" s="8"/>
      <c r="R53" s="8"/>
      <c r="S53" s="12"/>
      <c r="T53" s="26"/>
    </row>
    <row r="54" spans="1:20" ht="1.05" customHeight="1" x14ac:dyDescent="0.2">
      <c r="A54" s="116"/>
      <c r="B54" s="98"/>
      <c r="C54" s="98"/>
      <c r="D54" s="99"/>
      <c r="E54" s="99"/>
      <c r="F54" s="99"/>
      <c r="G54" s="99"/>
      <c r="H54" s="99"/>
      <c r="I54" s="100"/>
      <c r="J54" s="100"/>
      <c r="K54" s="99"/>
      <c r="L54" s="117"/>
      <c r="M54" s="8"/>
      <c r="N54" s="8"/>
      <c r="O54" s="19"/>
      <c r="P54" s="17"/>
      <c r="Q54" s="8"/>
      <c r="R54" s="8"/>
      <c r="S54" s="12"/>
      <c r="T54" s="26"/>
    </row>
    <row r="55" spans="1:20" x14ac:dyDescent="0.2">
      <c r="A55" s="335" t="s">
        <v>65</v>
      </c>
      <c r="B55" s="336"/>
      <c r="C55" s="336"/>
      <c r="D55" s="337"/>
      <c r="E55" s="338"/>
      <c r="F55" s="338"/>
      <c r="G55" s="338"/>
      <c r="H55" s="338"/>
      <c r="I55" s="339"/>
      <c r="J55" s="339"/>
      <c r="K55" s="338"/>
      <c r="L55" s="340"/>
      <c r="M55" s="8"/>
      <c r="N55" s="8"/>
      <c r="O55" s="19"/>
      <c r="P55" s="17"/>
      <c r="Q55" s="8"/>
      <c r="R55" s="8"/>
      <c r="S55" s="12"/>
      <c r="T55" s="26"/>
    </row>
    <row r="56" spans="1:20" x14ac:dyDescent="0.2">
      <c r="A56" s="114" t="s">
        <v>61</v>
      </c>
      <c r="B56" s="94">
        <f>0.12*$C$16</f>
        <v>64.56</v>
      </c>
      <c r="C56" s="101" t="s">
        <v>102</v>
      </c>
      <c r="D56" s="95">
        <v>0</v>
      </c>
      <c r="E56" s="95">
        <v>0.1</v>
      </c>
      <c r="F56" s="95">
        <v>0.25</v>
      </c>
      <c r="G56" s="95">
        <v>0</v>
      </c>
      <c r="H56" s="96">
        <f>+($B$4*D56)+($C$4*E56)+($E$4*F56)+($F$4*G56)</f>
        <v>22.956499999999998</v>
      </c>
      <c r="I56" s="96">
        <v>0</v>
      </c>
      <c r="J56" s="96">
        <v>0</v>
      </c>
      <c r="K56" s="95">
        <f>(D56+E56+F56+G56)*(B56)</f>
        <v>22.596</v>
      </c>
      <c r="L56" s="115">
        <f>(H56+I56+J56)*(B56)</f>
        <v>1482.0716399999999</v>
      </c>
      <c r="M56" s="8">
        <f>+$C$16</f>
        <v>538</v>
      </c>
      <c r="N56" s="8">
        <f>+$D$16</f>
        <v>2</v>
      </c>
      <c r="O56" s="19">
        <f>(((B56)/(M56+N56))*(D56+E56+F56+G56))</f>
        <v>4.1844444444444441E-2</v>
      </c>
      <c r="P56" s="17">
        <v>1</v>
      </c>
      <c r="Q56" s="8"/>
      <c r="R56" s="8"/>
      <c r="S56" s="12">
        <f>+I56*(B56)</f>
        <v>0</v>
      </c>
      <c r="T56" s="26">
        <f>+J56*(B56)</f>
        <v>0</v>
      </c>
    </row>
    <row r="57" spans="1:20" x14ac:dyDescent="0.2">
      <c r="A57" s="54" t="s">
        <v>66</v>
      </c>
      <c r="B57" s="55"/>
      <c r="C57" s="56"/>
      <c r="D57" s="55"/>
      <c r="E57" s="55"/>
      <c r="F57" s="55"/>
      <c r="G57" s="55"/>
      <c r="H57" s="55"/>
      <c r="I57" s="57"/>
      <c r="J57" s="57"/>
      <c r="K57" s="55"/>
      <c r="L57" s="58"/>
      <c r="M57" s="8"/>
      <c r="N57" s="8"/>
      <c r="O57" s="19"/>
      <c r="P57" s="17"/>
      <c r="Q57" s="8"/>
      <c r="R57" s="8"/>
      <c r="S57" s="12">
        <f>+I57*(B57+C57)</f>
        <v>0</v>
      </c>
      <c r="T57" s="26">
        <f>+J57*(B57+C57)</f>
        <v>0</v>
      </c>
    </row>
    <row r="58" spans="1:20" x14ac:dyDescent="0.2">
      <c r="A58" s="59" t="s">
        <v>67</v>
      </c>
      <c r="B58" s="60">
        <f>0.12*$C$16</f>
        <v>64.56</v>
      </c>
      <c r="C58" s="61" t="s">
        <v>102</v>
      </c>
      <c r="D58" s="62">
        <v>0</v>
      </c>
      <c r="E58" s="62">
        <f>0.25/2</f>
        <v>0.125</v>
      </c>
      <c r="F58" s="62">
        <v>0.25</v>
      </c>
      <c r="G58" s="62">
        <f>0.25/2</f>
        <v>0.125</v>
      </c>
      <c r="H58" s="63">
        <f>+($B$4*D58)+($C$4*E58)+($E$4*F58)+($F$4*G58)</f>
        <v>29.453749999999999</v>
      </c>
      <c r="I58" s="63">
        <v>0</v>
      </c>
      <c r="J58" s="63">
        <v>0.73</v>
      </c>
      <c r="K58" s="64">
        <f>((D58+E58+F58+G58)*(B58))*55</f>
        <v>1775.4</v>
      </c>
      <c r="L58" s="65">
        <f>(H58+I58+J58)*(B58)*55</f>
        <v>107176.4595</v>
      </c>
      <c r="M58" s="8">
        <f>+$C$16</f>
        <v>538</v>
      </c>
      <c r="N58" s="8">
        <f>+$D$16</f>
        <v>2</v>
      </c>
      <c r="O58" s="19">
        <f>(((B58)/(M58+N58))*(D58+E58+F58+G58))</f>
        <v>5.9777777777777777E-2</v>
      </c>
      <c r="P58" s="17">
        <v>1</v>
      </c>
      <c r="Q58" s="8"/>
      <c r="R58" s="8"/>
      <c r="S58" s="12">
        <f>+I58*(B58)</f>
        <v>0</v>
      </c>
      <c r="T58" s="26">
        <f>+J58*(B58)</f>
        <v>47.128799999999998</v>
      </c>
    </row>
    <row r="59" spans="1:20" ht="1.05" customHeight="1" x14ac:dyDescent="0.2">
      <c r="A59" s="116"/>
      <c r="B59" s="97"/>
      <c r="C59" s="105"/>
      <c r="D59" s="99"/>
      <c r="E59" s="99"/>
      <c r="F59" s="99"/>
      <c r="G59" s="99"/>
      <c r="H59" s="100"/>
      <c r="I59" s="100"/>
      <c r="J59" s="100"/>
      <c r="K59" s="99"/>
      <c r="L59" s="117"/>
      <c r="M59" s="8"/>
      <c r="N59" s="8"/>
      <c r="O59" s="19"/>
      <c r="P59" s="17"/>
      <c r="Q59" s="8"/>
      <c r="R59" s="8"/>
      <c r="S59" s="12"/>
      <c r="T59" s="26"/>
    </row>
    <row r="60" spans="1:20" x14ac:dyDescent="0.2">
      <c r="A60" s="114" t="s">
        <v>64</v>
      </c>
      <c r="B60" s="94">
        <f>+B58</f>
        <v>64.56</v>
      </c>
      <c r="C60" s="101" t="str">
        <f>+C58</f>
        <v>N/A</v>
      </c>
      <c r="D60" s="95">
        <f>SUM(D56:D58)</f>
        <v>0</v>
      </c>
      <c r="E60" s="104">
        <f>SUM(E56:E58)</f>
        <v>0.22500000000000001</v>
      </c>
      <c r="F60" s="104">
        <f>SUM(F56:F58)</f>
        <v>0.5</v>
      </c>
      <c r="G60" s="104">
        <f>SUM(G56:G58)</f>
        <v>0.125</v>
      </c>
      <c r="H60" s="96">
        <f>SUM(H56:H58)</f>
        <v>52.410249999999998</v>
      </c>
      <c r="I60" s="96">
        <f>SUM(I55:I59)</f>
        <v>0</v>
      </c>
      <c r="J60" s="96">
        <f>SUM(J55:J59)</f>
        <v>0.73</v>
      </c>
      <c r="K60" s="104">
        <f>SUM(K55:K59)</f>
        <v>1797.9960000000001</v>
      </c>
      <c r="L60" s="115">
        <f>SUM(L55:L58)</f>
        <v>108658.53113999999</v>
      </c>
      <c r="M60" s="8"/>
      <c r="N60" s="8"/>
      <c r="O60" s="19"/>
      <c r="P60" s="17"/>
      <c r="Q60" s="8"/>
      <c r="R60" s="8"/>
      <c r="S60" s="12"/>
      <c r="T60" s="26"/>
    </row>
    <row r="61" spans="1:20" ht="1.05" customHeight="1" x14ac:dyDescent="0.2">
      <c r="A61" s="116"/>
      <c r="B61" s="97"/>
      <c r="C61" s="97"/>
      <c r="D61" s="99"/>
      <c r="E61" s="99"/>
      <c r="F61" s="99"/>
      <c r="G61" s="99"/>
      <c r="H61" s="99"/>
      <c r="I61" s="100"/>
      <c r="J61" s="100"/>
      <c r="K61" s="106"/>
      <c r="L61" s="117"/>
      <c r="M61" s="8"/>
      <c r="N61" s="8"/>
      <c r="O61" s="19"/>
      <c r="P61" s="17"/>
      <c r="Q61" s="8"/>
      <c r="R61" s="8"/>
      <c r="S61" s="12"/>
      <c r="T61" s="26"/>
    </row>
    <row r="62" spans="1:20" x14ac:dyDescent="0.2">
      <c r="A62" s="335" t="s">
        <v>68</v>
      </c>
      <c r="B62" s="336"/>
      <c r="C62" s="336"/>
      <c r="D62" s="337"/>
      <c r="E62" s="338"/>
      <c r="F62" s="338"/>
      <c r="G62" s="338"/>
      <c r="H62" s="338"/>
      <c r="I62" s="339"/>
      <c r="J62" s="339"/>
      <c r="K62" s="338"/>
      <c r="L62" s="340"/>
      <c r="M62" s="8"/>
      <c r="N62" s="8"/>
      <c r="O62" s="19"/>
      <c r="P62" s="17"/>
      <c r="Q62" s="8"/>
      <c r="R62" s="8"/>
      <c r="S62" s="12"/>
      <c r="T62" s="26"/>
    </row>
    <row r="63" spans="1:20" x14ac:dyDescent="0.2">
      <c r="A63" s="114" t="s">
        <v>61</v>
      </c>
      <c r="B63" s="94">
        <f>0.01*$C$13</f>
        <v>10.76</v>
      </c>
      <c r="C63" s="94">
        <f>0.01*$D$13</f>
        <v>0.04</v>
      </c>
      <c r="D63" s="95">
        <v>0</v>
      </c>
      <c r="E63" s="95">
        <v>0.1</v>
      </c>
      <c r="F63" s="95">
        <v>0.25</v>
      </c>
      <c r="G63" s="95">
        <v>0</v>
      </c>
      <c r="H63" s="96">
        <f>+($B$4*D63)+($C$4*E63)+($E$4*F63)+($F$4*G63)</f>
        <v>22.956499999999998</v>
      </c>
      <c r="I63" s="96">
        <v>0</v>
      </c>
      <c r="J63" s="96">
        <v>0</v>
      </c>
      <c r="K63" s="95">
        <f>(D63+E63+F63+G63)*(B63+C63)</f>
        <v>3.7799999999999994</v>
      </c>
      <c r="L63" s="115">
        <f>(H63+I63+J63)*(C63+B63)</f>
        <v>247.93019999999996</v>
      </c>
      <c r="M63" s="8">
        <f>+$C$13</f>
        <v>1076</v>
      </c>
      <c r="N63" s="8">
        <f>+$D$13</f>
        <v>4</v>
      </c>
      <c r="O63" s="19">
        <f>(((B63+C63)/(M63+N63))*(D63+E63+F63+G63))</f>
        <v>3.4999999999999992E-3</v>
      </c>
      <c r="P63" s="17">
        <v>1</v>
      </c>
      <c r="Q63" s="8"/>
      <c r="R63" s="8"/>
      <c r="S63" s="12">
        <f>+I63*(B63+C63)</f>
        <v>0</v>
      </c>
      <c r="T63" s="26">
        <f>+J63*(B63+C63)</f>
        <v>0</v>
      </c>
    </row>
    <row r="64" spans="1:20" x14ac:dyDescent="0.2">
      <c r="A64" s="114" t="s">
        <v>69</v>
      </c>
      <c r="B64" s="94">
        <f>0.01*$C$13</f>
        <v>10.76</v>
      </c>
      <c r="C64" s="94">
        <f>0.01*$D$13</f>
        <v>0.04</v>
      </c>
      <c r="D64" s="95">
        <v>0</v>
      </c>
      <c r="E64" s="95">
        <v>0</v>
      </c>
      <c r="F64" s="95">
        <v>0.5</v>
      </c>
      <c r="G64" s="95">
        <v>0.13</v>
      </c>
      <c r="H64" s="96">
        <f>+($B$4*D64)+($C$4*E64)+($E$4*F64)+($F$4*G64)</f>
        <v>34.547200000000004</v>
      </c>
      <c r="I64" s="96">
        <v>0</v>
      </c>
      <c r="J64" s="96">
        <v>0.73</v>
      </c>
      <c r="K64" s="95">
        <f>(D64+E64+F64+G64)*(B64+C64)</f>
        <v>6.8039999999999994</v>
      </c>
      <c r="L64" s="115">
        <f>(H64+I64+J64)*(C64+B64)</f>
        <v>380.99375999999995</v>
      </c>
      <c r="M64" s="8">
        <f>+$C$13</f>
        <v>1076</v>
      </c>
      <c r="N64" s="8">
        <f>+$D$13</f>
        <v>4</v>
      </c>
      <c r="O64" s="19">
        <f>(((B64+C64)/(M64+N64))*(D64+E64+F64+G64))</f>
        <v>6.2999999999999992E-3</v>
      </c>
      <c r="P64" s="17">
        <v>1</v>
      </c>
      <c r="Q64" s="8"/>
      <c r="R64" s="8"/>
      <c r="S64" s="12">
        <f>+I64*(B64+C64)</f>
        <v>0</v>
      </c>
      <c r="T64" s="26">
        <f>+J64*(B64+C64)</f>
        <v>7.8839999999999995</v>
      </c>
    </row>
    <row r="65" spans="1:20" ht="1.05" customHeight="1" x14ac:dyDescent="0.2">
      <c r="A65" s="116"/>
      <c r="B65" s="97"/>
      <c r="C65" s="97"/>
      <c r="D65" s="97"/>
      <c r="E65" s="97"/>
      <c r="F65" s="97"/>
      <c r="G65" s="97"/>
      <c r="H65" s="97"/>
      <c r="I65" s="100"/>
      <c r="J65" s="100"/>
      <c r="K65" s="106"/>
      <c r="L65" s="119"/>
      <c r="M65" s="8"/>
      <c r="N65" s="8"/>
      <c r="O65" s="19"/>
      <c r="P65" s="17"/>
      <c r="Q65" s="8"/>
      <c r="R65" s="8"/>
      <c r="S65" s="12"/>
      <c r="T65" s="26"/>
    </row>
    <row r="66" spans="1:20" x14ac:dyDescent="0.2">
      <c r="A66" s="114" t="s">
        <v>64</v>
      </c>
      <c r="B66" s="94">
        <f>B64</f>
        <v>10.76</v>
      </c>
      <c r="C66" s="94">
        <f>C64</f>
        <v>0.04</v>
      </c>
      <c r="D66" s="104">
        <f t="shared" ref="D66:L66" si="2">SUM(D63:D64)</f>
        <v>0</v>
      </c>
      <c r="E66" s="104">
        <f t="shared" si="2"/>
        <v>0.1</v>
      </c>
      <c r="F66" s="104">
        <f t="shared" si="2"/>
        <v>0.75</v>
      </c>
      <c r="G66" s="104">
        <f t="shared" si="2"/>
        <v>0.13</v>
      </c>
      <c r="H66" s="96">
        <f t="shared" si="2"/>
        <v>57.503700000000002</v>
      </c>
      <c r="I66" s="96">
        <f t="shared" si="2"/>
        <v>0</v>
      </c>
      <c r="J66" s="96">
        <f t="shared" si="2"/>
        <v>0.73</v>
      </c>
      <c r="K66" s="104">
        <f t="shared" si="2"/>
        <v>10.584</v>
      </c>
      <c r="L66" s="115">
        <f t="shared" si="2"/>
        <v>628.92395999999985</v>
      </c>
      <c r="M66" s="8"/>
      <c r="N66" s="8"/>
      <c r="O66" s="19"/>
      <c r="P66" s="17"/>
      <c r="Q66" s="8"/>
      <c r="R66" s="8"/>
      <c r="S66" s="12"/>
      <c r="T66" s="26"/>
    </row>
    <row r="67" spans="1:20" ht="1.05" customHeight="1" x14ac:dyDescent="0.2">
      <c r="A67" s="116"/>
      <c r="B67" s="97"/>
      <c r="C67" s="97"/>
      <c r="D67" s="99"/>
      <c r="E67" s="99"/>
      <c r="F67" s="99"/>
      <c r="G67" s="99"/>
      <c r="H67" s="99"/>
      <c r="I67" s="100"/>
      <c r="J67" s="100"/>
      <c r="K67" s="106"/>
      <c r="L67" s="117"/>
      <c r="M67" s="8"/>
      <c r="N67" s="8"/>
      <c r="O67" s="19"/>
      <c r="P67" s="17"/>
      <c r="Q67" s="8"/>
      <c r="R67" s="8"/>
      <c r="S67" s="12"/>
      <c r="T67" s="26"/>
    </row>
    <row r="68" spans="1:20" x14ac:dyDescent="0.2">
      <c r="A68" s="335" t="s">
        <v>70</v>
      </c>
      <c r="B68" s="336"/>
      <c r="C68" s="336"/>
      <c r="D68" s="337"/>
      <c r="E68" s="338"/>
      <c r="F68" s="338"/>
      <c r="G68" s="338"/>
      <c r="H68" s="338"/>
      <c r="I68" s="339"/>
      <c r="J68" s="339"/>
      <c r="K68" s="338"/>
      <c r="L68" s="340"/>
      <c r="M68" s="8"/>
      <c r="N68" s="8"/>
      <c r="O68" s="19"/>
      <c r="P68" s="17"/>
      <c r="Q68" s="8"/>
      <c r="R68" s="8"/>
      <c r="S68" s="12"/>
      <c r="T68" s="26"/>
    </row>
    <row r="69" spans="1:20" x14ac:dyDescent="0.2">
      <c r="A69" s="41" t="s">
        <v>71</v>
      </c>
      <c r="B69" s="35"/>
      <c r="C69" s="35"/>
      <c r="D69" s="36"/>
      <c r="E69" s="37"/>
      <c r="F69" s="37"/>
      <c r="G69" s="37"/>
      <c r="H69" s="37"/>
      <c r="I69" s="38"/>
      <c r="J69" s="38"/>
      <c r="K69" s="37"/>
      <c r="L69" s="39"/>
      <c r="M69" s="8"/>
      <c r="N69" s="8"/>
      <c r="O69" s="19"/>
      <c r="P69" s="17"/>
      <c r="Q69" s="8"/>
      <c r="R69" s="8"/>
      <c r="S69" s="12"/>
      <c r="T69" s="26"/>
    </row>
    <row r="70" spans="1:20" x14ac:dyDescent="0.2">
      <c r="A70" s="114" t="s">
        <v>61</v>
      </c>
      <c r="B70" s="94">
        <f>$C$15</f>
        <v>215</v>
      </c>
      <c r="C70" s="94">
        <f>$D$15</f>
        <v>1</v>
      </c>
      <c r="D70" s="95">
        <v>0</v>
      </c>
      <c r="E70" s="104">
        <v>0.25</v>
      </c>
      <c r="F70" s="104">
        <v>0.75</v>
      </c>
      <c r="G70" s="104">
        <v>0</v>
      </c>
      <c r="H70" s="96">
        <f>+($B$4*D70)+($C$4*E70)+($E$4*F70)+($F$4*G70)</f>
        <v>64.86</v>
      </c>
      <c r="I70" s="96">
        <v>0</v>
      </c>
      <c r="J70" s="96">
        <v>0</v>
      </c>
      <c r="K70" s="104">
        <f>(D70+E70+F70+G70)*(B70+C70)</f>
        <v>216</v>
      </c>
      <c r="L70" s="115">
        <f>(H70+I70+J70)*(C70+B70)</f>
        <v>14009.76</v>
      </c>
      <c r="M70" s="8">
        <f>+$C$16</f>
        <v>538</v>
      </c>
      <c r="N70" s="8">
        <f>+$D$16</f>
        <v>2</v>
      </c>
      <c r="O70" s="19">
        <f>(((B70+C70)/(M70+N70))*(D70+E70+F70+G70))</f>
        <v>0.4</v>
      </c>
      <c r="P70" s="17">
        <v>2</v>
      </c>
      <c r="Q70" s="8"/>
      <c r="R70" s="8"/>
      <c r="S70" s="12">
        <f>+I70*(B70+C70)</f>
        <v>0</v>
      </c>
      <c r="T70" s="26">
        <f>+J70*(B70+C70)</f>
        <v>0</v>
      </c>
    </row>
    <row r="71" spans="1:20" x14ac:dyDescent="0.2">
      <c r="A71" s="114" t="s">
        <v>72</v>
      </c>
      <c r="B71" s="94">
        <f>$C$15</f>
        <v>215</v>
      </c>
      <c r="C71" s="94">
        <f>$D$15</f>
        <v>1</v>
      </c>
      <c r="D71" s="95">
        <v>0</v>
      </c>
      <c r="E71" s="104">
        <v>0</v>
      </c>
      <c r="F71" s="104">
        <v>3</v>
      </c>
      <c r="G71" s="104">
        <v>0.5</v>
      </c>
      <c r="H71" s="96">
        <f>+($B$4*D71)+($C$4*E71)+($E$4*F71)+($F$4*G71)</f>
        <v>197.22</v>
      </c>
      <c r="I71" s="96">
        <v>0</v>
      </c>
      <c r="J71" s="96">
        <v>0</v>
      </c>
      <c r="K71" s="104">
        <f>((D71+E71+F71+G71)*(B71+C71))*2</f>
        <v>1512</v>
      </c>
      <c r="L71" s="115">
        <f>(H71+I71+J71)*(C71+B71)*2</f>
        <v>85199.039999999994</v>
      </c>
      <c r="M71" s="8">
        <f>+$C$16</f>
        <v>538</v>
      </c>
      <c r="N71" s="8">
        <f>+$D$16</f>
        <v>2</v>
      </c>
      <c r="O71" s="19">
        <f>(((B71+C71)/(M71+N71))*(D71+E71+F71+G71))</f>
        <v>1.4000000000000001</v>
      </c>
      <c r="P71" s="17">
        <v>2</v>
      </c>
      <c r="Q71" s="8"/>
      <c r="R71" s="8"/>
      <c r="S71" s="12">
        <f>+I71*(B71+C71)</f>
        <v>0</v>
      </c>
      <c r="T71" s="26">
        <f>+J71*(B71+C71)</f>
        <v>0</v>
      </c>
    </row>
    <row r="72" spans="1:20" x14ac:dyDescent="0.2">
      <c r="A72" s="114" t="s">
        <v>73</v>
      </c>
      <c r="B72" s="94">
        <f>$C$15</f>
        <v>215</v>
      </c>
      <c r="C72" s="94">
        <f>$D$15</f>
        <v>1</v>
      </c>
      <c r="D72" s="95">
        <v>0</v>
      </c>
      <c r="E72" s="104">
        <v>0</v>
      </c>
      <c r="F72" s="104">
        <v>10</v>
      </c>
      <c r="G72" s="104">
        <v>0</v>
      </c>
      <c r="H72" s="96">
        <f>+($B$4*D72)+($C$4*E72)+($E$4*F72)+($F$4*G72)</f>
        <v>597.5</v>
      </c>
      <c r="I72" s="96">
        <v>0</v>
      </c>
      <c r="J72" s="96">
        <v>750</v>
      </c>
      <c r="K72" s="104">
        <f>((D72+E72+F72+G72)*(B72+C72))*2</f>
        <v>4320</v>
      </c>
      <c r="L72" s="115">
        <f>(H72+I72+J72)*(C72+B72)*2</f>
        <v>582120</v>
      </c>
      <c r="M72" s="8">
        <f>+$C$16</f>
        <v>538</v>
      </c>
      <c r="N72" s="8">
        <f>+$D$16</f>
        <v>2</v>
      </c>
      <c r="O72" s="19">
        <f>(((B72+C72)/(M72+N72))*(D72+E72+F72+G72))</f>
        <v>4</v>
      </c>
      <c r="P72" s="17">
        <v>2</v>
      </c>
      <c r="Q72" s="8"/>
      <c r="R72" s="8"/>
      <c r="S72" s="12">
        <f>+I72*(B72+C72)</f>
        <v>0</v>
      </c>
      <c r="T72" s="26">
        <f>+J72*(B72+C72)</f>
        <v>162000</v>
      </c>
    </row>
    <row r="73" spans="1:20" x14ac:dyDescent="0.2">
      <c r="A73" s="41" t="s">
        <v>74</v>
      </c>
      <c r="B73" s="40"/>
      <c r="C73" s="40"/>
      <c r="D73" s="36"/>
      <c r="E73" s="37"/>
      <c r="F73" s="37"/>
      <c r="G73" s="37"/>
      <c r="H73" s="37"/>
      <c r="I73" s="38"/>
      <c r="J73" s="38"/>
      <c r="K73" s="37"/>
      <c r="L73" s="39"/>
      <c r="M73" s="8"/>
      <c r="N73" s="8"/>
      <c r="O73" s="19"/>
      <c r="P73" s="17"/>
      <c r="Q73" s="8"/>
      <c r="R73" s="8"/>
      <c r="S73" s="12"/>
      <c r="T73" s="26"/>
    </row>
    <row r="74" spans="1:20" x14ac:dyDescent="0.2">
      <c r="A74" s="114" t="s">
        <v>61</v>
      </c>
      <c r="B74" s="94">
        <f>$C$14</f>
        <v>323</v>
      </c>
      <c r="C74" s="94">
        <f>$D$14</f>
        <v>1</v>
      </c>
      <c r="D74" s="95">
        <v>0</v>
      </c>
      <c r="E74" s="104">
        <v>0.25</v>
      </c>
      <c r="F74" s="104">
        <v>0.75</v>
      </c>
      <c r="G74" s="104">
        <v>0</v>
      </c>
      <c r="H74" s="96">
        <f>+($B$4*D74)+($C$4*E74)+($E$4*F74)+($F$4*G74)</f>
        <v>64.86</v>
      </c>
      <c r="I74" s="96">
        <v>0</v>
      </c>
      <c r="J74" s="96">
        <v>0</v>
      </c>
      <c r="K74" s="104">
        <f>(D74+E74+F74+G74)*(B74+C74)</f>
        <v>324</v>
      </c>
      <c r="L74" s="115">
        <f>(H74+I74+J74)*(C74+B74)</f>
        <v>21014.639999999999</v>
      </c>
      <c r="M74" s="8">
        <f>+$C$16</f>
        <v>538</v>
      </c>
      <c r="N74" s="8">
        <f>+$D$16</f>
        <v>2</v>
      </c>
      <c r="O74" s="19">
        <f>(((B74+C74)/(M74+N74))*(D74+E74+F74+G74))</f>
        <v>0.6</v>
      </c>
      <c r="P74" s="17">
        <v>2</v>
      </c>
      <c r="Q74" s="8"/>
      <c r="R74" s="8"/>
      <c r="S74" s="12">
        <f>+I74*(B74+C74)</f>
        <v>0</v>
      </c>
      <c r="T74" s="26">
        <f>+J74*(B74+C74)</f>
        <v>0</v>
      </c>
    </row>
    <row r="75" spans="1:20" x14ac:dyDescent="0.2">
      <c r="A75" s="114" t="s">
        <v>75</v>
      </c>
      <c r="B75" s="94">
        <f>$C$14</f>
        <v>323</v>
      </c>
      <c r="C75" s="94">
        <f>$D$14</f>
        <v>1</v>
      </c>
      <c r="D75" s="95">
        <v>0</v>
      </c>
      <c r="E75" s="104">
        <v>0</v>
      </c>
      <c r="F75" s="104">
        <f>1.5</f>
        <v>1.5</v>
      </c>
      <c r="G75" s="104">
        <f>0.25</f>
        <v>0.25</v>
      </c>
      <c r="H75" s="96">
        <f>+($B$4*D75)+($C$4*E75)+($E$4*F75)+($F$4*G75)</f>
        <v>98.61</v>
      </c>
      <c r="I75" s="96">
        <v>0</v>
      </c>
      <c r="J75" s="96">
        <v>0</v>
      </c>
      <c r="K75" s="104">
        <f>((D75+E75+F75+G75)*(B75+C75))*50</f>
        <v>28350</v>
      </c>
      <c r="L75" s="115">
        <f>+(((H75+I75+J75))*((C75+B75)))*(50)</f>
        <v>1597482</v>
      </c>
      <c r="M75" s="8">
        <f>+$C$16</f>
        <v>538</v>
      </c>
      <c r="N75" s="8">
        <f>+$D$16</f>
        <v>2</v>
      </c>
      <c r="O75" s="19">
        <f>(((B75+C75)/(M75+N75))*(D75+E75+F75+G75))</f>
        <v>1.05</v>
      </c>
      <c r="P75" s="17">
        <v>2</v>
      </c>
      <c r="Q75" s="8"/>
      <c r="R75" s="8"/>
      <c r="S75" s="12">
        <f>+I75*(B75+C75)</f>
        <v>0</v>
      </c>
      <c r="T75" s="26">
        <f>+J75*(B75+C75)</f>
        <v>0</v>
      </c>
    </row>
    <row r="76" spans="1:20" x14ac:dyDescent="0.2">
      <c r="A76" s="114" t="s">
        <v>76</v>
      </c>
      <c r="B76" s="94">
        <f>$C$14</f>
        <v>323</v>
      </c>
      <c r="C76" s="94">
        <f>$D$14</f>
        <v>1</v>
      </c>
      <c r="D76" s="95">
        <v>0</v>
      </c>
      <c r="E76" s="104">
        <v>0</v>
      </c>
      <c r="F76" s="104">
        <v>20</v>
      </c>
      <c r="G76" s="104">
        <v>0</v>
      </c>
      <c r="H76" s="96">
        <f>+($B$4*D76)+($C$4*E76)+($E$4*F76)+($F$4*G76)</f>
        <v>1195</v>
      </c>
      <c r="I76" s="96">
        <v>0</v>
      </c>
      <c r="J76" s="96">
        <v>400</v>
      </c>
      <c r="K76" s="104">
        <f>((D76+E76+F76+G76)*(B76+C76))*50</f>
        <v>324000</v>
      </c>
      <c r="L76" s="115">
        <f>(H76+I76+J76)*(C76+B76)*50</f>
        <v>25839000</v>
      </c>
      <c r="M76" s="8">
        <f>+$C$16</f>
        <v>538</v>
      </c>
      <c r="N76" s="8">
        <f>+$D$16</f>
        <v>2</v>
      </c>
      <c r="O76" s="19">
        <f>(((B76+C76)/(M76+N76))*(D76+E76+F76+G76))</f>
        <v>12</v>
      </c>
      <c r="P76" s="17">
        <v>2</v>
      </c>
      <c r="Q76" s="8"/>
      <c r="R76" s="8"/>
      <c r="S76" s="12">
        <f>+I76*(B76+C76)</f>
        <v>0</v>
      </c>
      <c r="T76" s="26">
        <f>+J76*(B76+C76)</f>
        <v>129600</v>
      </c>
    </row>
    <row r="77" spans="1:20" ht="1.05" customHeight="1" x14ac:dyDescent="0.2">
      <c r="A77" s="116"/>
      <c r="B77" s="98"/>
      <c r="C77" s="98"/>
      <c r="D77" s="99"/>
      <c r="E77" s="106"/>
      <c r="F77" s="106"/>
      <c r="G77" s="106"/>
      <c r="H77" s="106"/>
      <c r="I77" s="100"/>
      <c r="J77" s="100"/>
      <c r="K77" s="106"/>
      <c r="L77" s="117"/>
      <c r="M77" s="8"/>
      <c r="N77" s="8"/>
      <c r="O77" s="19"/>
      <c r="P77" s="17"/>
      <c r="Q77" s="8"/>
      <c r="R77" s="8"/>
      <c r="S77" s="12"/>
      <c r="T77" s="26"/>
    </row>
    <row r="78" spans="1:20" x14ac:dyDescent="0.2">
      <c r="A78" s="114" t="s">
        <v>64</v>
      </c>
      <c r="B78" s="101" t="s">
        <v>101</v>
      </c>
      <c r="C78" s="101" t="s">
        <v>101</v>
      </c>
      <c r="D78" s="107" t="s">
        <v>101</v>
      </c>
      <c r="E78" s="103" t="s">
        <v>101</v>
      </c>
      <c r="F78" s="103" t="s">
        <v>101</v>
      </c>
      <c r="G78" s="103" t="s">
        <v>101</v>
      </c>
      <c r="H78" s="103" t="s">
        <v>101</v>
      </c>
      <c r="I78" s="103" t="s">
        <v>101</v>
      </c>
      <c r="J78" s="103" t="s">
        <v>101</v>
      </c>
      <c r="K78" s="104">
        <f>SUM(K70:K76)</f>
        <v>358722</v>
      </c>
      <c r="L78" s="115">
        <f>SUM(L70:L76)</f>
        <v>28138825.440000001</v>
      </c>
      <c r="M78" s="8"/>
      <c r="N78" s="8"/>
      <c r="O78" s="19"/>
      <c r="P78" s="17"/>
      <c r="Q78" s="8"/>
      <c r="R78" s="8"/>
      <c r="S78" s="12"/>
      <c r="T78" s="26"/>
    </row>
    <row r="79" spans="1:20" ht="1.05" customHeight="1" x14ac:dyDescent="0.2">
      <c r="A79" s="116"/>
      <c r="B79" s="98"/>
      <c r="C79" s="98"/>
      <c r="D79" s="99"/>
      <c r="E79" s="106"/>
      <c r="F79" s="106"/>
      <c r="G79" s="106"/>
      <c r="H79" s="106"/>
      <c r="I79" s="100"/>
      <c r="J79" s="100"/>
      <c r="K79" s="106"/>
      <c r="L79" s="117"/>
      <c r="M79" s="8"/>
      <c r="N79" s="8"/>
      <c r="O79" s="19"/>
      <c r="P79" s="17"/>
      <c r="Q79" s="8"/>
      <c r="R79" s="8"/>
      <c r="S79" s="12"/>
      <c r="T79" s="26"/>
    </row>
    <row r="80" spans="1:20" x14ac:dyDescent="0.2">
      <c r="A80" s="335" t="s">
        <v>77</v>
      </c>
      <c r="B80" s="336"/>
      <c r="C80" s="336"/>
      <c r="D80" s="337"/>
      <c r="E80" s="338"/>
      <c r="F80" s="338"/>
      <c r="G80" s="338"/>
      <c r="H80" s="338"/>
      <c r="I80" s="339"/>
      <c r="J80" s="339"/>
      <c r="K80" s="338"/>
      <c r="L80" s="340"/>
      <c r="M80" s="8"/>
      <c r="N80" s="8"/>
      <c r="O80" s="19"/>
      <c r="P80" s="17"/>
      <c r="Q80" s="8"/>
      <c r="R80" s="8"/>
      <c r="S80" s="12"/>
      <c r="T80" s="26"/>
    </row>
    <row r="81" spans="1:20" x14ac:dyDescent="0.2">
      <c r="A81" s="114" t="s">
        <v>61</v>
      </c>
      <c r="B81" s="101" t="s">
        <v>102</v>
      </c>
      <c r="C81" s="94">
        <f>$D$26</f>
        <v>0</v>
      </c>
      <c r="D81" s="95">
        <v>0</v>
      </c>
      <c r="E81" s="104">
        <v>0.25</v>
      </c>
      <c r="F81" s="104">
        <v>0.75</v>
      </c>
      <c r="G81" s="104">
        <v>0</v>
      </c>
      <c r="H81" s="96">
        <f t="shared" ref="H81:H86" si="3">+($B$4*D81)+($C$4*E81)+($E$4*F81)+($F$4*G81)</f>
        <v>64.86</v>
      </c>
      <c r="I81" s="96">
        <v>0</v>
      </c>
      <c r="J81" s="96">
        <v>0</v>
      </c>
      <c r="K81" s="104">
        <f>(D81+E81+F81+G81)*(C81)</f>
        <v>0</v>
      </c>
      <c r="L81" s="115">
        <f>(H81+I81+J81)*(C81)</f>
        <v>0</v>
      </c>
      <c r="M81" s="8">
        <f t="shared" ref="M81:M86" si="4">+$C$16</f>
        <v>538</v>
      </c>
      <c r="N81" s="8">
        <f t="shared" ref="N81:N86" si="5">+$D$16</f>
        <v>2</v>
      </c>
      <c r="O81" s="19">
        <f>(((C81)/(M81+N81))*(D81+E81+F81+G81))</f>
        <v>0</v>
      </c>
      <c r="P81" s="17">
        <v>2</v>
      </c>
      <c r="Q81" s="8"/>
      <c r="R81" s="8"/>
      <c r="S81" s="12">
        <f>+I81*(C81)</f>
        <v>0</v>
      </c>
      <c r="T81" s="26">
        <f>+J81*(C81)</f>
        <v>0</v>
      </c>
    </row>
    <row r="82" spans="1:20" x14ac:dyDescent="0.2">
      <c r="A82" s="114" t="s">
        <v>78</v>
      </c>
      <c r="B82" s="101" t="s">
        <v>102</v>
      </c>
      <c r="C82" s="94">
        <f>$D$26</f>
        <v>0</v>
      </c>
      <c r="D82" s="95">
        <v>0</v>
      </c>
      <c r="E82" s="104">
        <v>0</v>
      </c>
      <c r="F82" s="104">
        <v>10</v>
      </c>
      <c r="G82" s="104">
        <v>0</v>
      </c>
      <c r="H82" s="96">
        <f t="shared" si="3"/>
        <v>597.5</v>
      </c>
      <c r="I82" s="96">
        <v>0</v>
      </c>
      <c r="J82" s="96">
        <v>0</v>
      </c>
      <c r="K82" s="104">
        <f>(D82+E82+F82+G82)*(C82)</f>
        <v>0</v>
      </c>
      <c r="L82" s="115">
        <f>(H82+I82+J82)*(C82)</f>
        <v>0</v>
      </c>
      <c r="M82" s="8">
        <f t="shared" si="4"/>
        <v>538</v>
      </c>
      <c r="N82" s="8">
        <f t="shared" si="5"/>
        <v>2</v>
      </c>
      <c r="O82" s="19">
        <f>(((C82)/(M82+N82))*(D82+E82+F82+G82))</f>
        <v>0</v>
      </c>
      <c r="P82" s="17">
        <v>2</v>
      </c>
      <c r="Q82" s="8"/>
      <c r="R82" s="8"/>
      <c r="S82" s="12">
        <f>+I82*(C82)</f>
        <v>0</v>
      </c>
      <c r="T82" s="26">
        <f>+J82*(C82)</f>
        <v>0</v>
      </c>
    </row>
    <row r="83" spans="1:20" x14ac:dyDescent="0.2">
      <c r="A83" s="114" t="s">
        <v>79</v>
      </c>
      <c r="B83" s="101" t="s">
        <v>102</v>
      </c>
      <c r="C83" s="94">
        <f>$D$26</f>
        <v>0</v>
      </c>
      <c r="D83" s="95">
        <v>0</v>
      </c>
      <c r="E83" s="104">
        <v>10</v>
      </c>
      <c r="F83" s="104">
        <v>60</v>
      </c>
      <c r="G83" s="104">
        <v>0.5</v>
      </c>
      <c r="H83" s="96">
        <f t="shared" si="3"/>
        <v>4404.87</v>
      </c>
      <c r="I83" s="96">
        <v>0</v>
      </c>
      <c r="J83" s="96">
        <v>0</v>
      </c>
      <c r="K83" s="104">
        <f>(D83+E83+F83+G83)*(C83)</f>
        <v>0</v>
      </c>
      <c r="L83" s="115">
        <f>(H83+I83+J83)*(C83)</f>
        <v>0</v>
      </c>
      <c r="M83" s="8">
        <f t="shared" si="4"/>
        <v>538</v>
      </c>
      <c r="N83" s="8">
        <f t="shared" si="5"/>
        <v>2</v>
      </c>
      <c r="O83" s="19">
        <f>(((C83)/(M83+N83))*(D83+E83+F83+G83))</f>
        <v>0</v>
      </c>
      <c r="P83" s="17">
        <v>2</v>
      </c>
      <c r="Q83" s="8"/>
      <c r="R83" s="8"/>
      <c r="S83" s="12">
        <f>+I83*(C83)</f>
        <v>0</v>
      </c>
      <c r="T83" s="26">
        <f>+J83*(C83)</f>
        <v>0</v>
      </c>
    </row>
    <row r="84" spans="1:20" x14ac:dyDescent="0.2">
      <c r="A84" s="114" t="s">
        <v>80</v>
      </c>
      <c r="B84" s="101">
        <v>0</v>
      </c>
      <c r="C84" s="94">
        <v>0</v>
      </c>
      <c r="D84" s="95">
        <v>0</v>
      </c>
      <c r="E84" s="104">
        <v>0</v>
      </c>
      <c r="F84" s="104">
        <v>0</v>
      </c>
      <c r="G84" s="104">
        <v>1</v>
      </c>
      <c r="H84" s="96">
        <f t="shared" si="3"/>
        <v>35.94</v>
      </c>
      <c r="I84" s="96">
        <v>0</v>
      </c>
      <c r="J84" s="96">
        <v>0</v>
      </c>
      <c r="K84" s="104">
        <f>(D84+E84+F84+G84)*(B84+C84)</f>
        <v>0</v>
      </c>
      <c r="L84" s="115">
        <f>(H84+I84+J84)*(C84+B84)</f>
        <v>0</v>
      </c>
      <c r="M84" s="8">
        <f t="shared" si="4"/>
        <v>538</v>
      </c>
      <c r="N84" s="8">
        <f t="shared" si="5"/>
        <v>2</v>
      </c>
      <c r="O84" s="19">
        <f>(((B84+C84)/(M84+N84))*(D84+E84+F84+G84))</f>
        <v>0</v>
      </c>
      <c r="P84" s="17">
        <v>2</v>
      </c>
      <c r="Q84" s="8"/>
      <c r="R84" s="8"/>
      <c r="S84" s="12">
        <f>+I84*(B84+C84)</f>
        <v>0</v>
      </c>
      <c r="T84" s="26">
        <f>+J84*(B84+C84)</f>
        <v>0</v>
      </c>
    </row>
    <row r="85" spans="1:20" ht="10.050000000000001" customHeight="1" x14ac:dyDescent="0.2">
      <c r="A85" s="114" t="s">
        <v>81</v>
      </c>
      <c r="B85" s="101">
        <f>0.2*C16</f>
        <v>107.60000000000001</v>
      </c>
      <c r="C85" s="94">
        <f>0.2*D16</f>
        <v>0.4</v>
      </c>
      <c r="D85" s="95">
        <v>0</v>
      </c>
      <c r="E85" s="104">
        <v>10</v>
      </c>
      <c r="F85" s="104">
        <v>80</v>
      </c>
      <c r="G85" s="104">
        <v>0.5</v>
      </c>
      <c r="H85" s="96">
        <f t="shared" si="3"/>
        <v>5599.87</v>
      </c>
      <c r="I85" s="96">
        <v>0</v>
      </c>
      <c r="J85" s="96">
        <v>0</v>
      </c>
      <c r="K85" s="104">
        <f>(D85+E85+F85+G85)*(B85+C85)</f>
        <v>9774.0000000000018</v>
      </c>
      <c r="L85" s="115">
        <f>(H85+I85+J85)*(C85+B85)</f>
        <v>604785.96000000008</v>
      </c>
      <c r="M85" s="8">
        <f t="shared" si="4"/>
        <v>538</v>
      </c>
      <c r="N85" s="8">
        <f t="shared" si="5"/>
        <v>2</v>
      </c>
      <c r="O85" s="19">
        <f>(((B85+C85)/(M85+N85))*(D85+E85+F85+G85))</f>
        <v>18.100000000000005</v>
      </c>
      <c r="P85" s="17">
        <v>2</v>
      </c>
      <c r="Q85" s="8"/>
      <c r="R85" s="8"/>
      <c r="S85" s="12">
        <f>+I85*(B85+C85)</f>
        <v>0</v>
      </c>
      <c r="T85" s="26">
        <f>+J85*(B85+C85)</f>
        <v>0</v>
      </c>
    </row>
    <row r="86" spans="1:20" x14ac:dyDescent="0.2">
      <c r="A86" s="114" t="s">
        <v>82</v>
      </c>
      <c r="B86" s="101">
        <f>B85</f>
        <v>107.60000000000001</v>
      </c>
      <c r="C86" s="94">
        <f>C85</f>
        <v>0.4</v>
      </c>
      <c r="D86" s="95">
        <v>0</v>
      </c>
      <c r="E86" s="104">
        <v>0</v>
      </c>
      <c r="F86" s="104">
        <v>0</v>
      </c>
      <c r="G86" s="104">
        <v>1</v>
      </c>
      <c r="H86" s="96">
        <f t="shared" si="3"/>
        <v>35.94</v>
      </c>
      <c r="I86" s="96">
        <v>0</v>
      </c>
      <c r="J86" s="96">
        <v>0</v>
      </c>
      <c r="K86" s="104">
        <f>(D86+E86+F86+G86)*(B86+C86)</f>
        <v>108.00000000000001</v>
      </c>
      <c r="L86" s="115">
        <f>(H86+I86+J86)*(C86+B86)</f>
        <v>3881.5200000000004</v>
      </c>
      <c r="M86" s="8">
        <f t="shared" si="4"/>
        <v>538</v>
      </c>
      <c r="N86" s="8">
        <f t="shared" si="5"/>
        <v>2</v>
      </c>
      <c r="O86" s="19">
        <f>(((B86+C86)/(M86+N86))*(D86+E86+F86+G86))</f>
        <v>0.20000000000000004</v>
      </c>
      <c r="P86" s="17">
        <v>2</v>
      </c>
      <c r="Q86" s="8"/>
      <c r="R86" s="8"/>
      <c r="S86" s="12">
        <f>+I86*(B86+C86)</f>
        <v>0</v>
      </c>
      <c r="T86" s="26">
        <f>+J86*(B86+C86)</f>
        <v>0</v>
      </c>
    </row>
    <row r="87" spans="1:20" ht="2.1" customHeight="1" x14ac:dyDescent="0.2">
      <c r="A87" s="116"/>
      <c r="B87" s="108"/>
      <c r="C87" s="98"/>
      <c r="D87" s="99"/>
      <c r="E87" s="106"/>
      <c r="F87" s="106"/>
      <c r="G87" s="106"/>
      <c r="H87" s="106"/>
      <c r="I87" s="100"/>
      <c r="J87" s="100"/>
      <c r="K87" s="106"/>
      <c r="L87" s="117"/>
      <c r="M87" s="8"/>
      <c r="N87" s="8"/>
      <c r="O87" s="19"/>
      <c r="P87" s="17"/>
      <c r="Q87" s="8"/>
      <c r="R87" s="8"/>
      <c r="S87" s="12"/>
      <c r="T87" s="26"/>
    </row>
    <row r="88" spans="1:20" x14ac:dyDescent="0.2">
      <c r="A88" s="114" t="s">
        <v>64</v>
      </c>
      <c r="B88" s="101" t="s">
        <v>101</v>
      </c>
      <c r="C88" s="101" t="s">
        <v>101</v>
      </c>
      <c r="D88" s="107" t="s">
        <v>101</v>
      </c>
      <c r="E88" s="103" t="s">
        <v>101</v>
      </c>
      <c r="F88" s="103" t="s">
        <v>101</v>
      </c>
      <c r="G88" s="103" t="s">
        <v>101</v>
      </c>
      <c r="H88" s="103" t="s">
        <v>101</v>
      </c>
      <c r="I88" s="103" t="s">
        <v>101</v>
      </c>
      <c r="J88" s="103" t="s">
        <v>101</v>
      </c>
      <c r="K88" s="104">
        <f>SUM(K81:K86)</f>
        <v>9882.0000000000018</v>
      </c>
      <c r="L88" s="115">
        <f>SUM(L81:L86)</f>
        <v>608667.4800000001</v>
      </c>
      <c r="M88" s="8"/>
      <c r="N88" s="8"/>
      <c r="O88" s="19"/>
      <c r="P88" s="17"/>
      <c r="Q88" s="8"/>
      <c r="R88" s="8"/>
      <c r="S88" s="12"/>
      <c r="T88" s="26"/>
    </row>
    <row r="89" spans="1:20" ht="1.05" customHeight="1" x14ac:dyDescent="0.2">
      <c r="A89" s="120"/>
      <c r="B89" s="109"/>
      <c r="C89" s="110"/>
      <c r="D89" s="111"/>
      <c r="E89" s="112"/>
      <c r="F89" s="112"/>
      <c r="G89" s="112"/>
      <c r="H89" s="112"/>
      <c r="I89" s="113"/>
      <c r="J89" s="113"/>
      <c r="K89" s="112"/>
      <c r="L89" s="121"/>
      <c r="M89" s="8"/>
      <c r="N89" s="8"/>
      <c r="O89" s="19"/>
      <c r="P89" s="17"/>
      <c r="Q89" s="8"/>
      <c r="R89" s="8"/>
      <c r="S89" s="12"/>
      <c r="T89" s="26"/>
    </row>
    <row r="90" spans="1:20" x14ac:dyDescent="0.2">
      <c r="A90" s="335" t="s">
        <v>83</v>
      </c>
      <c r="B90" s="336"/>
      <c r="C90" s="336"/>
      <c r="D90" s="337"/>
      <c r="E90" s="338"/>
      <c r="F90" s="338"/>
      <c r="G90" s="338"/>
      <c r="H90" s="338"/>
      <c r="I90" s="339"/>
      <c r="J90" s="339"/>
      <c r="K90" s="338"/>
      <c r="L90" s="340"/>
      <c r="M90" s="8"/>
      <c r="N90" s="8"/>
      <c r="O90" s="19"/>
      <c r="P90" s="17"/>
      <c r="Q90" s="8"/>
      <c r="R90" s="8"/>
      <c r="S90" s="12"/>
      <c r="T90" s="26"/>
    </row>
    <row r="91" spans="1:20" x14ac:dyDescent="0.2">
      <c r="A91" s="114" t="s">
        <v>61</v>
      </c>
      <c r="B91" s="101" t="s">
        <v>102</v>
      </c>
      <c r="C91" s="94">
        <f>$D$26</f>
        <v>0</v>
      </c>
      <c r="D91" s="95">
        <v>0</v>
      </c>
      <c r="E91" s="104">
        <v>0.25</v>
      </c>
      <c r="F91" s="104">
        <v>0.75</v>
      </c>
      <c r="G91" s="104">
        <v>0</v>
      </c>
      <c r="H91" s="96">
        <f t="shared" ref="H91:H96" si="6">+($B$4*D91)+($C$4*E91)+($E$4*F91)+($F$4*G91)</f>
        <v>64.86</v>
      </c>
      <c r="I91" s="96">
        <v>0</v>
      </c>
      <c r="J91" s="96">
        <v>0</v>
      </c>
      <c r="K91" s="104">
        <f>(D91+E91+F91+G91)*(C91)</f>
        <v>0</v>
      </c>
      <c r="L91" s="115">
        <f>(H91+I91+J91)*(C91)</f>
        <v>0</v>
      </c>
      <c r="M91" s="8">
        <f t="shared" ref="M91:M96" si="7">+$C$13</f>
        <v>1076</v>
      </c>
      <c r="N91" s="8">
        <f t="shared" ref="N91:N96" si="8">+$D$13</f>
        <v>4</v>
      </c>
      <c r="O91" s="19">
        <f>(((C91)/(M91+N91))*(D91+E91+F91+G91))</f>
        <v>0</v>
      </c>
      <c r="P91" s="17">
        <v>2</v>
      </c>
      <c r="Q91" s="8"/>
      <c r="R91" s="8"/>
      <c r="S91" s="12">
        <f>+I91*(C91)</f>
        <v>0</v>
      </c>
      <c r="T91" s="26">
        <f>+J91*(C91)</f>
        <v>0</v>
      </c>
    </row>
    <row r="92" spans="1:20" x14ac:dyDescent="0.2">
      <c r="A92" s="114" t="s">
        <v>84</v>
      </c>
      <c r="B92" s="101" t="s">
        <v>102</v>
      </c>
      <c r="C92" s="94">
        <f>$D$26</f>
        <v>0</v>
      </c>
      <c r="D92" s="95">
        <v>0</v>
      </c>
      <c r="E92" s="104">
        <v>8</v>
      </c>
      <c r="F92" s="104">
        <v>80</v>
      </c>
      <c r="G92" s="104">
        <v>1</v>
      </c>
      <c r="H92" s="96">
        <f t="shared" si="6"/>
        <v>5457.46</v>
      </c>
      <c r="I92" s="96">
        <v>0</v>
      </c>
      <c r="J92" s="96">
        <v>0</v>
      </c>
      <c r="K92" s="104">
        <f>(D92+E92+F92+G92)*(C92)</f>
        <v>0</v>
      </c>
      <c r="L92" s="115">
        <f>(H92+I92+J92)*(C92)</f>
        <v>0</v>
      </c>
      <c r="M92" s="8">
        <f t="shared" si="7"/>
        <v>1076</v>
      </c>
      <c r="N92" s="8">
        <f t="shared" si="8"/>
        <v>4</v>
      </c>
      <c r="O92" s="19">
        <f>(((C92)/(M92+N92))*(D92+E92+F92+G92))</f>
        <v>0</v>
      </c>
      <c r="P92" s="17">
        <v>2</v>
      </c>
      <c r="Q92" s="8"/>
      <c r="R92" s="8"/>
      <c r="S92" s="12">
        <f>+I92*(C92)</f>
        <v>0</v>
      </c>
      <c r="T92" s="26">
        <f>+J92*(C92)</f>
        <v>0</v>
      </c>
    </row>
    <row r="93" spans="1:20" x14ac:dyDescent="0.2">
      <c r="A93" s="114" t="s">
        <v>85</v>
      </c>
      <c r="B93" s="94">
        <v>0</v>
      </c>
      <c r="C93" s="94">
        <v>0</v>
      </c>
      <c r="D93" s="95">
        <v>0</v>
      </c>
      <c r="E93" s="104">
        <v>0</v>
      </c>
      <c r="F93" s="104">
        <v>0</v>
      </c>
      <c r="G93" s="104">
        <v>1</v>
      </c>
      <c r="H93" s="96">
        <f t="shared" si="6"/>
        <v>35.94</v>
      </c>
      <c r="I93" s="96">
        <v>0</v>
      </c>
      <c r="J93" s="96">
        <v>0</v>
      </c>
      <c r="K93" s="104">
        <f>(D93+E93+F93+G93)*(B93+C93)</f>
        <v>0</v>
      </c>
      <c r="L93" s="115">
        <f>(H93+I93+J93)*(C93+B93)</f>
        <v>0</v>
      </c>
      <c r="M93" s="8">
        <f t="shared" si="7"/>
        <v>1076</v>
      </c>
      <c r="N93" s="8">
        <f t="shared" si="8"/>
        <v>4</v>
      </c>
      <c r="O93" s="19">
        <f>(((B93+C93)/(M93+N93))*(D93+E93+F93+G93))</f>
        <v>0</v>
      </c>
      <c r="P93" s="17">
        <v>2</v>
      </c>
      <c r="Q93" s="8"/>
      <c r="R93" s="8"/>
      <c r="S93" s="12">
        <f>+I93*(B93+C93)</f>
        <v>0</v>
      </c>
      <c r="T93" s="26">
        <f>+J93*(B93+C93)</f>
        <v>0</v>
      </c>
    </row>
    <row r="94" spans="1:20" x14ac:dyDescent="0.2">
      <c r="A94" s="114" t="s">
        <v>86</v>
      </c>
      <c r="B94" s="94">
        <f>0.5*(C16+C18)</f>
        <v>478</v>
      </c>
      <c r="C94" s="94">
        <f>0.5*(D16+D18)</f>
        <v>2</v>
      </c>
      <c r="D94" s="95">
        <v>0</v>
      </c>
      <c r="E94" s="104">
        <v>0</v>
      </c>
      <c r="F94" s="104">
        <v>8</v>
      </c>
      <c r="G94" s="104">
        <v>0</v>
      </c>
      <c r="H94" s="96">
        <f t="shared" si="6"/>
        <v>478</v>
      </c>
      <c r="I94" s="96">
        <v>0</v>
      </c>
      <c r="J94" s="96">
        <v>0</v>
      </c>
      <c r="K94" s="104">
        <f>(D94+E94+F94+G94)*(B94+C94)</f>
        <v>3840</v>
      </c>
      <c r="L94" s="115">
        <f>(H94+I94+J94)*(C94+B94)</f>
        <v>229440</v>
      </c>
      <c r="M94" s="8">
        <f t="shared" si="7"/>
        <v>1076</v>
      </c>
      <c r="N94" s="8">
        <f t="shared" si="8"/>
        <v>4</v>
      </c>
      <c r="O94" s="19">
        <f>(((B94+C94)/(M94+N94))*(D94+E94+F94+G94))</f>
        <v>3.5555555555555554</v>
      </c>
      <c r="P94" s="17">
        <v>2</v>
      </c>
      <c r="Q94" s="8"/>
      <c r="R94" s="8"/>
      <c r="S94" s="12">
        <f>+I94*(B94+C94)</f>
        <v>0</v>
      </c>
      <c r="T94" s="26">
        <f>+J94*(B94+C94)</f>
        <v>0</v>
      </c>
    </row>
    <row r="95" spans="1:20" x14ac:dyDescent="0.2">
      <c r="A95" s="114" t="s">
        <v>87</v>
      </c>
      <c r="B95" s="94">
        <f>B94</f>
        <v>478</v>
      </c>
      <c r="C95" s="94">
        <f>C94</f>
        <v>2</v>
      </c>
      <c r="D95" s="95">
        <v>0</v>
      </c>
      <c r="E95" s="104">
        <v>0</v>
      </c>
      <c r="F95" s="104">
        <v>0</v>
      </c>
      <c r="G95" s="104">
        <v>1</v>
      </c>
      <c r="H95" s="96">
        <f t="shared" si="6"/>
        <v>35.94</v>
      </c>
      <c r="I95" s="96">
        <v>0</v>
      </c>
      <c r="J95" s="96">
        <v>0</v>
      </c>
      <c r="K95" s="104">
        <f>(D95+E95+F95+G95)*(B95+C95)</f>
        <v>480</v>
      </c>
      <c r="L95" s="115">
        <f>(H95+I95+J95)*(C95+B95)</f>
        <v>17251.199999999997</v>
      </c>
      <c r="M95" s="8">
        <f t="shared" si="7"/>
        <v>1076</v>
      </c>
      <c r="N95" s="8">
        <f t="shared" si="8"/>
        <v>4</v>
      </c>
      <c r="O95" s="19">
        <f>(((B95+C95)/(M95+N95))*(D95+E95+F95+G95))</f>
        <v>0.44444444444444442</v>
      </c>
      <c r="P95" s="17">
        <v>2</v>
      </c>
      <c r="Q95" s="8"/>
      <c r="R95" s="8"/>
      <c r="S95" s="12"/>
      <c r="T95" s="26"/>
    </row>
    <row r="96" spans="1:20" x14ac:dyDescent="0.2">
      <c r="A96" s="114" t="s">
        <v>88</v>
      </c>
      <c r="B96" s="94">
        <f>C16</f>
        <v>538</v>
      </c>
      <c r="C96" s="94">
        <f>D16</f>
        <v>2</v>
      </c>
      <c r="D96" s="95">
        <v>0</v>
      </c>
      <c r="E96" s="104">
        <v>0</v>
      </c>
      <c r="F96" s="104">
        <v>100</v>
      </c>
      <c r="G96" s="104">
        <v>0</v>
      </c>
      <c r="H96" s="96">
        <f t="shared" si="6"/>
        <v>5975</v>
      </c>
      <c r="I96" s="96">
        <v>0</v>
      </c>
      <c r="J96" s="96">
        <v>0</v>
      </c>
      <c r="K96" s="104">
        <f>(D96+E96+F96+G96)*(B96+C96)</f>
        <v>54000</v>
      </c>
      <c r="L96" s="115">
        <f>(H96+I96+J96)*(C96+B96)</f>
        <v>3226500</v>
      </c>
      <c r="M96" s="8">
        <f t="shared" si="7"/>
        <v>1076</v>
      </c>
      <c r="N96" s="8">
        <f t="shared" si="8"/>
        <v>4</v>
      </c>
      <c r="O96" s="19">
        <f>(((B96+C96)/(M96+N96))*(D96+E96+F96+G96))</f>
        <v>50</v>
      </c>
      <c r="P96" s="17">
        <v>2</v>
      </c>
      <c r="Q96" s="8"/>
      <c r="R96" s="8"/>
      <c r="S96" s="12">
        <f>+I96*(B96+C96)</f>
        <v>0</v>
      </c>
      <c r="T96" s="26">
        <f>+J96*(B96+C96)</f>
        <v>0</v>
      </c>
    </row>
    <row r="97" spans="1:20" ht="1.05" customHeight="1" x14ac:dyDescent="0.2">
      <c r="A97" s="116"/>
      <c r="B97" s="98"/>
      <c r="C97" s="98"/>
      <c r="D97" s="99"/>
      <c r="E97" s="106"/>
      <c r="F97" s="106"/>
      <c r="G97" s="106"/>
      <c r="H97" s="106"/>
      <c r="I97" s="100"/>
      <c r="J97" s="100"/>
      <c r="K97" s="106"/>
      <c r="L97" s="117"/>
      <c r="M97" s="8"/>
      <c r="N97" s="8"/>
      <c r="O97" s="19"/>
      <c r="P97" s="17"/>
      <c r="Q97" s="8"/>
      <c r="R97" s="8"/>
      <c r="S97" s="12"/>
      <c r="T97" s="26"/>
    </row>
    <row r="98" spans="1:20" x14ac:dyDescent="0.2">
      <c r="A98" s="114" t="s">
        <v>64</v>
      </c>
      <c r="B98" s="101" t="s">
        <v>101</v>
      </c>
      <c r="C98" s="101" t="s">
        <v>101</v>
      </c>
      <c r="D98" s="107" t="s">
        <v>101</v>
      </c>
      <c r="E98" s="103" t="s">
        <v>101</v>
      </c>
      <c r="F98" s="103" t="s">
        <v>101</v>
      </c>
      <c r="G98" s="103" t="s">
        <v>101</v>
      </c>
      <c r="H98" s="103" t="s">
        <v>101</v>
      </c>
      <c r="I98" s="103" t="s">
        <v>101</v>
      </c>
      <c r="J98" s="103" t="s">
        <v>101</v>
      </c>
      <c r="K98" s="104">
        <f>SUM(K91:K96)</f>
        <v>58320</v>
      </c>
      <c r="L98" s="115">
        <f>SUM(L91:L96)</f>
        <v>3473191.2</v>
      </c>
      <c r="M98" s="8"/>
      <c r="N98" s="8"/>
      <c r="O98" s="19"/>
      <c r="P98" s="17"/>
      <c r="Q98" s="8"/>
      <c r="R98" s="8"/>
      <c r="S98" s="12"/>
      <c r="T98" s="26"/>
    </row>
    <row r="99" spans="1:20" ht="1.05" customHeight="1" x14ac:dyDescent="0.2">
      <c r="A99" s="116"/>
      <c r="B99" s="98"/>
      <c r="C99" s="98"/>
      <c r="D99" s="99"/>
      <c r="E99" s="97"/>
      <c r="F99" s="97"/>
      <c r="G99" s="97"/>
      <c r="H99" s="97"/>
      <c r="I99" s="100"/>
      <c r="J99" s="100"/>
      <c r="K99" s="97"/>
      <c r="L99" s="119"/>
      <c r="M99" s="8"/>
      <c r="N99" s="8"/>
      <c r="O99" s="19"/>
      <c r="P99" s="17"/>
      <c r="Q99" s="8"/>
      <c r="R99" s="8"/>
      <c r="S99" s="12"/>
      <c r="T99" s="26"/>
    </row>
    <row r="100" spans="1:20" x14ac:dyDescent="0.2">
      <c r="A100" s="335" t="s">
        <v>89</v>
      </c>
      <c r="B100" s="336"/>
      <c r="C100" s="336"/>
      <c r="D100" s="337"/>
      <c r="E100" s="338"/>
      <c r="F100" s="338"/>
      <c r="G100" s="338"/>
      <c r="H100" s="338"/>
      <c r="I100" s="339"/>
      <c r="J100" s="339"/>
      <c r="K100" s="338"/>
      <c r="L100" s="340"/>
      <c r="M100" s="8"/>
      <c r="N100" s="8"/>
      <c r="O100" s="19"/>
      <c r="P100" s="17"/>
      <c r="Q100" s="8"/>
      <c r="R100" s="8"/>
      <c r="S100" s="12"/>
      <c r="T100" s="26"/>
    </row>
    <row r="101" spans="1:20" x14ac:dyDescent="0.2">
      <c r="A101" s="114" t="s">
        <v>61</v>
      </c>
      <c r="B101" s="94">
        <v>8</v>
      </c>
      <c r="C101" s="94">
        <f>$D$26</f>
        <v>0</v>
      </c>
      <c r="D101" s="95">
        <v>0</v>
      </c>
      <c r="E101" s="104">
        <v>0.25</v>
      </c>
      <c r="F101" s="104">
        <v>0.75</v>
      </c>
      <c r="G101" s="104">
        <v>0</v>
      </c>
      <c r="H101" s="96">
        <f>+($B$4*D101)+($C$4*E101)+($E$4*F101)+($F$4*G101)</f>
        <v>64.86</v>
      </c>
      <c r="I101" s="96">
        <v>0</v>
      </c>
      <c r="J101" s="96">
        <v>0</v>
      </c>
      <c r="K101" s="104">
        <f>(D101+E101+F101+G101)*(B101+C101)</f>
        <v>8</v>
      </c>
      <c r="L101" s="115">
        <f>(H101+I101+J101)*(C101+B101)</f>
        <v>518.88</v>
      </c>
      <c r="M101" s="8">
        <f>+$C$13</f>
        <v>1076</v>
      </c>
      <c r="N101" s="8">
        <f>+$D$13</f>
        <v>4</v>
      </c>
      <c r="O101" s="19">
        <f>(((B101+C101)/(M101+N101))*(D101+E101+F101+G101))</f>
        <v>7.4074074074074077E-3</v>
      </c>
      <c r="P101" s="17">
        <v>2</v>
      </c>
      <c r="Q101" s="8"/>
      <c r="R101" s="8"/>
      <c r="S101" s="12">
        <f>+I101*(B101+C101)</f>
        <v>0</v>
      </c>
      <c r="T101" s="26">
        <f>+J101*(B101+C101)</f>
        <v>0</v>
      </c>
    </row>
    <row r="102" spans="1:20" x14ac:dyDescent="0.2">
      <c r="A102" s="114" t="s">
        <v>78</v>
      </c>
      <c r="B102" s="94">
        <v>8</v>
      </c>
      <c r="C102" s="94">
        <f>$D$26</f>
        <v>0</v>
      </c>
      <c r="D102" s="95">
        <v>0</v>
      </c>
      <c r="E102" s="104">
        <v>0.5</v>
      </c>
      <c r="F102" s="104">
        <v>2</v>
      </c>
      <c r="G102" s="104">
        <v>0.5</v>
      </c>
      <c r="H102" s="96">
        <f>+($B$4*D102)+($C$4*E102)+($E$4*F102)+($F$4*G102)</f>
        <v>177.565</v>
      </c>
      <c r="I102" s="96">
        <v>0</v>
      </c>
      <c r="J102" s="96">
        <v>0</v>
      </c>
      <c r="K102" s="104">
        <f>(D102+E102+F102+G102)*(B102+C102)</f>
        <v>24</v>
      </c>
      <c r="L102" s="115">
        <f>(H102+I102+J102)*(C102+B102)</f>
        <v>1420.52</v>
      </c>
      <c r="M102" s="8">
        <f>+$C$13</f>
        <v>1076</v>
      </c>
      <c r="N102" s="8">
        <f>+$D$13</f>
        <v>4</v>
      </c>
      <c r="O102" s="19">
        <f>(((B102+C102)/(M102+N102))*(D102+E102+F102+G102))</f>
        <v>2.2222222222222223E-2</v>
      </c>
      <c r="P102" s="17">
        <v>2</v>
      </c>
      <c r="Q102" s="8"/>
      <c r="R102" s="8"/>
      <c r="S102" s="12">
        <f>+I102*(B102+C102)</f>
        <v>0</v>
      </c>
      <c r="T102" s="26">
        <f>+J102*(B102+C102)</f>
        <v>0</v>
      </c>
    </row>
    <row r="103" spans="1:20" x14ac:dyDescent="0.2">
      <c r="A103" s="114" t="s">
        <v>90</v>
      </c>
      <c r="B103" s="94">
        <v>8</v>
      </c>
      <c r="C103" s="94">
        <v>0</v>
      </c>
      <c r="D103" s="95">
        <v>0</v>
      </c>
      <c r="E103" s="104">
        <v>0</v>
      </c>
      <c r="F103" s="104">
        <v>0</v>
      </c>
      <c r="G103" s="104">
        <v>80</v>
      </c>
      <c r="H103" s="96">
        <f>+($B$4*D103)+($C$4*E103)+($E$4*F103)+($F$4*G103)</f>
        <v>2875.2</v>
      </c>
      <c r="I103" s="96">
        <v>0</v>
      </c>
      <c r="J103" s="96">
        <v>0</v>
      </c>
      <c r="K103" s="104">
        <f>(D103+E103+F103+G103)*(B103+C103)</f>
        <v>640</v>
      </c>
      <c r="L103" s="115">
        <f>(H103+I103+J103)*(C103+B103)</f>
        <v>23001.599999999999</v>
      </c>
      <c r="M103" s="8">
        <f>+$C$13</f>
        <v>1076</v>
      </c>
      <c r="N103" s="8">
        <f>+$D$13</f>
        <v>4</v>
      </c>
      <c r="O103" s="19">
        <f>(((B103+C103)/(M103+N103))*(D103+E103+F103+G103))</f>
        <v>0.59259259259259256</v>
      </c>
      <c r="P103" s="17">
        <v>2</v>
      </c>
      <c r="Q103" s="8"/>
      <c r="R103" s="8"/>
      <c r="S103" s="12"/>
      <c r="T103" s="26"/>
    </row>
    <row r="104" spans="1:20" x14ac:dyDescent="0.2">
      <c r="A104" s="114" t="s">
        <v>91</v>
      </c>
      <c r="B104" s="94">
        <f>C16</f>
        <v>538</v>
      </c>
      <c r="C104" s="94">
        <f>D16</f>
        <v>2</v>
      </c>
      <c r="D104" s="95">
        <v>0</v>
      </c>
      <c r="E104" s="104">
        <v>0</v>
      </c>
      <c r="F104" s="104">
        <v>0</v>
      </c>
      <c r="G104" s="104">
        <v>4</v>
      </c>
      <c r="H104" s="96">
        <f>+($B$4*D104)+($C$4*E104)+($E$4*F104)+($F$4*G104)</f>
        <v>143.76</v>
      </c>
      <c r="I104" s="96">
        <v>0</v>
      </c>
      <c r="J104" s="96">
        <v>0</v>
      </c>
      <c r="K104" s="104">
        <f>(D104+E104+F104+G104)*(B104+C104)</f>
        <v>2160</v>
      </c>
      <c r="L104" s="115">
        <f>(H104+I104+J104)*(C104+B104)</f>
        <v>77630.399999999994</v>
      </c>
      <c r="M104" s="8">
        <f>+$C$13</f>
        <v>1076</v>
      </c>
      <c r="N104" s="8">
        <f>+$D$13</f>
        <v>4</v>
      </c>
      <c r="O104" s="19">
        <f>(((B104+C104)/(M104+N104))*(D104+E104+F104+G104))</f>
        <v>2</v>
      </c>
      <c r="P104" s="17">
        <v>2</v>
      </c>
      <c r="Q104" s="8"/>
      <c r="R104" s="8"/>
      <c r="S104" s="12">
        <f>+I104*(B104+C104)</f>
        <v>0</v>
      </c>
      <c r="T104" s="26">
        <f>+J104*(B104+C104)</f>
        <v>0</v>
      </c>
    </row>
    <row r="105" spans="1:20" ht="1.05" customHeight="1" x14ac:dyDescent="0.2">
      <c r="A105" s="116"/>
      <c r="B105" s="98"/>
      <c r="C105" s="98"/>
      <c r="D105" s="99"/>
      <c r="E105" s="106"/>
      <c r="F105" s="106"/>
      <c r="G105" s="106"/>
      <c r="H105" s="106"/>
      <c r="I105" s="100"/>
      <c r="J105" s="100"/>
      <c r="K105" s="106"/>
      <c r="L105" s="117"/>
      <c r="M105" s="8"/>
      <c r="N105" s="8"/>
      <c r="O105" s="19"/>
      <c r="P105" s="17"/>
      <c r="Q105" s="8"/>
      <c r="R105" s="8"/>
      <c r="S105" s="12"/>
      <c r="T105" s="26"/>
    </row>
    <row r="106" spans="1:20" x14ac:dyDescent="0.2">
      <c r="A106" s="114" t="s">
        <v>64</v>
      </c>
      <c r="B106" s="101" t="s">
        <v>101</v>
      </c>
      <c r="C106" s="101" t="s">
        <v>101</v>
      </c>
      <c r="D106" s="107" t="s">
        <v>101</v>
      </c>
      <c r="E106" s="103" t="s">
        <v>101</v>
      </c>
      <c r="F106" s="103" t="s">
        <v>101</v>
      </c>
      <c r="G106" s="103" t="s">
        <v>101</v>
      </c>
      <c r="H106" s="101" t="s">
        <v>101</v>
      </c>
      <c r="I106" s="103" t="s">
        <v>101</v>
      </c>
      <c r="J106" s="103" t="s">
        <v>101</v>
      </c>
      <c r="K106" s="104">
        <f>SUM(K101:K104)</f>
        <v>2832</v>
      </c>
      <c r="L106" s="115">
        <f>SUM(L101:L104)</f>
        <v>102571.4</v>
      </c>
      <c r="M106" s="8"/>
      <c r="N106" s="8"/>
      <c r="O106" s="19"/>
      <c r="P106" s="17"/>
      <c r="Q106" s="8"/>
      <c r="R106" s="8"/>
      <c r="S106" s="12"/>
      <c r="T106" s="26"/>
    </row>
    <row r="107" spans="1:20" ht="1.05" customHeight="1" x14ac:dyDescent="0.2">
      <c r="A107" s="116"/>
      <c r="B107" s="98"/>
      <c r="C107" s="98"/>
      <c r="D107" s="99"/>
      <c r="E107" s="97"/>
      <c r="F107" s="97"/>
      <c r="G107" s="97"/>
      <c r="H107" s="97"/>
      <c r="I107" s="100"/>
      <c r="J107" s="100"/>
      <c r="K107" s="97"/>
      <c r="L107" s="119"/>
      <c r="M107" s="8"/>
      <c r="N107" s="8"/>
      <c r="O107" s="19"/>
      <c r="P107" s="17"/>
      <c r="Q107" s="8"/>
      <c r="R107" s="8"/>
      <c r="S107" s="12"/>
      <c r="T107" s="26"/>
    </row>
    <row r="108" spans="1:20" x14ac:dyDescent="0.2">
      <c r="A108" s="335" t="s">
        <v>408</v>
      </c>
      <c r="B108" s="336"/>
      <c r="C108" s="336"/>
      <c r="D108" s="337"/>
      <c r="E108" s="338"/>
      <c r="F108" s="338"/>
      <c r="G108" s="338"/>
      <c r="H108" s="338"/>
      <c r="I108" s="339"/>
      <c r="J108" s="339"/>
      <c r="K108" s="338"/>
      <c r="L108" s="340"/>
      <c r="M108" s="8"/>
      <c r="N108" s="8"/>
      <c r="O108" s="19"/>
      <c r="P108" s="17"/>
      <c r="Q108" s="8"/>
      <c r="R108" s="8"/>
      <c r="S108" s="12"/>
      <c r="T108" s="26"/>
    </row>
    <row r="109" spans="1:20" x14ac:dyDescent="0.2">
      <c r="A109" s="114" t="s">
        <v>61</v>
      </c>
      <c r="B109" s="94">
        <f>0.4*$C$16</f>
        <v>215.20000000000002</v>
      </c>
      <c r="C109" s="101" t="s">
        <v>102</v>
      </c>
      <c r="D109" s="95">
        <v>0</v>
      </c>
      <c r="E109" s="104">
        <v>0.25</v>
      </c>
      <c r="F109" s="104">
        <v>0.75</v>
      </c>
      <c r="G109" s="104">
        <v>0</v>
      </c>
      <c r="H109" s="96">
        <f>+($B$4*D109)+($C$4*E109)+($E$4*F109)+($F$4*G109)</f>
        <v>64.86</v>
      </c>
      <c r="I109" s="96">
        <v>0</v>
      </c>
      <c r="J109" s="96">
        <v>0</v>
      </c>
      <c r="K109" s="104">
        <f>(D109+E109+F109+G109)*(B109)</f>
        <v>215.20000000000002</v>
      </c>
      <c r="L109" s="115">
        <f>(H109+I109+J109)*(B109)</f>
        <v>13957.872000000001</v>
      </c>
      <c r="M109" s="8">
        <f>+$C$13</f>
        <v>1076</v>
      </c>
      <c r="N109" s="8">
        <f>+$D$13</f>
        <v>4</v>
      </c>
      <c r="O109" s="19">
        <f>(((B109)/(M109+N109))*(D109+E109+F109+G109))</f>
        <v>0.19925925925925927</v>
      </c>
      <c r="P109" s="17">
        <v>2</v>
      </c>
      <c r="Q109" s="8"/>
      <c r="R109" s="8"/>
      <c r="S109" s="12">
        <f>+I109*(B109)</f>
        <v>0</v>
      </c>
      <c r="T109" s="26">
        <f>+J109*(B109)</f>
        <v>0</v>
      </c>
    </row>
    <row r="110" spans="1:20" x14ac:dyDescent="0.2">
      <c r="A110" s="114" t="s">
        <v>92</v>
      </c>
      <c r="B110" s="94">
        <f>0.4*$C$16</f>
        <v>215.20000000000002</v>
      </c>
      <c r="C110" s="101" t="s">
        <v>102</v>
      </c>
      <c r="D110" s="95">
        <v>0</v>
      </c>
      <c r="E110" s="104">
        <v>1</v>
      </c>
      <c r="F110" s="104">
        <v>40</v>
      </c>
      <c r="G110" s="104">
        <v>1</v>
      </c>
      <c r="H110" s="96">
        <f>+($B$4*D110)+($C$4*E110)+($E$4*F110)+($F$4*G110)</f>
        <v>2506.13</v>
      </c>
      <c r="I110" s="96">
        <v>0</v>
      </c>
      <c r="J110" s="96">
        <v>0</v>
      </c>
      <c r="K110" s="104">
        <f>(D110+E110+F110+G110)*(B110)</f>
        <v>9038.4000000000015</v>
      </c>
      <c r="L110" s="115">
        <f>(H110+I110+J110)*(B110)</f>
        <v>539319.17600000009</v>
      </c>
      <c r="M110" s="8">
        <f>+$C$13</f>
        <v>1076</v>
      </c>
      <c r="N110" s="8">
        <f>+$D$13</f>
        <v>4</v>
      </c>
      <c r="O110" s="19">
        <f>(((B110)/(M110+N110))*(D110+E110+F110+G110))</f>
        <v>8.3688888888888897</v>
      </c>
      <c r="P110" s="17">
        <v>2</v>
      </c>
      <c r="Q110" s="8"/>
      <c r="R110" s="8"/>
      <c r="S110" s="12">
        <f>+I110*(B110)</f>
        <v>0</v>
      </c>
      <c r="T110" s="26">
        <f>+J110*(B110)</f>
        <v>0</v>
      </c>
    </row>
    <row r="111" spans="1:20" x14ac:dyDescent="0.2">
      <c r="A111" s="114" t="s">
        <v>93</v>
      </c>
      <c r="B111" s="94">
        <f>0.4*$C$16</f>
        <v>215.20000000000002</v>
      </c>
      <c r="C111" s="101" t="s">
        <v>102</v>
      </c>
      <c r="D111" s="95">
        <v>0</v>
      </c>
      <c r="E111" s="104">
        <v>0</v>
      </c>
      <c r="F111" s="104">
        <v>0</v>
      </c>
      <c r="G111" s="104">
        <v>1</v>
      </c>
      <c r="H111" s="96">
        <f>+($B$4*D111)+($C$4*E111)+($E$4*F111)+($F$4*G111)</f>
        <v>35.94</v>
      </c>
      <c r="I111" s="96">
        <v>0</v>
      </c>
      <c r="J111" s="96">
        <v>0</v>
      </c>
      <c r="K111" s="104">
        <f>(D111+E111+F111+G111)*(B111)</f>
        <v>215.20000000000002</v>
      </c>
      <c r="L111" s="115">
        <f>(H111+I111+J111)*(B111)</f>
        <v>7734.2880000000005</v>
      </c>
      <c r="M111" s="8">
        <f>+$C$13</f>
        <v>1076</v>
      </c>
      <c r="N111" s="8">
        <f>+$D$13</f>
        <v>4</v>
      </c>
      <c r="O111" s="19">
        <f>(((B111)/(M111+N111))*(D111+E111+F111+G111))</f>
        <v>0.19925925925925927</v>
      </c>
      <c r="P111" s="17">
        <v>2</v>
      </c>
      <c r="Q111" s="8"/>
      <c r="R111" s="8"/>
      <c r="S111" s="12">
        <f>+I111*(B111)</f>
        <v>0</v>
      </c>
      <c r="T111" s="26">
        <f>+J111*(B111)</f>
        <v>0</v>
      </c>
    </row>
    <row r="112" spans="1:20" ht="1.05" customHeight="1" x14ac:dyDescent="0.2">
      <c r="A112" s="116"/>
      <c r="B112" s="98"/>
      <c r="C112" s="108"/>
      <c r="D112" s="99"/>
      <c r="E112" s="97"/>
      <c r="F112" s="97"/>
      <c r="G112" s="97"/>
      <c r="H112" s="97"/>
      <c r="I112" s="100"/>
      <c r="J112" s="100"/>
      <c r="K112" s="97"/>
      <c r="L112" s="119"/>
      <c r="M112" s="8"/>
      <c r="N112" s="8"/>
      <c r="O112" s="19"/>
      <c r="P112" s="17"/>
      <c r="Q112" s="8"/>
      <c r="R112" s="8"/>
      <c r="S112" s="12"/>
      <c r="T112" s="26"/>
    </row>
    <row r="113" spans="1:20" x14ac:dyDescent="0.2">
      <c r="A113" s="114" t="s">
        <v>64</v>
      </c>
      <c r="B113" s="94">
        <f>(B111)</f>
        <v>215.20000000000002</v>
      </c>
      <c r="C113" s="101" t="s">
        <v>102</v>
      </c>
      <c r="D113" s="95">
        <v>0</v>
      </c>
      <c r="E113" s="104">
        <f t="shared" ref="E113:L113" si="9">SUM(E109:E111)</f>
        <v>1.25</v>
      </c>
      <c r="F113" s="104">
        <f t="shared" si="9"/>
        <v>40.75</v>
      </c>
      <c r="G113" s="104">
        <f t="shared" si="9"/>
        <v>2</v>
      </c>
      <c r="H113" s="96">
        <f t="shared" si="9"/>
        <v>2606.9300000000003</v>
      </c>
      <c r="I113" s="96">
        <f t="shared" si="9"/>
        <v>0</v>
      </c>
      <c r="J113" s="96">
        <f t="shared" si="9"/>
        <v>0</v>
      </c>
      <c r="K113" s="104">
        <f t="shared" si="9"/>
        <v>9468.8000000000029</v>
      </c>
      <c r="L113" s="115">
        <f t="shared" si="9"/>
        <v>561011.33600000013</v>
      </c>
      <c r="M113" s="8"/>
      <c r="N113" s="8"/>
      <c r="O113" s="19"/>
      <c r="P113" s="17"/>
      <c r="Q113" s="8"/>
      <c r="R113" s="8"/>
      <c r="S113" s="12"/>
      <c r="T113" s="26"/>
    </row>
    <row r="114" spans="1:20" ht="1.05" customHeight="1" x14ac:dyDescent="0.2">
      <c r="A114" s="116"/>
      <c r="B114" s="98"/>
      <c r="C114" s="98"/>
      <c r="D114" s="99"/>
      <c r="E114" s="97"/>
      <c r="F114" s="97"/>
      <c r="G114" s="97"/>
      <c r="H114" s="97"/>
      <c r="I114" s="100"/>
      <c r="J114" s="100"/>
      <c r="K114" s="97"/>
      <c r="L114" s="119"/>
      <c r="M114" s="8"/>
      <c r="N114" s="8"/>
      <c r="O114" s="19"/>
      <c r="P114" s="17"/>
      <c r="Q114" s="8"/>
      <c r="R114" s="8"/>
      <c r="S114" s="12"/>
      <c r="T114" s="26"/>
    </row>
    <row r="115" spans="1:20" x14ac:dyDescent="0.2">
      <c r="A115" s="335" t="s">
        <v>94</v>
      </c>
      <c r="B115" s="336"/>
      <c r="C115" s="336"/>
      <c r="D115" s="337"/>
      <c r="E115" s="338"/>
      <c r="F115" s="338"/>
      <c r="G115" s="338"/>
      <c r="H115" s="338"/>
      <c r="I115" s="339"/>
      <c r="J115" s="339"/>
      <c r="K115" s="338"/>
      <c r="L115" s="340"/>
      <c r="M115" s="8"/>
      <c r="N115" s="8"/>
      <c r="O115" s="19"/>
      <c r="P115" s="17"/>
      <c r="Q115" s="8"/>
      <c r="R115" s="8"/>
      <c r="S115" s="12"/>
      <c r="T115" s="26"/>
    </row>
    <row r="116" spans="1:20" x14ac:dyDescent="0.2">
      <c r="A116" s="114" t="s">
        <v>61</v>
      </c>
      <c r="B116" s="103" t="s">
        <v>102</v>
      </c>
      <c r="C116" s="94">
        <f>$D$26</f>
        <v>0</v>
      </c>
      <c r="D116" s="95">
        <v>0</v>
      </c>
      <c r="E116" s="104">
        <v>0</v>
      </c>
      <c r="F116" s="104">
        <v>1</v>
      </c>
      <c r="G116" s="104">
        <v>0</v>
      </c>
      <c r="H116" s="96">
        <f>+($B$4*D116)+($C$4*E116)+($E$4*F116)+($F$4*G116)</f>
        <v>59.75</v>
      </c>
      <c r="I116" s="96">
        <v>0</v>
      </c>
      <c r="J116" s="96">
        <v>0</v>
      </c>
      <c r="K116" s="104">
        <f>(D116+E116+F116+G116)*(C116)</f>
        <v>0</v>
      </c>
      <c r="L116" s="115">
        <f>(H116+I116+J116)*(C116)</f>
        <v>0</v>
      </c>
      <c r="M116" s="8">
        <f t="shared" ref="M116:M121" si="10">+$C$13</f>
        <v>1076</v>
      </c>
      <c r="N116" s="8">
        <f t="shared" ref="N116:N121" si="11">+$D$13</f>
        <v>4</v>
      </c>
      <c r="O116" s="19">
        <f>(((C116)/(M116+N116))*(D116+E116+F116+G116))</f>
        <v>0</v>
      </c>
      <c r="P116" s="17">
        <v>1</v>
      </c>
      <c r="Q116" s="8"/>
      <c r="R116" s="8"/>
      <c r="S116" s="12">
        <f>+I116*(C116)</f>
        <v>0</v>
      </c>
      <c r="T116" s="26">
        <f>+J116*(C116)</f>
        <v>0</v>
      </c>
    </row>
    <row r="117" spans="1:20" x14ac:dyDescent="0.2">
      <c r="A117" s="54" t="s">
        <v>95</v>
      </c>
      <c r="B117" s="56"/>
      <c r="C117" s="55"/>
      <c r="D117" s="55"/>
      <c r="E117" s="55"/>
      <c r="F117" s="55"/>
      <c r="G117" s="55"/>
      <c r="H117" s="55"/>
      <c r="I117" s="57"/>
      <c r="J117" s="57"/>
      <c r="K117" s="55"/>
      <c r="L117" s="58"/>
      <c r="M117" s="8">
        <f t="shared" si="10"/>
        <v>1076</v>
      </c>
      <c r="N117" s="8">
        <f t="shared" si="11"/>
        <v>4</v>
      </c>
      <c r="O117" s="19"/>
      <c r="P117" s="17"/>
      <c r="Q117" s="8"/>
      <c r="R117" s="8"/>
      <c r="S117" s="12"/>
      <c r="T117" s="26"/>
    </row>
    <row r="118" spans="1:20" x14ac:dyDescent="0.2">
      <c r="A118" s="59" t="s">
        <v>96</v>
      </c>
      <c r="B118" s="43" t="s">
        <v>102</v>
      </c>
      <c r="C118" s="60">
        <f>$D$26</f>
        <v>0</v>
      </c>
      <c r="D118" s="62">
        <v>0</v>
      </c>
      <c r="E118" s="64">
        <v>0</v>
      </c>
      <c r="F118" s="64">
        <v>15</v>
      </c>
      <c r="G118" s="64">
        <v>5</v>
      </c>
      <c r="H118" s="44">
        <f>+($B$4*D118)+($C$4*E118)+($E$4*F118)+($F$4*G118)</f>
        <v>1075.95</v>
      </c>
      <c r="I118" s="63">
        <v>0</v>
      </c>
      <c r="J118" s="63">
        <v>0</v>
      </c>
      <c r="K118" s="64">
        <f>(D118+E118+F118+G118)*(C118)</f>
        <v>0</v>
      </c>
      <c r="L118" s="65">
        <f>(H118+I118+J118)*(C118)</f>
        <v>0</v>
      </c>
      <c r="M118" s="8">
        <f t="shared" si="10"/>
        <v>1076</v>
      </c>
      <c r="N118" s="8">
        <f t="shared" si="11"/>
        <v>4</v>
      </c>
      <c r="O118" s="19">
        <f>(((C118)/(M118+N118))*(D118+E118+F118+G118))</f>
        <v>0</v>
      </c>
      <c r="P118" s="17">
        <v>1</v>
      </c>
      <c r="Q118" s="8"/>
      <c r="R118" s="8"/>
      <c r="S118" s="12">
        <f>+I118*(C118)</f>
        <v>0</v>
      </c>
      <c r="T118" s="26">
        <f>+J118*(C118)</f>
        <v>0</v>
      </c>
    </row>
    <row r="119" spans="1:20" x14ac:dyDescent="0.2">
      <c r="A119" s="114" t="s">
        <v>97</v>
      </c>
      <c r="B119" s="103" t="s">
        <v>102</v>
      </c>
      <c r="C119" s="94">
        <f>$D$26</f>
        <v>0</v>
      </c>
      <c r="D119" s="95">
        <v>0</v>
      </c>
      <c r="E119" s="104">
        <v>0</v>
      </c>
      <c r="F119" s="104">
        <v>1</v>
      </c>
      <c r="G119" s="104">
        <v>0</v>
      </c>
      <c r="H119" s="96">
        <f>+($B$4*D119)+($C$4*E119)+($E$4*F119)+($F$4*G119)</f>
        <v>59.75</v>
      </c>
      <c r="I119" s="96">
        <v>0</v>
      </c>
      <c r="J119" s="96">
        <v>0</v>
      </c>
      <c r="K119" s="104">
        <f>(D119+E119+F119+G119)*(C119)</f>
        <v>0</v>
      </c>
      <c r="L119" s="115">
        <f>(H119+I119+J119)*(C119)</f>
        <v>0</v>
      </c>
      <c r="M119" s="8">
        <f t="shared" si="10"/>
        <v>1076</v>
      </c>
      <c r="N119" s="8">
        <f t="shared" si="11"/>
        <v>4</v>
      </c>
      <c r="O119" s="19">
        <f>(((C119)/(M119+N119))*(D119+E119+F119+G119))</f>
        <v>0</v>
      </c>
      <c r="P119" s="17">
        <v>1</v>
      </c>
      <c r="Q119" s="8"/>
      <c r="R119" s="8"/>
      <c r="S119" s="12">
        <f>+I119*(C119)</f>
        <v>0</v>
      </c>
      <c r="T119" s="26">
        <f>+J119*(C119)</f>
        <v>0</v>
      </c>
    </row>
    <row r="120" spans="1:20" x14ac:dyDescent="0.2">
      <c r="A120" s="114" t="s">
        <v>98</v>
      </c>
      <c r="B120" s="103" t="s">
        <v>102</v>
      </c>
      <c r="C120" s="94">
        <f>$D$26</f>
        <v>0</v>
      </c>
      <c r="D120" s="95">
        <v>0</v>
      </c>
      <c r="E120" s="104">
        <v>0</v>
      </c>
      <c r="F120" s="104">
        <v>0</v>
      </c>
      <c r="G120" s="104">
        <v>0.5</v>
      </c>
      <c r="H120" s="96">
        <f>+($B$4*D120)+($C$4*E120)+($E$4*F120)+($F$4*G120)</f>
        <v>17.97</v>
      </c>
      <c r="I120" s="96">
        <v>0</v>
      </c>
      <c r="J120" s="96">
        <v>9.85</v>
      </c>
      <c r="K120" s="104">
        <f>(D120+E120+F120+G120)*(C120)</f>
        <v>0</v>
      </c>
      <c r="L120" s="115">
        <f>(H120+I120+J120)*(C120)</f>
        <v>0</v>
      </c>
      <c r="M120" s="8">
        <f t="shared" si="10"/>
        <v>1076</v>
      </c>
      <c r="N120" s="8">
        <f t="shared" si="11"/>
        <v>4</v>
      </c>
      <c r="O120" s="19">
        <f>(((C120)/(M120+N120))*(D120+E120+F120+G120))</f>
        <v>0</v>
      </c>
      <c r="P120" s="17">
        <v>1</v>
      </c>
      <c r="Q120" s="8"/>
      <c r="R120" s="8"/>
      <c r="S120" s="12">
        <f>+I120*(C120)</f>
        <v>0</v>
      </c>
      <c r="T120" s="26">
        <f>+J120*(C120)</f>
        <v>0</v>
      </c>
    </row>
    <row r="121" spans="1:20" x14ac:dyDescent="0.2">
      <c r="A121" s="114" t="s">
        <v>99</v>
      </c>
      <c r="B121" s="103" t="s">
        <v>102</v>
      </c>
      <c r="C121" s="94">
        <f>$D$26</f>
        <v>0</v>
      </c>
      <c r="D121" s="95">
        <v>0</v>
      </c>
      <c r="E121" s="104">
        <v>0</v>
      </c>
      <c r="F121" s="104">
        <v>0</v>
      </c>
      <c r="G121" s="104">
        <v>1</v>
      </c>
      <c r="H121" s="96">
        <f>+($B$4*D121)+($C$4*E121)+($E$4*F121)+($F$4*G121)</f>
        <v>35.94</v>
      </c>
      <c r="I121" s="96">
        <v>0</v>
      </c>
      <c r="J121" s="96">
        <v>0</v>
      </c>
      <c r="K121" s="104">
        <f>(D121+E121+F121+G121)*(C121)</f>
        <v>0</v>
      </c>
      <c r="L121" s="115">
        <f>(H121+I121+J121)*(C121)</f>
        <v>0</v>
      </c>
      <c r="M121" s="8">
        <f t="shared" si="10"/>
        <v>1076</v>
      </c>
      <c r="N121" s="8">
        <f t="shared" si="11"/>
        <v>4</v>
      </c>
      <c r="O121" s="19">
        <f>(((C121)/(M121+N121))*(D121+E121+F121+G121))</f>
        <v>0</v>
      </c>
      <c r="P121" s="17">
        <v>2</v>
      </c>
      <c r="Q121" s="8"/>
      <c r="R121" s="8"/>
      <c r="S121" s="12">
        <f>+I121*(C121)</f>
        <v>0</v>
      </c>
      <c r="T121" s="26">
        <f>+J121*(C121)</f>
        <v>0</v>
      </c>
    </row>
    <row r="122" spans="1:20" ht="1.05" customHeight="1" x14ac:dyDescent="0.2">
      <c r="A122" s="116"/>
      <c r="B122" s="105"/>
      <c r="C122" s="97"/>
      <c r="D122" s="97"/>
      <c r="E122" s="97"/>
      <c r="F122" s="97"/>
      <c r="G122" s="97"/>
      <c r="H122" s="97"/>
      <c r="I122" s="100"/>
      <c r="J122" s="100"/>
      <c r="K122" s="97"/>
      <c r="L122" s="119"/>
      <c r="M122" s="8"/>
      <c r="N122" s="8"/>
      <c r="O122" s="19"/>
      <c r="P122" s="17"/>
      <c r="Q122" s="8"/>
      <c r="R122" s="8"/>
      <c r="S122" s="12"/>
      <c r="T122" s="26"/>
    </row>
    <row r="123" spans="1:20" x14ac:dyDescent="0.2">
      <c r="A123" s="114" t="s">
        <v>64</v>
      </c>
      <c r="B123" s="103" t="s">
        <v>102</v>
      </c>
      <c r="C123" s="94">
        <f>$D$26</f>
        <v>0</v>
      </c>
      <c r="D123" s="95">
        <f t="shared" ref="D123:K123" si="12">SUM(D116:D121)</f>
        <v>0</v>
      </c>
      <c r="E123" s="95">
        <f t="shared" si="12"/>
        <v>0</v>
      </c>
      <c r="F123" s="95">
        <f t="shared" si="12"/>
        <v>17</v>
      </c>
      <c r="G123" s="95">
        <f t="shared" si="12"/>
        <v>6.5</v>
      </c>
      <c r="H123" s="96">
        <f t="shared" si="12"/>
        <v>1249.3600000000001</v>
      </c>
      <c r="I123" s="96">
        <f t="shared" si="12"/>
        <v>0</v>
      </c>
      <c r="J123" s="96">
        <f t="shared" si="12"/>
        <v>9.85</v>
      </c>
      <c r="K123" s="104">
        <f t="shared" si="12"/>
        <v>0</v>
      </c>
      <c r="L123" s="115">
        <f>SUM(L114:L122)</f>
        <v>0</v>
      </c>
      <c r="M123" s="8"/>
      <c r="N123" s="8"/>
      <c r="O123" s="29" t="s">
        <v>32</v>
      </c>
      <c r="P123" s="45" t="s">
        <v>44</v>
      </c>
      <c r="Q123" s="18" t="s">
        <v>130</v>
      </c>
      <c r="R123" s="18" t="s">
        <v>131</v>
      </c>
      <c r="S123" s="12"/>
      <c r="T123" s="26"/>
    </row>
    <row r="124" spans="1:20" ht="1.05" customHeight="1" x14ac:dyDescent="0.2">
      <c r="A124" s="116"/>
      <c r="B124" s="97"/>
      <c r="C124" s="97"/>
      <c r="D124" s="97"/>
      <c r="E124" s="97"/>
      <c r="F124" s="97"/>
      <c r="G124" s="97"/>
      <c r="H124" s="97"/>
      <c r="I124" s="100"/>
      <c r="J124" s="100"/>
      <c r="K124" s="97"/>
      <c r="L124" s="119"/>
      <c r="M124" s="8"/>
      <c r="N124" s="8"/>
      <c r="O124" s="46" t="s">
        <v>125</v>
      </c>
      <c r="P124" s="46" t="s">
        <v>125</v>
      </c>
      <c r="Q124" s="46" t="s">
        <v>125</v>
      </c>
      <c r="R124" s="46" t="s">
        <v>125</v>
      </c>
      <c r="S124" s="12"/>
      <c r="T124" s="26"/>
    </row>
    <row r="125" spans="1:20" ht="10.8" thickBot="1" x14ac:dyDescent="0.25">
      <c r="A125" s="122" t="s">
        <v>12</v>
      </c>
      <c r="B125" s="123" t="s">
        <v>101</v>
      </c>
      <c r="C125" s="123" t="s">
        <v>101</v>
      </c>
      <c r="D125" s="124" t="s">
        <v>101</v>
      </c>
      <c r="E125" s="123" t="s">
        <v>101</v>
      </c>
      <c r="F125" s="123" t="s">
        <v>101</v>
      </c>
      <c r="G125" s="123" t="s">
        <v>101</v>
      </c>
      <c r="H125" s="123" t="s">
        <v>101</v>
      </c>
      <c r="I125" s="123" t="s">
        <v>101</v>
      </c>
      <c r="J125" s="123" t="s">
        <v>101</v>
      </c>
      <c r="K125" s="125">
        <f>K53+K60+K66+K78+K88+K98+K106+K113+K123</f>
        <v>441130.58</v>
      </c>
      <c r="L125" s="126">
        <f>L53+L60+L66+L78+L88+L98+L106+L113+L123</f>
        <v>32999331.0691</v>
      </c>
      <c r="M125" s="8"/>
      <c r="N125" s="8"/>
      <c r="O125" s="9">
        <f>SUM(O49:O121)</f>
        <v>103.43105185185188</v>
      </c>
      <c r="P125" s="9">
        <f>DSUM(O49:P121,1,$K$1:$K$2)</f>
        <v>103.37105185185187</v>
      </c>
      <c r="Q125" s="9">
        <f>DSUM(O49:P121,1,$K$5:$K$6)</f>
        <v>103.37105185185187</v>
      </c>
      <c r="R125" s="9">
        <f>P125+Q125</f>
        <v>206.74210370370375</v>
      </c>
      <c r="S125" s="12">
        <f>SUM(S49:S121)</f>
        <v>0</v>
      </c>
      <c r="T125" s="26">
        <f>SUM(T49:T121)</f>
        <v>291678.66480000003</v>
      </c>
    </row>
    <row r="126" spans="1:20" x14ac:dyDescent="0.2">
      <c r="A126" s="8"/>
      <c r="B126" s="17"/>
      <c r="C126" s="17"/>
      <c r="D126" s="20"/>
      <c r="E126" s="8"/>
      <c r="F126" s="8"/>
      <c r="G126" s="8"/>
      <c r="H126" s="8"/>
      <c r="I126" s="12"/>
      <c r="J126" s="12"/>
      <c r="K126" s="8"/>
      <c r="L126" s="8"/>
      <c r="M126" s="8"/>
      <c r="N126" s="8"/>
      <c r="O126" s="19"/>
      <c r="P126" s="17"/>
      <c r="Q126" s="8"/>
      <c r="R126" s="8"/>
      <c r="S126" s="8"/>
      <c r="T126" s="26"/>
    </row>
    <row r="127" spans="1:20" x14ac:dyDescent="0.2">
      <c r="A127" s="47"/>
      <c r="B127" s="17"/>
      <c r="C127" s="17"/>
      <c r="D127" s="20"/>
      <c r="E127" s="8"/>
      <c r="F127" s="8"/>
      <c r="G127" s="8"/>
      <c r="H127" s="8"/>
      <c r="I127" s="12"/>
      <c r="J127" s="12"/>
      <c r="K127" s="8"/>
      <c r="L127" s="8"/>
      <c r="M127" s="8"/>
      <c r="N127" s="8"/>
      <c r="O127" s="19"/>
      <c r="P127" s="17"/>
    </row>
    <row r="128" spans="1:20" x14ac:dyDescent="0.2">
      <c r="A128" s="48"/>
      <c r="B128" s="8"/>
      <c r="C128" s="8"/>
      <c r="D128" s="8"/>
      <c r="E128" s="8"/>
      <c r="F128" s="8"/>
      <c r="G128" s="8"/>
      <c r="H128" s="8"/>
      <c r="I128" s="12"/>
      <c r="J128" s="12"/>
      <c r="K128" s="8"/>
      <c r="L128" s="8"/>
      <c r="M128" s="8"/>
      <c r="N128" s="8"/>
      <c r="O128" s="19"/>
      <c r="P128" s="17"/>
    </row>
    <row r="129" spans="1:16" x14ac:dyDescent="0.2">
      <c r="A129" s="8"/>
      <c r="B129" s="8"/>
      <c r="C129" s="13"/>
      <c r="D129" s="13"/>
      <c r="E129" s="13"/>
      <c r="F129" s="13"/>
      <c r="G129" s="13"/>
      <c r="H129" s="8"/>
      <c r="I129" s="12"/>
      <c r="J129" s="12"/>
      <c r="K129" s="8"/>
      <c r="L129" s="8"/>
      <c r="M129" s="8"/>
      <c r="N129" s="8"/>
      <c r="O129" s="19"/>
      <c r="P129" s="17"/>
    </row>
    <row r="130" spans="1:16" x14ac:dyDescent="0.2">
      <c r="A130" s="11"/>
      <c r="B130" s="8"/>
      <c r="C130" s="8"/>
      <c r="D130" s="8"/>
      <c r="E130" s="8"/>
      <c r="F130" s="8"/>
      <c r="G130" s="8"/>
      <c r="H130" s="8"/>
      <c r="I130" s="12"/>
      <c r="J130" s="12"/>
      <c r="K130" s="8"/>
      <c r="L130" s="8"/>
      <c r="M130" s="8"/>
      <c r="N130" s="8"/>
      <c r="O130" s="8"/>
      <c r="P130" s="8"/>
    </row>
    <row r="132" spans="1:16" x14ac:dyDescent="0.2">
      <c r="A132" s="11"/>
      <c r="B132" s="8"/>
      <c r="C132" s="8"/>
      <c r="D132" s="8"/>
      <c r="E132" s="8"/>
      <c r="F132" s="8"/>
      <c r="G132" s="8"/>
      <c r="H132" s="8"/>
      <c r="I132" s="12"/>
      <c r="J132" s="12"/>
      <c r="K132" s="8"/>
      <c r="L132" s="8"/>
      <c r="M132" s="8"/>
      <c r="N132" s="8"/>
      <c r="O132" s="8"/>
      <c r="P132" s="8"/>
    </row>
    <row r="133" spans="1:16" x14ac:dyDescent="0.2">
      <c r="A133" s="11"/>
      <c r="B133" s="8"/>
      <c r="C133" s="8"/>
      <c r="D133" s="8"/>
      <c r="E133" s="8"/>
      <c r="F133" s="8"/>
      <c r="G133" s="8"/>
      <c r="H133" s="8"/>
      <c r="I133" s="12"/>
      <c r="J133" s="12"/>
      <c r="K133" s="8"/>
      <c r="L133" s="8"/>
      <c r="M133" s="8"/>
      <c r="N133" s="8"/>
      <c r="O133" s="8"/>
      <c r="P133" s="8"/>
    </row>
    <row r="134" spans="1:16" x14ac:dyDescent="0.2">
      <c r="A134" s="11"/>
      <c r="B134" s="8"/>
      <c r="C134" s="8"/>
      <c r="D134" s="8"/>
      <c r="E134" s="8"/>
      <c r="F134" s="8"/>
      <c r="G134" s="8"/>
      <c r="H134" s="8"/>
      <c r="I134" s="12"/>
      <c r="J134" s="12"/>
      <c r="K134" s="8"/>
      <c r="L134" s="8"/>
      <c r="M134" s="8"/>
      <c r="N134" s="8"/>
      <c r="O134" s="8"/>
      <c r="P134" s="8"/>
    </row>
    <row r="135" spans="1:16" x14ac:dyDescent="0.2">
      <c r="A135" s="8"/>
      <c r="B135" s="8"/>
      <c r="C135" s="8"/>
      <c r="D135" s="28"/>
      <c r="E135" s="28"/>
      <c r="F135" s="28"/>
      <c r="G135" s="28"/>
      <c r="H135" s="28"/>
      <c r="I135" s="12"/>
      <c r="J135" s="12"/>
      <c r="K135" s="8"/>
      <c r="L135" s="8"/>
      <c r="M135" s="8"/>
      <c r="N135" s="8"/>
      <c r="O135" s="8"/>
      <c r="P135" s="8"/>
    </row>
    <row r="137" spans="1:16" x14ac:dyDescent="0.2">
      <c r="A137" s="48"/>
      <c r="B137" s="8"/>
      <c r="C137" s="8"/>
      <c r="D137" s="8"/>
      <c r="E137" s="8"/>
      <c r="F137" s="8"/>
      <c r="G137" s="8"/>
      <c r="H137" s="8"/>
      <c r="I137" s="12"/>
      <c r="J137" s="12"/>
      <c r="K137" s="8"/>
      <c r="L137" s="8"/>
      <c r="M137" s="8"/>
      <c r="N137" s="8"/>
      <c r="O137" s="8"/>
      <c r="P137" s="8"/>
    </row>
    <row r="138" spans="1:16" x14ac:dyDescent="0.2">
      <c r="A138" s="8"/>
      <c r="B138" s="8"/>
      <c r="C138" s="13"/>
      <c r="D138" s="13"/>
      <c r="E138" s="13"/>
      <c r="F138" s="13"/>
      <c r="G138" s="13"/>
      <c r="H138" s="8"/>
      <c r="I138" s="12"/>
      <c r="J138" s="12"/>
      <c r="K138" s="8"/>
      <c r="L138" s="8"/>
      <c r="M138" s="8"/>
      <c r="N138" s="8"/>
      <c r="O138" s="8"/>
      <c r="P138" s="8"/>
    </row>
    <row r="139" spans="1:16" x14ac:dyDescent="0.2">
      <c r="A139" s="11"/>
      <c r="B139" s="8"/>
      <c r="C139" s="8"/>
      <c r="D139" s="8"/>
      <c r="E139" s="8"/>
      <c r="F139" s="8"/>
      <c r="G139" s="8"/>
      <c r="H139" s="8"/>
      <c r="I139" s="12"/>
      <c r="J139" s="12"/>
      <c r="K139" s="8"/>
      <c r="L139" s="8"/>
      <c r="M139" s="8"/>
      <c r="N139" s="8"/>
      <c r="O139" s="8"/>
      <c r="P139" s="8"/>
    </row>
    <row r="141" spans="1:16" x14ac:dyDescent="0.2">
      <c r="A141" s="11"/>
      <c r="B141" s="8"/>
      <c r="C141" s="8"/>
      <c r="D141" s="8"/>
      <c r="E141" s="8"/>
      <c r="F141" s="8"/>
      <c r="G141" s="8"/>
      <c r="H141" s="8"/>
      <c r="I141" s="12"/>
      <c r="J141" s="12"/>
      <c r="K141" s="8"/>
      <c r="L141" s="8"/>
      <c r="M141" s="8"/>
      <c r="N141" s="8"/>
      <c r="O141" s="8"/>
      <c r="P141" s="8"/>
    </row>
    <row r="142" spans="1:16" x14ac:dyDescent="0.2">
      <c r="A142" s="11"/>
      <c r="B142" s="8"/>
      <c r="C142" s="8"/>
      <c r="D142" s="8"/>
      <c r="E142" s="8"/>
      <c r="F142" s="8"/>
      <c r="G142" s="8"/>
      <c r="H142" s="8"/>
      <c r="I142" s="12"/>
      <c r="J142" s="12"/>
      <c r="K142" s="8"/>
      <c r="L142" s="8"/>
      <c r="M142" s="8"/>
      <c r="N142" s="8"/>
      <c r="O142" s="8"/>
      <c r="P142" s="8"/>
    </row>
    <row r="143" spans="1:16" x14ac:dyDescent="0.2">
      <c r="A143" s="11"/>
      <c r="B143" s="8"/>
      <c r="C143" s="8"/>
      <c r="D143" s="8"/>
      <c r="E143" s="8"/>
      <c r="F143" s="8"/>
      <c r="G143" s="8"/>
      <c r="H143" s="8"/>
    </row>
    <row r="144" spans="1:16" x14ac:dyDescent="0.2">
      <c r="A144" s="8"/>
      <c r="B144" s="8"/>
      <c r="C144" s="8"/>
      <c r="D144" s="28"/>
      <c r="E144" s="28"/>
      <c r="F144" s="28"/>
      <c r="G144" s="28"/>
      <c r="H144" s="28"/>
    </row>
  </sheetData>
  <phoneticPr fontId="0" type="noConversion"/>
  <pageMargins left="0.45972222222222198" right="0.43958333333333299" top="0.18958333333333299" bottom="0.23958333333333301" header="0" footer="0"/>
  <pageSetup scale="67" orientation="landscape" r:id="rId1"/>
  <headerFooter alignWithMargins="0"/>
  <rowBreaks count="1" manualBreakCount="1">
    <brk id="9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3A03-064A-461B-847B-5AAAE7294DB4}">
  <dimension ref="A1:N102"/>
  <sheetViews>
    <sheetView topLeftCell="E80" zoomScale="118" zoomScaleNormal="118" workbookViewId="0">
      <selection activeCell="L100" sqref="L100"/>
    </sheetView>
  </sheetViews>
  <sheetFormatPr defaultRowHeight="15" x14ac:dyDescent="0.25"/>
  <cols>
    <col min="1" max="1" width="26.26953125" customWidth="1"/>
    <col min="2" max="2" width="12.26953125" customWidth="1"/>
  </cols>
  <sheetData>
    <row r="1" spans="1:14" s="252" customFormat="1" ht="10.199999999999999" hidden="1" x14ac:dyDescent="0.2">
      <c r="A1" s="249" t="s">
        <v>33</v>
      </c>
      <c r="B1" s="250" t="s">
        <v>40</v>
      </c>
      <c r="C1" s="250" t="s">
        <v>46</v>
      </c>
      <c r="D1" s="251"/>
      <c r="E1" s="250" t="s">
        <v>48</v>
      </c>
      <c r="F1" s="250" t="s">
        <v>49</v>
      </c>
      <c r="G1" s="251"/>
      <c r="H1" s="251"/>
      <c r="I1" s="251"/>
      <c r="J1" s="251"/>
      <c r="K1" s="251"/>
      <c r="L1" s="251"/>
      <c r="M1" s="251"/>
      <c r="N1" s="251"/>
    </row>
    <row r="2" spans="1:14" s="252" customFormat="1" ht="10.199999999999999" hidden="1" x14ac:dyDescent="0.2">
      <c r="A2" s="249" t="s">
        <v>34</v>
      </c>
      <c r="B2" s="251"/>
      <c r="C2" s="253"/>
      <c r="D2" s="251"/>
      <c r="E2" s="253"/>
      <c r="F2" s="253"/>
      <c r="G2" s="251"/>
      <c r="H2" s="251"/>
      <c r="I2" s="251"/>
      <c r="J2" s="251"/>
      <c r="K2" s="251"/>
      <c r="L2" s="251"/>
      <c r="M2" s="251"/>
      <c r="N2" s="251"/>
    </row>
    <row r="3" spans="1:14" s="252" customFormat="1" ht="10.199999999999999" hidden="1" x14ac:dyDescent="0.2">
      <c r="A3" s="249" t="s">
        <v>35</v>
      </c>
      <c r="B3" s="251"/>
      <c r="C3" s="254"/>
      <c r="D3" s="251"/>
      <c r="E3" s="254"/>
      <c r="F3" s="254"/>
      <c r="G3" s="251"/>
      <c r="H3" s="251"/>
      <c r="I3" s="251"/>
      <c r="J3" s="251"/>
      <c r="K3" s="251"/>
      <c r="L3" s="251"/>
      <c r="M3" s="251"/>
      <c r="N3" s="251"/>
    </row>
    <row r="4" spans="1:14" s="252" customFormat="1" ht="10.199999999999999" hidden="1" x14ac:dyDescent="0.2">
      <c r="A4" s="249" t="s">
        <v>36</v>
      </c>
      <c r="B4" s="68">
        <v>75.28</v>
      </c>
      <c r="C4" s="12">
        <v>70.66</v>
      </c>
      <c r="D4" s="8"/>
      <c r="E4" s="12">
        <v>42.28</v>
      </c>
      <c r="F4" s="12">
        <v>26.96</v>
      </c>
      <c r="G4" s="251"/>
      <c r="H4" s="251"/>
      <c r="I4" s="251"/>
      <c r="J4" s="251"/>
      <c r="K4" s="251"/>
      <c r="L4" s="251"/>
      <c r="M4" s="251"/>
      <c r="N4" s="251"/>
    </row>
    <row r="5" spans="1:14" s="252" customFormat="1" ht="10.199999999999999" hidden="1" x14ac:dyDescent="0.2">
      <c r="A5" s="251"/>
      <c r="B5" s="8"/>
      <c r="C5" s="12"/>
      <c r="D5" s="8"/>
      <c r="E5" s="8"/>
      <c r="F5" s="8"/>
      <c r="G5" s="251"/>
      <c r="H5" s="251"/>
      <c r="I5" s="251"/>
      <c r="J5" s="251"/>
      <c r="K5" s="251"/>
      <c r="L5" s="251"/>
      <c r="M5" s="251"/>
      <c r="N5" s="251"/>
    </row>
    <row r="6" spans="1:14" s="252" customFormat="1" ht="10.199999999999999" hidden="1" x14ac:dyDescent="0.2">
      <c r="A6" s="249" t="s">
        <v>37</v>
      </c>
      <c r="B6" s="251"/>
      <c r="C6" s="250" t="s">
        <v>46</v>
      </c>
      <c r="D6" s="251"/>
      <c r="E6" s="250" t="s">
        <v>48</v>
      </c>
      <c r="F6" s="250" t="s">
        <v>49</v>
      </c>
      <c r="G6" s="251"/>
      <c r="H6" s="251"/>
      <c r="I6" s="251"/>
      <c r="J6" s="251"/>
      <c r="K6" s="251"/>
      <c r="L6" s="251"/>
      <c r="M6" s="251"/>
      <c r="N6" s="251"/>
    </row>
    <row r="7" spans="1:14" s="252" customFormat="1" ht="10.199999999999999" hidden="1" x14ac:dyDescent="0.2">
      <c r="A7" s="249" t="s">
        <v>34</v>
      </c>
      <c r="B7" s="251"/>
      <c r="C7" s="253"/>
      <c r="D7" s="251"/>
      <c r="E7" s="253"/>
      <c r="F7" s="253"/>
      <c r="G7" s="251"/>
      <c r="H7" s="251"/>
      <c r="I7" s="251"/>
      <c r="J7" s="251"/>
      <c r="K7" s="251"/>
      <c r="L7" s="251"/>
      <c r="M7" s="251"/>
      <c r="N7" s="251"/>
    </row>
    <row r="8" spans="1:14" s="252" customFormat="1" ht="10.199999999999999" hidden="1" x14ac:dyDescent="0.2">
      <c r="A8" s="249" t="s">
        <v>35</v>
      </c>
      <c r="B8" s="251"/>
      <c r="C8" s="254"/>
      <c r="D8" s="251"/>
      <c r="E8" s="254"/>
      <c r="F8" s="254"/>
      <c r="G8" s="251"/>
      <c r="H8" s="251"/>
      <c r="I8" s="251"/>
      <c r="J8" s="251"/>
      <c r="K8" s="251"/>
      <c r="L8" s="251"/>
      <c r="M8" s="251"/>
      <c r="N8" s="251"/>
    </row>
    <row r="9" spans="1:14" s="252" customFormat="1" ht="10.199999999999999" hidden="1" x14ac:dyDescent="0.2">
      <c r="A9" s="249" t="s">
        <v>36</v>
      </c>
      <c r="B9" s="255" t="s">
        <v>379</v>
      </c>
      <c r="C9" s="253" t="s">
        <v>379</v>
      </c>
      <c r="D9" s="251"/>
      <c r="E9" s="253" t="s">
        <v>379</v>
      </c>
      <c r="F9" s="253" t="s">
        <v>379</v>
      </c>
      <c r="G9" s="251"/>
      <c r="H9" s="251"/>
      <c r="I9" s="251"/>
      <c r="J9" s="251"/>
      <c r="K9" s="251"/>
      <c r="L9" s="251"/>
      <c r="M9" s="251"/>
      <c r="N9" s="251"/>
    </row>
    <row r="10" spans="1:14" s="252" customFormat="1" ht="10.199999999999999" hidden="1" x14ac:dyDescent="0.2"/>
    <row r="11" spans="1:14" s="252" customFormat="1" ht="10.199999999999999" hidden="1" x14ac:dyDescent="0.2"/>
    <row r="12" spans="1:14" s="252" customFormat="1" ht="10.199999999999999" hidden="1" x14ac:dyDescent="0.2"/>
    <row r="13" spans="1:14" s="252" customFormat="1" ht="10.199999999999999" hidden="1" x14ac:dyDescent="0.2"/>
    <row r="14" spans="1:14" s="252" customFormat="1" x14ac:dyDescent="0.25">
      <c r="A14" s="341" t="s">
        <v>447</v>
      </c>
      <c r="B14" s="257"/>
      <c r="C14" s="257"/>
      <c r="D14" s="258"/>
      <c r="E14" s="259"/>
      <c r="F14" s="259"/>
      <c r="G14" s="259"/>
      <c r="H14" s="259"/>
      <c r="I14" s="259"/>
      <c r="J14" s="259"/>
      <c r="K14" s="259"/>
      <c r="L14" s="259"/>
      <c r="M14" s="254"/>
      <c r="N14" s="253"/>
    </row>
    <row r="15" spans="1:14" s="252" customFormat="1" x14ac:dyDescent="0.25">
      <c r="A15" s="341" t="s">
        <v>448</v>
      </c>
      <c r="B15" s="257"/>
      <c r="C15" s="257"/>
      <c r="D15" s="258"/>
      <c r="E15" s="259"/>
      <c r="F15" s="259"/>
      <c r="G15" s="259"/>
      <c r="H15" s="259"/>
      <c r="I15" s="259"/>
      <c r="J15" s="259"/>
      <c r="K15" s="259"/>
      <c r="L15" s="259"/>
      <c r="M15" s="254"/>
      <c r="N15" s="253"/>
    </row>
    <row r="16" spans="1:14" s="252" customFormat="1" ht="10.199999999999999" x14ac:dyDescent="0.2">
      <c r="A16" s="259"/>
      <c r="B16" s="257"/>
      <c r="C16" s="257"/>
      <c r="D16" s="258"/>
      <c r="E16" s="259"/>
      <c r="F16" s="259"/>
      <c r="G16" s="259"/>
      <c r="H16" s="259"/>
      <c r="I16" s="259"/>
      <c r="J16" s="259"/>
      <c r="K16" s="259"/>
      <c r="L16" s="259"/>
      <c r="M16" s="254"/>
      <c r="N16" s="253"/>
    </row>
    <row r="17" spans="1:14" s="252" customFormat="1" ht="10.199999999999999" x14ac:dyDescent="0.2">
      <c r="A17" s="259"/>
      <c r="B17" s="259"/>
      <c r="C17" s="259"/>
      <c r="D17" s="258"/>
      <c r="E17" s="259"/>
      <c r="F17" s="259"/>
      <c r="G17" s="259"/>
      <c r="H17" s="259"/>
      <c r="I17" s="259"/>
      <c r="J17" s="259"/>
      <c r="K17" s="259"/>
      <c r="L17" s="259"/>
      <c r="M17" s="254"/>
      <c r="N17" s="253"/>
    </row>
    <row r="18" spans="1:14" s="252" customFormat="1" ht="10.199999999999999" x14ac:dyDescent="0.2">
      <c r="A18" s="259"/>
      <c r="B18" s="256" t="s">
        <v>376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4"/>
      <c r="N18" s="253"/>
    </row>
    <row r="19" spans="1:14" s="252" customFormat="1" ht="10.199999999999999" x14ac:dyDescent="0.2">
      <c r="A19" s="259"/>
      <c r="B19" s="256" t="s">
        <v>377</v>
      </c>
      <c r="C19" s="256"/>
      <c r="D19" s="204" t="s">
        <v>378</v>
      </c>
      <c r="E19" s="204"/>
      <c r="F19" s="204"/>
      <c r="G19" s="204"/>
      <c r="H19" s="204"/>
      <c r="I19" s="204"/>
      <c r="J19" s="204"/>
      <c r="K19" s="256" t="s">
        <v>112</v>
      </c>
      <c r="L19" s="256"/>
      <c r="M19" s="254"/>
      <c r="N19" s="253"/>
    </row>
    <row r="20" spans="1:14" s="252" customFormat="1" ht="10.199999999999999" x14ac:dyDescent="0.2">
      <c r="A20" s="259"/>
      <c r="B20" s="260"/>
      <c r="C20" s="261"/>
      <c r="D20" s="205"/>
      <c r="E20" s="262"/>
      <c r="F20" s="262"/>
      <c r="G20" s="262"/>
      <c r="H20" s="262"/>
      <c r="I20" s="262"/>
      <c r="J20" s="261"/>
      <c r="K20" s="263"/>
      <c r="L20" s="261"/>
      <c r="M20" s="254"/>
      <c r="N20" s="253"/>
    </row>
    <row r="21" spans="1:14" s="252" customFormat="1" ht="10.199999999999999" x14ac:dyDescent="0.2">
      <c r="A21" s="259"/>
      <c r="B21" s="259"/>
      <c r="C21" s="259"/>
      <c r="D21" s="77" t="s">
        <v>40</v>
      </c>
      <c r="E21" s="264" t="s">
        <v>46</v>
      </c>
      <c r="F21" s="264" t="s">
        <v>48</v>
      </c>
      <c r="G21" s="264" t="s">
        <v>49</v>
      </c>
      <c r="H21" s="264" t="s">
        <v>106</v>
      </c>
      <c r="I21" s="74" t="s">
        <v>109</v>
      </c>
      <c r="J21" s="74"/>
      <c r="K21" s="264" t="s">
        <v>32</v>
      </c>
      <c r="L21" s="264" t="s">
        <v>32</v>
      </c>
      <c r="M21" s="254"/>
      <c r="N21" s="253"/>
    </row>
    <row r="22" spans="1:14" s="252" customFormat="1" ht="10.199999999999999" x14ac:dyDescent="0.2">
      <c r="A22" s="259"/>
      <c r="B22" s="257"/>
      <c r="C22" s="257"/>
      <c r="D22" s="77">
        <f>B4</f>
        <v>75.28</v>
      </c>
      <c r="E22" s="74">
        <f>C4</f>
        <v>70.66</v>
      </c>
      <c r="F22" s="74">
        <f>E4</f>
        <v>42.28</v>
      </c>
      <c r="G22" s="74">
        <f>F4</f>
        <v>26.96</v>
      </c>
      <c r="H22" s="264" t="s">
        <v>107</v>
      </c>
      <c r="I22" s="74" t="s">
        <v>110</v>
      </c>
      <c r="J22" s="74" t="s">
        <v>111</v>
      </c>
      <c r="K22" s="264" t="s">
        <v>41</v>
      </c>
      <c r="L22" s="264" t="s">
        <v>47</v>
      </c>
      <c r="M22" s="254"/>
      <c r="N22" s="253"/>
    </row>
    <row r="23" spans="1:14" s="252" customFormat="1" ht="10.8" thickBot="1" x14ac:dyDescent="0.25">
      <c r="A23" s="256" t="s">
        <v>60</v>
      </c>
      <c r="B23" s="76" t="s">
        <v>29</v>
      </c>
      <c r="C23" s="76" t="s">
        <v>103</v>
      </c>
      <c r="D23" s="77" t="s">
        <v>439</v>
      </c>
      <c r="E23" s="264" t="s">
        <v>439</v>
      </c>
      <c r="F23" s="264" t="s">
        <v>439</v>
      </c>
      <c r="G23" s="264" t="s">
        <v>439</v>
      </c>
      <c r="H23" s="264" t="s">
        <v>108</v>
      </c>
      <c r="I23" s="74" t="s">
        <v>107</v>
      </c>
      <c r="J23" s="74" t="s">
        <v>107</v>
      </c>
      <c r="K23" s="264" t="s">
        <v>42</v>
      </c>
      <c r="L23" s="264" t="s">
        <v>42</v>
      </c>
      <c r="M23" s="254"/>
      <c r="N23" s="253"/>
    </row>
    <row r="24" spans="1:14" s="252" customFormat="1" ht="11.4" thickTop="1" thickBot="1" x14ac:dyDescent="0.25">
      <c r="A24" s="348" t="s">
        <v>436</v>
      </c>
      <c r="B24" s="349"/>
      <c r="C24" s="349"/>
      <c r="D24" s="350"/>
      <c r="E24" s="351"/>
      <c r="F24" s="351"/>
      <c r="G24" s="351"/>
      <c r="H24" s="351"/>
      <c r="I24" s="351"/>
      <c r="J24" s="351"/>
      <c r="K24" s="351"/>
      <c r="L24" s="352"/>
      <c r="M24" s="254"/>
      <c r="N24" s="253"/>
    </row>
    <row r="25" spans="1:14" s="252" customFormat="1" ht="10.8" thickTop="1" x14ac:dyDescent="0.2">
      <c r="A25" s="335" t="s">
        <v>317</v>
      </c>
      <c r="B25" s="336"/>
      <c r="C25" s="336"/>
      <c r="D25" s="337"/>
      <c r="E25" s="338"/>
      <c r="F25" s="338"/>
      <c r="G25" s="338"/>
      <c r="H25" s="338"/>
      <c r="I25" s="339"/>
      <c r="J25" s="339"/>
      <c r="K25" s="338"/>
      <c r="L25" s="340"/>
      <c r="M25" s="254"/>
      <c r="N25" s="253"/>
    </row>
    <row r="26" spans="1:14" s="252" customFormat="1" ht="10.199999999999999" x14ac:dyDescent="0.2">
      <c r="A26" s="265" t="s">
        <v>318</v>
      </c>
      <c r="B26" s="266">
        <f>+'[2]Exhibit 1'!B49*0.17</f>
        <v>5.7426000000000004</v>
      </c>
      <c r="C26" s="266">
        <f>+'[2]Exhibit 1'!C49</f>
        <v>0.18</v>
      </c>
      <c r="D26" s="267">
        <v>0</v>
      </c>
      <c r="E26" s="268">
        <v>0</v>
      </c>
      <c r="F26" s="268">
        <v>1</v>
      </c>
      <c r="G26" s="268">
        <v>0</v>
      </c>
      <c r="H26" s="268">
        <f>+($B$4*D26)+($C$4*E26)+($E$4*F26)+($F$4*G26)</f>
        <v>42.28</v>
      </c>
      <c r="I26" s="268">
        <v>0</v>
      </c>
      <c r="J26" s="268">
        <v>0</v>
      </c>
      <c r="K26" s="268">
        <f>(D26+E26+F26+G26)*(B26+C26)</f>
        <v>5.9226000000000001</v>
      </c>
      <c r="L26" s="269">
        <f>(H26+I26+J26)*(C26+B26)</f>
        <v>250.40752800000001</v>
      </c>
      <c r="M26" s="254"/>
      <c r="N26" s="253"/>
    </row>
    <row r="27" spans="1:14" s="252" customFormat="1" ht="10.8" thickBot="1" x14ac:dyDescent="0.25">
      <c r="A27" s="270" t="s">
        <v>319</v>
      </c>
      <c r="B27" s="271">
        <f>+'[2]Exhibit 1'!B93</f>
        <v>0</v>
      </c>
      <c r="C27" s="271">
        <f>+'[2]Exhibit 1'!C93</f>
        <v>0</v>
      </c>
      <c r="D27" s="272">
        <v>0</v>
      </c>
      <c r="E27" s="273">
        <v>0</v>
      </c>
      <c r="F27" s="273">
        <v>1</v>
      </c>
      <c r="G27" s="273">
        <v>0</v>
      </c>
      <c r="H27" s="274">
        <f>+($B$4*D27)+($C$4*E27)+($E$4*F27)+($F$4*G27)</f>
        <v>42.28</v>
      </c>
      <c r="I27" s="274">
        <v>0</v>
      </c>
      <c r="J27" s="274">
        <v>0</v>
      </c>
      <c r="K27" s="273">
        <f>(D27+E27+F27+G27)*(B27+C27)</f>
        <v>0</v>
      </c>
      <c r="L27" s="275">
        <f>(H27+I27+J27)*(C27+B27)</f>
        <v>0</v>
      </c>
      <c r="M27" s="254"/>
      <c r="N27" s="253"/>
    </row>
    <row r="28" spans="1:14" s="252" customFormat="1" ht="10.8" thickBot="1" x14ac:dyDescent="0.25">
      <c r="A28" s="276" t="s">
        <v>64</v>
      </c>
      <c r="B28" s="211" t="s">
        <v>101</v>
      </c>
      <c r="C28" s="211" t="s">
        <v>101</v>
      </c>
      <c r="D28" s="277">
        <v>0</v>
      </c>
      <c r="E28" s="278">
        <v>0</v>
      </c>
      <c r="F28" s="211" t="s">
        <v>101</v>
      </c>
      <c r="G28" s="211" t="s">
        <v>101</v>
      </c>
      <c r="H28" s="211" t="s">
        <v>101</v>
      </c>
      <c r="I28" s="279">
        <v>0</v>
      </c>
      <c r="J28" s="279">
        <v>0</v>
      </c>
      <c r="K28" s="278">
        <f>SUM(K26:K27)</f>
        <v>5.9226000000000001</v>
      </c>
      <c r="L28" s="280">
        <f>SUM(L26:L27)</f>
        <v>250.40752800000001</v>
      </c>
      <c r="M28" s="254"/>
      <c r="N28" s="253"/>
    </row>
    <row r="29" spans="1:14" s="252" customFormat="1" ht="11.4" thickTop="1" thickBot="1" x14ac:dyDescent="0.25">
      <c r="A29" s="348" t="s">
        <v>320</v>
      </c>
      <c r="B29" s="349"/>
      <c r="C29" s="349"/>
      <c r="D29" s="350"/>
      <c r="E29" s="351"/>
      <c r="F29" s="351"/>
      <c r="G29" s="351"/>
      <c r="H29" s="351"/>
      <c r="I29" s="351"/>
      <c r="J29" s="351"/>
      <c r="K29" s="351"/>
      <c r="L29" s="352"/>
      <c r="M29" s="254"/>
      <c r="N29" s="253"/>
    </row>
    <row r="30" spans="1:14" s="252" customFormat="1" ht="10.8" thickTop="1" x14ac:dyDescent="0.2">
      <c r="A30" s="335" t="s">
        <v>316</v>
      </c>
      <c r="B30" s="336"/>
      <c r="C30" s="336"/>
      <c r="D30" s="337"/>
      <c r="E30" s="338"/>
      <c r="F30" s="338"/>
      <c r="G30" s="338"/>
      <c r="H30" s="338"/>
      <c r="I30" s="339"/>
      <c r="J30" s="339"/>
      <c r="K30" s="338"/>
      <c r="L30" s="340"/>
      <c r="M30" s="254"/>
      <c r="N30" s="253"/>
    </row>
    <row r="31" spans="1:14" s="252" customFormat="1" ht="10.199999999999999" x14ac:dyDescent="0.2">
      <c r="A31" s="265" t="s">
        <v>321</v>
      </c>
      <c r="B31" s="266">
        <f>+'[2]Exhibit 1'!C16*0.17</f>
        <v>95.710000000000008</v>
      </c>
      <c r="C31" s="266">
        <f>+'[2]Exhibit 1'!D16</f>
        <v>3</v>
      </c>
      <c r="D31" s="267">
        <v>0</v>
      </c>
      <c r="E31" s="268">
        <v>0</v>
      </c>
      <c r="F31" s="268">
        <v>2</v>
      </c>
      <c r="G31" s="268">
        <v>0</v>
      </c>
      <c r="H31" s="268">
        <f>+($B$4*D31)+($C$4*E31)+($E$4*F31)+($F$4*G31)</f>
        <v>84.56</v>
      </c>
      <c r="I31" s="268">
        <v>0</v>
      </c>
      <c r="J31" s="268">
        <v>0</v>
      </c>
      <c r="K31" s="268">
        <f>(D31+E31+F31+G31)*(B31+C31)</f>
        <v>197.42000000000002</v>
      </c>
      <c r="L31" s="269">
        <f>(H31+I31+J31)*(C31+B31)</f>
        <v>8346.9176000000007</v>
      </c>
      <c r="M31" s="254"/>
      <c r="N31" s="253"/>
    </row>
    <row r="32" spans="1:14" s="252" customFormat="1" ht="1.05" customHeight="1" x14ac:dyDescent="0.2">
      <c r="A32" s="281"/>
      <c r="B32" s="282"/>
      <c r="C32" s="282"/>
      <c r="D32" s="283"/>
      <c r="E32" s="284"/>
      <c r="F32" s="284"/>
      <c r="G32" s="284"/>
      <c r="H32" s="284"/>
      <c r="I32" s="284"/>
      <c r="J32" s="284"/>
      <c r="K32" s="284"/>
      <c r="L32" s="285"/>
      <c r="M32" s="254"/>
      <c r="N32" s="253"/>
    </row>
    <row r="33" spans="1:14" s="252" customFormat="1" ht="10.199999999999999" x14ac:dyDescent="0.2">
      <c r="A33" s="265" t="s">
        <v>64</v>
      </c>
      <c r="B33" s="266">
        <f>SUM(B31)</f>
        <v>95.710000000000008</v>
      </c>
      <c r="C33" s="266">
        <f>SUM(C31)</f>
        <v>3</v>
      </c>
      <c r="D33" s="267">
        <v>0</v>
      </c>
      <c r="E33" s="268">
        <f t="shared" ref="E33:L33" si="0">SUM(E31)</f>
        <v>0</v>
      </c>
      <c r="F33" s="268">
        <f t="shared" si="0"/>
        <v>2</v>
      </c>
      <c r="G33" s="268">
        <f t="shared" si="0"/>
        <v>0</v>
      </c>
      <c r="H33" s="268">
        <f t="shared" si="0"/>
        <v>84.56</v>
      </c>
      <c r="I33" s="268">
        <f t="shared" si="0"/>
        <v>0</v>
      </c>
      <c r="J33" s="268">
        <f t="shared" si="0"/>
        <v>0</v>
      </c>
      <c r="K33" s="268">
        <f t="shared" si="0"/>
        <v>197.42000000000002</v>
      </c>
      <c r="L33" s="269">
        <f>SUM(L31)</f>
        <v>8346.9176000000007</v>
      </c>
      <c r="M33" s="254"/>
      <c r="N33" s="253"/>
    </row>
    <row r="34" spans="1:14" s="252" customFormat="1" ht="1.05" customHeight="1" thickBot="1" x14ac:dyDescent="0.25">
      <c r="A34" s="286"/>
      <c r="B34" s="287"/>
      <c r="C34" s="287"/>
      <c r="D34" s="288"/>
      <c r="E34" s="289"/>
      <c r="F34" s="289"/>
      <c r="G34" s="289"/>
      <c r="H34" s="289"/>
      <c r="I34" s="289"/>
      <c r="J34" s="289"/>
      <c r="K34" s="289"/>
      <c r="L34" s="290"/>
      <c r="M34" s="254"/>
      <c r="N34" s="253"/>
    </row>
    <row r="35" spans="1:14" s="252" customFormat="1" ht="11.4" thickTop="1" thickBot="1" x14ac:dyDescent="0.25">
      <c r="A35" s="348" t="s">
        <v>149</v>
      </c>
      <c r="B35" s="349"/>
      <c r="C35" s="349"/>
      <c r="D35" s="350"/>
      <c r="E35" s="351"/>
      <c r="F35" s="351"/>
      <c r="G35" s="351"/>
      <c r="H35" s="351"/>
      <c r="I35" s="351"/>
      <c r="J35" s="351"/>
      <c r="K35" s="351"/>
      <c r="L35" s="352"/>
      <c r="M35" s="254"/>
      <c r="N35" s="253"/>
    </row>
    <row r="36" spans="1:14" s="252" customFormat="1" ht="10.8" thickTop="1" x14ac:dyDescent="0.2">
      <c r="A36" s="335" t="s">
        <v>322</v>
      </c>
      <c r="B36" s="336"/>
      <c r="C36" s="336"/>
      <c r="D36" s="337"/>
      <c r="E36" s="338"/>
      <c r="F36" s="338"/>
      <c r="G36" s="338"/>
      <c r="H36" s="338"/>
      <c r="I36" s="339"/>
      <c r="J36" s="339"/>
      <c r="K36" s="338"/>
      <c r="L36" s="340"/>
      <c r="M36" s="254"/>
      <c r="N36" s="253"/>
    </row>
    <row r="37" spans="1:14" s="252" customFormat="1" ht="10.199999999999999" x14ac:dyDescent="0.2">
      <c r="A37" s="265" t="s">
        <v>323</v>
      </c>
      <c r="B37" s="266">
        <f>+'[2]Exhibit 1'!C13*0.17</f>
        <v>192.61</v>
      </c>
      <c r="C37" s="266">
        <f>+'[2]Exhibit 1'!D13</f>
        <v>8</v>
      </c>
      <c r="D37" s="267">
        <v>0</v>
      </c>
      <c r="E37" s="268">
        <v>0</v>
      </c>
      <c r="F37" s="268">
        <v>0.5</v>
      </c>
      <c r="G37" s="268">
        <v>0</v>
      </c>
      <c r="H37" s="268">
        <f>+($B$4*D37)+($C$4*E37)+($E$4*F37)+($F$4*G37)</f>
        <v>21.14</v>
      </c>
      <c r="I37" s="268">
        <v>0</v>
      </c>
      <c r="J37" s="268">
        <v>0</v>
      </c>
      <c r="K37" s="268">
        <f>(D37+E37+F37+G37)*(B37+C37)</f>
        <v>100.30500000000001</v>
      </c>
      <c r="L37" s="269">
        <f>(H37+I37+J37)*(C37+B37)</f>
        <v>4240.8954000000003</v>
      </c>
      <c r="M37" s="254"/>
      <c r="N37" s="253"/>
    </row>
    <row r="38" spans="1:14" s="252" customFormat="1" ht="10.199999999999999" x14ac:dyDescent="0.2">
      <c r="A38" s="335" t="s">
        <v>324</v>
      </c>
      <c r="B38" s="336"/>
      <c r="C38" s="336"/>
      <c r="D38" s="337"/>
      <c r="E38" s="338"/>
      <c r="F38" s="338"/>
      <c r="G38" s="338"/>
      <c r="H38" s="338"/>
      <c r="I38" s="339"/>
      <c r="J38" s="339"/>
      <c r="K38" s="338"/>
      <c r="L38" s="340"/>
      <c r="M38" s="254"/>
      <c r="N38" s="253"/>
    </row>
    <row r="39" spans="1:14" s="252" customFormat="1" ht="11.25" customHeight="1" x14ac:dyDescent="0.2">
      <c r="A39" s="265" t="s">
        <v>325</v>
      </c>
      <c r="B39" s="266">
        <f>+'[2]Exhibit 3'!B81</f>
        <v>11.33</v>
      </c>
      <c r="C39" s="266">
        <f>+'[2]Exhibit 3'!C81</f>
        <v>0.08</v>
      </c>
      <c r="D39" s="267">
        <v>0</v>
      </c>
      <c r="E39" s="268">
        <v>0</v>
      </c>
      <c r="F39" s="268">
        <v>1</v>
      </c>
      <c r="G39" s="268">
        <v>0</v>
      </c>
      <c r="H39" s="291">
        <f>+($B$4*D39)+($C$4*E39)+($E$4*F39)+($F$4*G39)</f>
        <v>42.28</v>
      </c>
      <c r="I39" s="291">
        <v>0</v>
      </c>
      <c r="J39" s="291">
        <v>0</v>
      </c>
      <c r="K39" s="268">
        <f>(D39+E39+F39+G39)*(B39+C39)</f>
        <v>11.41</v>
      </c>
      <c r="L39" s="269">
        <f>(H39+I39+J39)*(C39+B39)</f>
        <v>482.41480000000001</v>
      </c>
      <c r="M39" s="254"/>
      <c r="N39" s="253"/>
    </row>
    <row r="40" spans="1:14" s="252" customFormat="1" ht="11.25" customHeight="1" x14ac:dyDescent="0.2">
      <c r="A40" s="270" t="s">
        <v>64</v>
      </c>
      <c r="B40" s="3" t="s">
        <v>101</v>
      </c>
      <c r="C40" s="3" t="s">
        <v>101</v>
      </c>
      <c r="D40" s="272">
        <v>0</v>
      </c>
      <c r="E40" s="273">
        <v>0</v>
      </c>
      <c r="F40" s="3" t="s">
        <v>101</v>
      </c>
      <c r="G40" s="3" t="s">
        <v>101</v>
      </c>
      <c r="H40" s="3" t="s">
        <v>101</v>
      </c>
      <c r="I40" s="274">
        <v>0</v>
      </c>
      <c r="J40" s="274">
        <v>0</v>
      </c>
      <c r="K40" s="273">
        <f>SUM(K37:K39)</f>
        <v>111.715</v>
      </c>
      <c r="L40" s="275">
        <f>SUM(L37:L39)</f>
        <v>4723.3101999999999</v>
      </c>
      <c r="M40" s="254"/>
      <c r="N40" s="253"/>
    </row>
    <row r="41" spans="1:14" s="252" customFormat="1" ht="1.05" customHeight="1" thickBot="1" x14ac:dyDescent="0.25">
      <c r="A41" s="281"/>
      <c r="B41" s="284"/>
      <c r="C41" s="284"/>
      <c r="D41" s="283"/>
      <c r="E41" s="283"/>
      <c r="F41" s="283"/>
      <c r="G41" s="283"/>
      <c r="H41" s="283"/>
      <c r="I41" s="283"/>
      <c r="J41" s="283"/>
      <c r="K41" s="283"/>
      <c r="L41" s="292"/>
      <c r="M41" s="254"/>
      <c r="N41" s="253"/>
    </row>
    <row r="42" spans="1:14" s="252" customFormat="1" ht="11.4" thickTop="1" thickBot="1" x14ac:dyDescent="0.25">
      <c r="A42" s="348" t="s">
        <v>326</v>
      </c>
      <c r="B42" s="349"/>
      <c r="C42" s="349"/>
      <c r="D42" s="350"/>
      <c r="E42" s="351"/>
      <c r="F42" s="351"/>
      <c r="G42" s="351"/>
      <c r="H42" s="351"/>
      <c r="I42" s="351"/>
      <c r="J42" s="351"/>
      <c r="K42" s="351"/>
      <c r="L42" s="352"/>
      <c r="M42" s="254"/>
      <c r="N42" s="253"/>
    </row>
    <row r="43" spans="1:14" s="252" customFormat="1" ht="10.8" thickTop="1" x14ac:dyDescent="0.2">
      <c r="A43" s="293" t="s">
        <v>327</v>
      </c>
      <c r="B43" s="61" t="str">
        <f>+'[2]Exhibit 5'!B54</f>
        <v>N/A</v>
      </c>
      <c r="C43" s="294">
        <f>+'[2]Exhibit 5'!C54</f>
        <v>0</v>
      </c>
      <c r="D43" s="295">
        <v>0</v>
      </c>
      <c r="E43" s="296">
        <v>0</v>
      </c>
      <c r="F43" s="296">
        <v>15</v>
      </c>
      <c r="G43" s="296">
        <v>0</v>
      </c>
      <c r="H43" s="297">
        <f>+($B$4*D43)+($C$4*E43)+($E$4*F43)+($F$4*G43)</f>
        <v>634.20000000000005</v>
      </c>
      <c r="I43" s="297">
        <v>0</v>
      </c>
      <c r="J43" s="297">
        <v>0</v>
      </c>
      <c r="K43" s="296">
        <f>(D43+E43+F43+G43)*(C43)</f>
        <v>0</v>
      </c>
      <c r="L43" s="298">
        <f>(H43+I43+J43)*(C43)</f>
        <v>0</v>
      </c>
      <c r="M43" s="254"/>
      <c r="N43" s="253"/>
    </row>
    <row r="44" spans="1:14" s="252" customFormat="1" ht="10.199999999999999" x14ac:dyDescent="0.2">
      <c r="A44" s="265" t="s">
        <v>328</v>
      </c>
      <c r="B44" s="101" t="str">
        <f>+'[2]Exhibit 5'!B60</f>
        <v>N/A</v>
      </c>
      <c r="C44" s="266">
        <f>+'[2]Exhibit 5'!C60</f>
        <v>0.15000000000000002</v>
      </c>
      <c r="D44" s="267">
        <v>0</v>
      </c>
      <c r="E44" s="268">
        <v>0</v>
      </c>
      <c r="F44" s="268">
        <v>2</v>
      </c>
      <c r="G44" s="268">
        <v>0</v>
      </c>
      <c r="H44" s="291">
        <f>+($B$4*D44)+($C$4*E44)+($E$4*F44)+($F$4*G44)</f>
        <v>84.56</v>
      </c>
      <c r="I44" s="291">
        <v>0</v>
      </c>
      <c r="J44" s="291">
        <v>0</v>
      </c>
      <c r="K44" s="268">
        <f>(D44+E44+F44+G44)*(C44)</f>
        <v>0.30000000000000004</v>
      </c>
      <c r="L44" s="269">
        <f>(H44+I44+J44)*(C44)</f>
        <v>12.684000000000003</v>
      </c>
      <c r="M44" s="254"/>
      <c r="N44" s="253"/>
    </row>
    <row r="45" spans="1:14" s="252" customFormat="1" ht="10.199999999999999" x14ac:dyDescent="0.2">
      <c r="A45" s="270" t="s">
        <v>329</v>
      </c>
      <c r="B45" s="3"/>
      <c r="C45" s="271"/>
      <c r="D45" s="272"/>
      <c r="E45" s="273"/>
      <c r="F45" s="273"/>
      <c r="G45" s="273"/>
      <c r="H45" s="273"/>
      <c r="I45" s="273"/>
      <c r="J45" s="273"/>
      <c r="K45" s="273"/>
      <c r="L45" s="275"/>
      <c r="M45" s="254"/>
      <c r="N45" s="253"/>
    </row>
    <row r="46" spans="1:14" s="252" customFormat="1" ht="10.199999999999999" x14ac:dyDescent="0.2">
      <c r="A46" s="293" t="s">
        <v>330</v>
      </c>
      <c r="B46" s="61">
        <f>+'[2]Exhibit 5'!B66</f>
        <v>7</v>
      </c>
      <c r="C46" s="299">
        <f>+'[2]Exhibit 5'!C66</f>
        <v>0</v>
      </c>
      <c r="D46" s="295">
        <v>0</v>
      </c>
      <c r="E46" s="296">
        <v>0</v>
      </c>
      <c r="F46" s="296">
        <v>2</v>
      </c>
      <c r="G46" s="296">
        <v>0</v>
      </c>
      <c r="H46" s="297">
        <f>+($B$4*D46)+($C$4*E46)+($E$4*F46)+($F$4*G46)</f>
        <v>84.56</v>
      </c>
      <c r="I46" s="297">
        <v>0</v>
      </c>
      <c r="J46" s="297">
        <v>0</v>
      </c>
      <c r="K46" s="296">
        <f>(D46+E46+F46+G46)*(B46+C46)</f>
        <v>14</v>
      </c>
      <c r="L46" s="298">
        <f>(H46+I46+J46)*(C46+B46)</f>
        <v>591.92000000000007</v>
      </c>
      <c r="M46" s="254"/>
      <c r="N46" s="253"/>
    </row>
    <row r="47" spans="1:14" s="252" customFormat="1" ht="10.199999999999999" x14ac:dyDescent="0.2">
      <c r="A47" s="270" t="s">
        <v>331</v>
      </c>
      <c r="B47" s="300"/>
      <c r="C47" s="301"/>
      <c r="D47" s="301"/>
      <c r="E47" s="301"/>
      <c r="F47" s="301"/>
      <c r="G47" s="301"/>
      <c r="H47" s="301"/>
      <c r="I47" s="301"/>
      <c r="J47" s="301"/>
      <c r="K47" s="301"/>
      <c r="L47" s="302"/>
      <c r="M47" s="254"/>
      <c r="N47" s="253"/>
    </row>
    <row r="48" spans="1:14" s="252" customFormat="1" ht="10.199999999999999" x14ac:dyDescent="0.2">
      <c r="A48" s="293" t="s">
        <v>332</v>
      </c>
      <c r="B48" s="61">
        <f>+'[2]Exhibit 5'!B73</f>
        <v>1.4000000000000001</v>
      </c>
      <c r="C48" s="299">
        <f>+'[2]Exhibit 5'!C73</f>
        <v>0</v>
      </c>
      <c r="D48" s="295">
        <v>0</v>
      </c>
      <c r="E48" s="296">
        <v>0</v>
      </c>
      <c r="F48" s="296">
        <v>2</v>
      </c>
      <c r="G48" s="296">
        <v>0</v>
      </c>
      <c r="H48" s="297">
        <f>+($B$4*D48)+($C$4*E48)+($E$4*F48)+($F$4*G48)</f>
        <v>84.56</v>
      </c>
      <c r="I48" s="297">
        <v>0</v>
      </c>
      <c r="J48" s="297">
        <v>0</v>
      </c>
      <c r="K48" s="296">
        <f>(D48+E48+F48+G48)*(B48+C48)</f>
        <v>2.8000000000000003</v>
      </c>
      <c r="L48" s="298">
        <f>(H48+I48+J48)*(C48+B48)</f>
        <v>118.38400000000001</v>
      </c>
      <c r="M48" s="254"/>
      <c r="N48" s="253"/>
    </row>
    <row r="49" spans="1:14" s="252" customFormat="1" ht="10.199999999999999" x14ac:dyDescent="0.2">
      <c r="A49" s="270" t="s">
        <v>333</v>
      </c>
      <c r="B49" s="300"/>
      <c r="C49" s="301"/>
      <c r="D49" s="301"/>
      <c r="E49" s="301"/>
      <c r="F49" s="301"/>
      <c r="G49" s="301"/>
      <c r="H49" s="301"/>
      <c r="I49" s="301"/>
      <c r="J49" s="301"/>
      <c r="K49" s="301"/>
      <c r="L49" s="302"/>
      <c r="M49" s="254"/>
      <c r="N49" s="253"/>
    </row>
    <row r="50" spans="1:14" s="252" customFormat="1" ht="10.199999999999999" x14ac:dyDescent="0.2">
      <c r="A50" s="293" t="s">
        <v>334</v>
      </c>
      <c r="B50" s="224">
        <f>+'[2]Exhibit 5'!B75</f>
        <v>1.4000000000000001</v>
      </c>
      <c r="C50" s="303">
        <f>+'[2]Exhibit 5'!C75</f>
        <v>0</v>
      </c>
      <c r="D50" s="295">
        <v>0</v>
      </c>
      <c r="E50" s="296">
        <v>0</v>
      </c>
      <c r="F50" s="296">
        <v>1</v>
      </c>
      <c r="G50" s="296">
        <v>0</v>
      </c>
      <c r="H50" s="297">
        <f>+($B$4*D50)+($C$4*E50)+($E$4*F50)+($F$4*G50)</f>
        <v>42.28</v>
      </c>
      <c r="I50" s="297">
        <v>0</v>
      </c>
      <c r="J50" s="297">
        <v>0</v>
      </c>
      <c r="K50" s="296">
        <f>(D50+E50+F50+G50)*(B50+C50)</f>
        <v>1.4000000000000001</v>
      </c>
      <c r="L50" s="298">
        <f>(H50+I50+J50)*(C50+B50)</f>
        <v>59.192000000000007</v>
      </c>
      <c r="M50" s="254"/>
      <c r="N50" s="253"/>
    </row>
    <row r="51" spans="1:14" s="252" customFormat="1" ht="10.199999999999999" x14ac:dyDescent="0.2">
      <c r="A51" s="270" t="s">
        <v>335</v>
      </c>
      <c r="B51" s="300"/>
      <c r="C51" s="301"/>
      <c r="D51" s="301"/>
      <c r="E51" s="301"/>
      <c r="F51" s="301"/>
      <c r="G51" s="301"/>
      <c r="H51" s="301"/>
      <c r="I51" s="301"/>
      <c r="J51" s="301"/>
      <c r="K51" s="301"/>
      <c r="L51" s="302"/>
      <c r="M51" s="254"/>
      <c r="N51" s="253"/>
    </row>
    <row r="52" spans="1:14" s="252" customFormat="1" ht="10.199999999999999" x14ac:dyDescent="0.2">
      <c r="A52" s="293" t="s">
        <v>336</v>
      </c>
      <c r="B52" s="224">
        <f>+'[2]Exhibit 5'!B77</f>
        <v>0.35000000000000003</v>
      </c>
      <c r="C52" s="303">
        <f>+'[2]Exhibit 5'!C77</f>
        <v>0</v>
      </c>
      <c r="D52" s="295">
        <v>0</v>
      </c>
      <c r="E52" s="296">
        <v>0</v>
      </c>
      <c r="F52" s="296">
        <v>0.5</v>
      </c>
      <c r="G52" s="296">
        <v>0</v>
      </c>
      <c r="H52" s="297">
        <f>+($B$4*D52)+($C$4*E52)+($E$4*F52)+($F$4*G52)</f>
        <v>21.14</v>
      </c>
      <c r="I52" s="297">
        <v>0</v>
      </c>
      <c r="J52" s="297">
        <v>0</v>
      </c>
      <c r="K52" s="296">
        <f>(D52+E52+F52+G52)*(B52+C52)</f>
        <v>0.17500000000000002</v>
      </c>
      <c r="L52" s="298">
        <f>(H52+I52+J52)*(C52+B52)</f>
        <v>7.3990000000000009</v>
      </c>
      <c r="M52" s="254"/>
      <c r="N52" s="253"/>
    </row>
    <row r="53" spans="1:14" s="252" customFormat="1" ht="10.199999999999999" x14ac:dyDescent="0.2">
      <c r="A53" s="265" t="s">
        <v>337</v>
      </c>
      <c r="B53" s="138">
        <f>+'[2]Exhibit 5'!B84</f>
        <v>7</v>
      </c>
      <c r="C53" s="304">
        <f>+'[2]Exhibit 5'!C84</f>
        <v>0</v>
      </c>
      <c r="D53" s="267">
        <v>0</v>
      </c>
      <c r="E53" s="268">
        <v>0</v>
      </c>
      <c r="F53" s="268">
        <v>4</v>
      </c>
      <c r="G53" s="268">
        <v>0</v>
      </c>
      <c r="H53" s="291">
        <f>+($B$4*D53)+($C$4*E53)+($E$4*F53)+($F$4*G53)</f>
        <v>169.12</v>
      </c>
      <c r="I53" s="291">
        <v>0</v>
      </c>
      <c r="J53" s="291">
        <v>0</v>
      </c>
      <c r="K53" s="268">
        <f>(D53+E53+F53+G53)*(B53+C53)</f>
        <v>28</v>
      </c>
      <c r="L53" s="269">
        <f>(H53+I53+J53)*(C53+B53)</f>
        <v>1183.8400000000001</v>
      </c>
      <c r="M53" s="254"/>
      <c r="N53" s="253"/>
    </row>
    <row r="54" spans="1:14" s="252" customFormat="1" ht="10.199999999999999" x14ac:dyDescent="0.2">
      <c r="A54" s="265" t="s">
        <v>338</v>
      </c>
      <c r="B54" s="101">
        <f>+'[2]Exhibit 5'!B89</f>
        <v>0.5</v>
      </c>
      <c r="C54" s="266">
        <f>+'[2]Exhibit 5'!C89</f>
        <v>0</v>
      </c>
      <c r="D54" s="267">
        <v>0</v>
      </c>
      <c r="E54" s="268">
        <v>0</v>
      </c>
      <c r="F54" s="268">
        <v>1</v>
      </c>
      <c r="G54" s="268">
        <v>0</v>
      </c>
      <c r="H54" s="291">
        <f>+($B$4*D54)+($C$4*E54)+($E$4*F54)+($F$4*G54)</f>
        <v>42.28</v>
      </c>
      <c r="I54" s="291">
        <v>0</v>
      </c>
      <c r="J54" s="291">
        <v>0</v>
      </c>
      <c r="K54" s="268">
        <f>(D54+E54+F54+G54)*(B54+C54)</f>
        <v>0.5</v>
      </c>
      <c r="L54" s="269">
        <f>(H54+I54+J54)*(C54+B54)</f>
        <v>21.14</v>
      </c>
      <c r="M54" s="254"/>
      <c r="N54" s="253"/>
    </row>
    <row r="55" spans="1:14" s="252" customFormat="1" ht="10.199999999999999" x14ac:dyDescent="0.2">
      <c r="A55" s="265" t="s">
        <v>339</v>
      </c>
      <c r="B55" s="101" t="str">
        <f>+'[2]Exhibit 5'!B96</f>
        <v>N/A</v>
      </c>
      <c r="C55" s="266">
        <f>+'[2]Exhibit 5'!C96</f>
        <v>0</v>
      </c>
      <c r="D55" s="267">
        <v>0</v>
      </c>
      <c r="E55" s="268">
        <v>0</v>
      </c>
      <c r="F55" s="268">
        <v>15</v>
      </c>
      <c r="G55" s="268">
        <v>0</v>
      </c>
      <c r="H55" s="291">
        <f>+($B$4*D55)+($C$4*E55)+($E$4*F55)+($F$4*G55)</f>
        <v>634.20000000000005</v>
      </c>
      <c r="I55" s="291">
        <v>0</v>
      </c>
      <c r="J55" s="291">
        <v>0</v>
      </c>
      <c r="K55" s="268">
        <f>(D55+E55+F55+G55)*(C55)</f>
        <v>0</v>
      </c>
      <c r="L55" s="269">
        <f>(H55+I55+J55)*(C55)</f>
        <v>0</v>
      </c>
      <c r="M55" s="254"/>
      <c r="N55" s="253"/>
    </row>
    <row r="56" spans="1:14" s="252" customFormat="1" ht="10.199999999999999" x14ac:dyDescent="0.2">
      <c r="A56" s="270" t="s">
        <v>340</v>
      </c>
      <c r="B56" s="3"/>
      <c r="C56" s="271"/>
      <c r="D56" s="272"/>
      <c r="E56" s="273"/>
      <c r="F56" s="273"/>
      <c r="G56" s="273"/>
      <c r="H56" s="273"/>
      <c r="I56" s="273"/>
      <c r="J56" s="273"/>
      <c r="K56" s="273"/>
      <c r="L56" s="275"/>
      <c r="M56" s="254"/>
      <c r="N56" s="253"/>
    </row>
    <row r="57" spans="1:14" s="252" customFormat="1" ht="10.199999999999999" x14ac:dyDescent="0.2">
      <c r="A57" s="293" t="s">
        <v>341</v>
      </c>
      <c r="B57" s="61" t="str">
        <f>+'[2]Exhibit 5'!B103</f>
        <v>N/A</v>
      </c>
      <c r="C57" s="299">
        <f>+'[2]Exhibit 5'!C103</f>
        <v>0</v>
      </c>
      <c r="D57" s="295">
        <v>0</v>
      </c>
      <c r="E57" s="296">
        <v>0</v>
      </c>
      <c r="F57" s="296">
        <v>2</v>
      </c>
      <c r="G57" s="296">
        <v>0</v>
      </c>
      <c r="H57" s="297">
        <f>+($B$4*D57)+($C$4*E57)+($E$4*F57)+($F$4*G57)</f>
        <v>84.56</v>
      </c>
      <c r="I57" s="297">
        <v>0</v>
      </c>
      <c r="J57" s="297">
        <v>0</v>
      </c>
      <c r="K57" s="296">
        <f>(D57+E57+F57+G57)*(C57)</f>
        <v>0</v>
      </c>
      <c r="L57" s="298">
        <f>(H57+I57+J57)*(C57)</f>
        <v>0</v>
      </c>
      <c r="M57" s="254"/>
      <c r="N57" s="253"/>
    </row>
    <row r="58" spans="1:14" s="252" customFormat="1" ht="10.199999999999999" x14ac:dyDescent="0.2">
      <c r="A58" s="265" t="s">
        <v>342</v>
      </c>
      <c r="B58" s="101" t="str">
        <f>+'[2]Exhibit 5'!B109</f>
        <v>N/A</v>
      </c>
      <c r="C58" s="266">
        <f>+'[2]Exhibit 5'!C109</f>
        <v>0</v>
      </c>
      <c r="D58" s="267">
        <v>0</v>
      </c>
      <c r="E58" s="268">
        <v>0</v>
      </c>
      <c r="F58" s="268">
        <v>2</v>
      </c>
      <c r="G58" s="268">
        <v>0</v>
      </c>
      <c r="H58" s="291">
        <f>+($B$4*D58)+($C$4*E58)+($E$4*F58)+($F$4*G58)</f>
        <v>84.56</v>
      </c>
      <c r="I58" s="291">
        <v>0</v>
      </c>
      <c r="J58" s="291">
        <v>0</v>
      </c>
      <c r="K58" s="268">
        <f>(D58+E58+F58+G58)*(C58)</f>
        <v>0</v>
      </c>
      <c r="L58" s="269">
        <f>(H58+I58+J58)*(C58)</f>
        <v>0</v>
      </c>
      <c r="M58" s="254"/>
      <c r="N58" s="253"/>
    </row>
    <row r="59" spans="1:14" s="252" customFormat="1" ht="10.199999999999999" x14ac:dyDescent="0.2">
      <c r="A59" s="270" t="s">
        <v>343</v>
      </c>
      <c r="B59" s="300" t="str">
        <f>+'[2]Exhibit 5'!B111</f>
        <v>N/A</v>
      </c>
      <c r="C59" s="305">
        <f>+'[2]Exhibit 5'!C111</f>
        <v>0</v>
      </c>
      <c r="D59" s="272">
        <v>0</v>
      </c>
      <c r="E59" s="273">
        <v>0</v>
      </c>
      <c r="F59" s="273">
        <v>2</v>
      </c>
      <c r="G59" s="273">
        <v>0</v>
      </c>
      <c r="H59" s="274">
        <f>+($B$4*D59)+($C$4*E59)+($E$4*F59)+($F$4*G59)</f>
        <v>84.56</v>
      </c>
      <c r="I59" s="274">
        <v>0</v>
      </c>
      <c r="J59" s="274">
        <v>0</v>
      </c>
      <c r="K59" s="273">
        <f>(D59+E59+F59+G59)*(C59)</f>
        <v>0</v>
      </c>
      <c r="L59" s="275">
        <f>(H59+I59+J59)*(C59)</f>
        <v>0</v>
      </c>
      <c r="M59" s="254"/>
      <c r="N59" s="253"/>
    </row>
    <row r="60" spans="1:14" s="252" customFormat="1" ht="10.199999999999999" x14ac:dyDescent="0.2">
      <c r="A60" s="293" t="s">
        <v>344</v>
      </c>
      <c r="B60" s="306"/>
      <c r="C60" s="294"/>
      <c r="D60" s="294"/>
      <c r="E60" s="294"/>
      <c r="F60" s="294"/>
      <c r="G60" s="294"/>
      <c r="H60" s="294"/>
      <c r="I60" s="294"/>
      <c r="J60" s="294"/>
      <c r="K60" s="294"/>
      <c r="L60" s="307"/>
      <c r="M60" s="254"/>
      <c r="N60" s="253"/>
    </row>
    <row r="61" spans="1:14" s="252" customFormat="1" ht="10.199999999999999" x14ac:dyDescent="0.2">
      <c r="A61" s="265" t="s">
        <v>345</v>
      </c>
      <c r="B61" s="308" t="str">
        <f>+'[2]Exhibit 5'!B113</f>
        <v>N/A</v>
      </c>
      <c r="C61" s="304">
        <f>+'[2]Exhibit 5'!C113</f>
        <v>0</v>
      </c>
      <c r="D61" s="267">
        <v>0</v>
      </c>
      <c r="E61" s="268">
        <v>0.5</v>
      </c>
      <c r="F61" s="268">
        <v>1</v>
      </c>
      <c r="G61" s="268">
        <v>0</v>
      </c>
      <c r="H61" s="291">
        <f>+($B$4*D61)+($C$4*E61)+($E$4*F61)+($F$4*G61)</f>
        <v>77.61</v>
      </c>
      <c r="I61" s="291">
        <v>0</v>
      </c>
      <c r="J61" s="291">
        <v>0</v>
      </c>
      <c r="K61" s="268">
        <f>(D61+E61+F61+G61)*(C61)</f>
        <v>0</v>
      </c>
      <c r="L61" s="269">
        <f>(H61+I61+J61)*(C61)</f>
        <v>0</v>
      </c>
      <c r="M61" s="254"/>
      <c r="N61" s="253"/>
    </row>
    <row r="62" spans="1:14" s="252" customFormat="1" ht="10.199999999999999" x14ac:dyDescent="0.2">
      <c r="A62" s="265" t="s">
        <v>346</v>
      </c>
      <c r="B62" s="101">
        <f>+'[2]Exhibit 5'!B120</f>
        <v>1</v>
      </c>
      <c r="C62" s="266">
        <f>+'[2]Exhibit 5'!C120</f>
        <v>0</v>
      </c>
      <c r="D62" s="267">
        <v>0</v>
      </c>
      <c r="E62" s="268">
        <v>0</v>
      </c>
      <c r="F62" s="268">
        <v>1</v>
      </c>
      <c r="G62" s="268">
        <v>0</v>
      </c>
      <c r="H62" s="291">
        <f>+($B$4*D62)+($C$4*E62)+($E$4*F62)+($F$4*G62)</f>
        <v>42.28</v>
      </c>
      <c r="I62" s="291">
        <v>0</v>
      </c>
      <c r="J62" s="291">
        <v>0</v>
      </c>
      <c r="K62" s="268">
        <f>(D62+E62+F62+G62)*(B62+C62)</f>
        <v>1</v>
      </c>
      <c r="L62" s="269">
        <f>(H62+I62+J62)*(C62+B62)</f>
        <v>42.28</v>
      </c>
      <c r="M62" s="254"/>
      <c r="N62" s="253"/>
    </row>
    <row r="63" spans="1:14" s="252" customFormat="1" ht="10.199999999999999" x14ac:dyDescent="0.2">
      <c r="A63" s="265" t="s">
        <v>347</v>
      </c>
      <c r="B63" s="101">
        <f>+'[2]Exhibit 5'!B126</f>
        <v>1</v>
      </c>
      <c r="C63" s="266">
        <f>+'[2]Exhibit 5'!C126</f>
        <v>0</v>
      </c>
      <c r="D63" s="267">
        <v>0</v>
      </c>
      <c r="E63" s="268">
        <v>0</v>
      </c>
      <c r="F63" s="268">
        <v>1</v>
      </c>
      <c r="G63" s="268">
        <v>0</v>
      </c>
      <c r="H63" s="291">
        <f>+($B$4*D63)+($C$4*E63)+($E$4*F63)+($F$4*G63)</f>
        <v>42.28</v>
      </c>
      <c r="I63" s="291">
        <v>0</v>
      </c>
      <c r="J63" s="291">
        <v>0</v>
      </c>
      <c r="K63" s="268">
        <f>(D63+E63+F63+G63)*(B63+C63)</f>
        <v>1</v>
      </c>
      <c r="L63" s="269">
        <f>(H63+I63+J63)*(C63+B63)</f>
        <v>42.28</v>
      </c>
      <c r="M63" s="254"/>
      <c r="N63" s="253"/>
    </row>
    <row r="64" spans="1:14" s="252" customFormat="1" ht="10.199999999999999" x14ac:dyDescent="0.2">
      <c r="A64" s="265" t="s">
        <v>348</v>
      </c>
      <c r="B64" s="101">
        <f>+'[2]Exhibit 5'!B140</f>
        <v>0</v>
      </c>
      <c r="C64" s="266">
        <f>+'[2]Exhibit 5'!C140</f>
        <v>0</v>
      </c>
      <c r="D64" s="267">
        <v>0</v>
      </c>
      <c r="E64" s="268">
        <v>0</v>
      </c>
      <c r="F64" s="268">
        <v>4</v>
      </c>
      <c r="G64" s="268">
        <v>0</v>
      </c>
      <c r="H64" s="291">
        <f>+($B$4*D64)+($C$4*E64)+($E$4*F64)+($F$4*G64)</f>
        <v>169.12</v>
      </c>
      <c r="I64" s="291">
        <v>0</v>
      </c>
      <c r="J64" s="291">
        <v>0</v>
      </c>
      <c r="K64" s="268">
        <f>(D64+E64+F64+G64)*(B64+C64)</f>
        <v>0</v>
      </c>
      <c r="L64" s="269">
        <f>(H64+I64+J64)*(C64+B64)</f>
        <v>0</v>
      </c>
      <c r="M64" s="254"/>
      <c r="N64" s="253"/>
    </row>
    <row r="65" spans="1:14" s="252" customFormat="1" ht="1.05" customHeight="1" x14ac:dyDescent="0.2">
      <c r="A65" s="281"/>
      <c r="B65" s="282"/>
      <c r="C65" s="282"/>
      <c r="D65" s="283"/>
      <c r="E65" s="284"/>
      <c r="F65" s="284"/>
      <c r="G65" s="284"/>
      <c r="H65" s="284"/>
      <c r="I65" s="284"/>
      <c r="J65" s="284"/>
      <c r="K65" s="284"/>
      <c r="L65" s="285"/>
      <c r="M65" s="254"/>
      <c r="N65" s="253"/>
    </row>
    <row r="66" spans="1:14" s="252" customFormat="1" ht="10.8" thickBot="1" x14ac:dyDescent="0.25">
      <c r="A66" s="265" t="s">
        <v>64</v>
      </c>
      <c r="B66" s="101" t="s">
        <v>101</v>
      </c>
      <c r="C66" s="101" t="s">
        <v>101</v>
      </c>
      <c r="D66" s="267">
        <v>0</v>
      </c>
      <c r="E66" s="308" t="s">
        <v>101</v>
      </c>
      <c r="F66" s="101" t="s">
        <v>101</v>
      </c>
      <c r="G66" s="101" t="s">
        <v>101</v>
      </c>
      <c r="H66" s="101" t="s">
        <v>101</v>
      </c>
      <c r="I66" s="291">
        <v>0</v>
      </c>
      <c r="J66" s="291">
        <v>0</v>
      </c>
      <c r="K66" s="268">
        <f>SUM(K43:K64)</f>
        <v>49.174999999999997</v>
      </c>
      <c r="L66" s="269">
        <f>SUM(L43:L64)</f>
        <v>2079.1190000000006</v>
      </c>
      <c r="M66" s="254"/>
      <c r="N66" s="253"/>
    </row>
    <row r="67" spans="1:14" s="252" customFormat="1" ht="10.8" thickBot="1" x14ac:dyDescent="0.25">
      <c r="A67" s="342" t="s">
        <v>220</v>
      </c>
      <c r="B67" s="346"/>
      <c r="C67" s="346"/>
      <c r="D67" s="344"/>
      <c r="E67" s="347"/>
      <c r="F67" s="347"/>
      <c r="G67" s="347"/>
      <c r="H67" s="347"/>
      <c r="I67" s="347"/>
      <c r="J67" s="347"/>
      <c r="K67" s="347"/>
      <c r="L67" s="345"/>
      <c r="M67" s="254"/>
      <c r="N67" s="253"/>
    </row>
    <row r="68" spans="1:14" s="252" customFormat="1" ht="10.199999999999999" x14ac:dyDescent="0.2">
      <c r="A68" s="265" t="s">
        <v>349</v>
      </c>
      <c r="B68" s="309" t="s">
        <v>379</v>
      </c>
      <c r="C68" s="309" t="s">
        <v>379</v>
      </c>
      <c r="D68" s="309"/>
      <c r="E68" s="309"/>
      <c r="F68" s="309"/>
      <c r="G68" s="309"/>
      <c r="H68" s="309"/>
      <c r="I68" s="309"/>
      <c r="J68" s="309"/>
      <c r="K68" s="309"/>
      <c r="L68" s="310"/>
      <c r="M68" s="254"/>
      <c r="N68" s="253"/>
    </row>
    <row r="69" spans="1:14" s="252" customFormat="1" ht="10.199999999999999" x14ac:dyDescent="0.2">
      <c r="A69" s="265" t="s">
        <v>350</v>
      </c>
      <c r="B69" s="309" t="s">
        <v>379</v>
      </c>
      <c r="C69" s="309" t="s">
        <v>379</v>
      </c>
      <c r="D69" s="309"/>
      <c r="E69" s="309"/>
      <c r="F69" s="309"/>
      <c r="G69" s="309"/>
      <c r="H69" s="309"/>
      <c r="I69" s="309"/>
      <c r="J69" s="309"/>
      <c r="K69" s="309"/>
      <c r="L69" s="310"/>
      <c r="M69" s="254"/>
      <c r="N69" s="253"/>
    </row>
    <row r="70" spans="1:14" s="252" customFormat="1" ht="10.199999999999999" x14ac:dyDescent="0.2">
      <c r="A70" s="265" t="s">
        <v>351</v>
      </c>
      <c r="B70" s="266">
        <v>0</v>
      </c>
      <c r="C70" s="266">
        <v>0</v>
      </c>
      <c r="D70" s="267">
        <v>0</v>
      </c>
      <c r="E70" s="268">
        <v>0</v>
      </c>
      <c r="F70" s="268">
        <v>8</v>
      </c>
      <c r="G70" s="268">
        <v>0</v>
      </c>
      <c r="H70" s="291">
        <f>+($B$4*D70)+($C$4*E70)+($E$4*F70)+($F$4*G70)</f>
        <v>338.24</v>
      </c>
      <c r="I70" s="291">
        <v>0</v>
      </c>
      <c r="J70" s="291">
        <v>0</v>
      </c>
      <c r="K70" s="268">
        <f>(D70+E70+F70+G70)*(B70+C70)</f>
        <v>0</v>
      </c>
      <c r="L70" s="269">
        <f>(H70+I70+J70)*(C70+B70)</f>
        <v>0</v>
      </c>
      <c r="M70" s="311"/>
      <c r="N70" s="253"/>
    </row>
    <row r="71" spans="1:14" s="252" customFormat="1" ht="10.199999999999999" x14ac:dyDescent="0.2">
      <c r="A71" s="265" t="s">
        <v>352</v>
      </c>
      <c r="B71" s="266">
        <v>0</v>
      </c>
      <c r="C71" s="266">
        <v>0</v>
      </c>
      <c r="D71" s="267">
        <v>0</v>
      </c>
      <c r="E71" s="268">
        <v>0</v>
      </c>
      <c r="F71" s="268">
        <v>7.5</v>
      </c>
      <c r="G71" s="268">
        <v>0</v>
      </c>
      <c r="H71" s="291">
        <f>+($B$4*D71)+($C$4*E71)+($E$4*F71)+($F$4*G71)</f>
        <v>317.10000000000002</v>
      </c>
      <c r="I71" s="291">
        <v>0</v>
      </c>
      <c r="J71" s="291">
        <v>0</v>
      </c>
      <c r="K71" s="268">
        <f>(D71+E71+F71+G71)*(B71+C71)</f>
        <v>0</v>
      </c>
      <c r="L71" s="269">
        <f>(H71+I71+J71)*(C71+B71)</f>
        <v>0</v>
      </c>
      <c r="M71" s="311"/>
      <c r="N71" s="253"/>
    </row>
    <row r="72" spans="1:14" s="252" customFormat="1" ht="10.199999999999999" x14ac:dyDescent="0.2">
      <c r="A72" s="265" t="s">
        <v>353</v>
      </c>
      <c r="B72" s="266" t="s">
        <v>379</v>
      </c>
      <c r="C72" s="266" t="s">
        <v>379</v>
      </c>
      <c r="D72" s="267"/>
      <c r="E72" s="268"/>
      <c r="F72" s="268"/>
      <c r="G72" s="268"/>
      <c r="H72" s="268"/>
      <c r="I72" s="268"/>
      <c r="J72" s="268"/>
      <c r="K72" s="268"/>
      <c r="L72" s="269"/>
      <c r="M72" s="311"/>
      <c r="N72" s="253"/>
    </row>
    <row r="73" spans="1:14" s="252" customFormat="1" ht="10.199999999999999" x14ac:dyDescent="0.2">
      <c r="A73" s="265" t="s">
        <v>354</v>
      </c>
      <c r="B73" s="266">
        <v>0</v>
      </c>
      <c r="C73" s="266">
        <v>0</v>
      </c>
      <c r="D73" s="267">
        <v>0</v>
      </c>
      <c r="E73" s="268">
        <v>0</v>
      </c>
      <c r="F73" s="268">
        <v>0.5</v>
      </c>
      <c r="G73" s="268">
        <v>0</v>
      </c>
      <c r="H73" s="291">
        <f>+($B$4*D73)+($C$4*E73)+($E$4*F73)+($F$4*G73)</f>
        <v>21.14</v>
      </c>
      <c r="I73" s="291">
        <v>0</v>
      </c>
      <c r="J73" s="291">
        <v>0</v>
      </c>
      <c r="K73" s="268">
        <f>(D73+E73+F73+G73)*(B73+C73)</f>
        <v>0</v>
      </c>
      <c r="L73" s="269">
        <f>(H73+I73+J73)*(C73+B73)</f>
        <v>0</v>
      </c>
      <c r="M73" s="311"/>
      <c r="N73" s="253"/>
    </row>
    <row r="74" spans="1:14" s="252" customFormat="1" ht="10.199999999999999" x14ac:dyDescent="0.2">
      <c r="A74" s="265" t="s">
        <v>355</v>
      </c>
      <c r="B74" s="266">
        <v>0</v>
      </c>
      <c r="C74" s="266">
        <v>0</v>
      </c>
      <c r="D74" s="267">
        <v>1</v>
      </c>
      <c r="E74" s="268">
        <v>0</v>
      </c>
      <c r="F74" s="268">
        <v>2</v>
      </c>
      <c r="G74" s="268">
        <v>0</v>
      </c>
      <c r="H74" s="291">
        <f>+($B$4*D74)+($C$4*E74)+($E$4*F74)+($F$4*G74)</f>
        <v>159.84</v>
      </c>
      <c r="I74" s="291">
        <v>0</v>
      </c>
      <c r="J74" s="291">
        <v>0</v>
      </c>
      <c r="K74" s="268">
        <f>(D74+E74+F74+G74)*(B74+C74)</f>
        <v>0</v>
      </c>
      <c r="L74" s="269">
        <f>(H74+I74+J74)*(C74+B74)</f>
        <v>0</v>
      </c>
      <c r="M74" s="311"/>
      <c r="N74" s="253"/>
    </row>
    <row r="75" spans="1:14" s="252" customFormat="1" ht="10.199999999999999" x14ac:dyDescent="0.2">
      <c r="A75" s="265" t="s">
        <v>356</v>
      </c>
      <c r="B75" s="309">
        <v>0</v>
      </c>
      <c r="C75" s="309">
        <v>0</v>
      </c>
      <c r="D75" s="267">
        <v>0</v>
      </c>
      <c r="E75" s="268">
        <v>0.5</v>
      </c>
      <c r="F75" s="268">
        <v>1</v>
      </c>
      <c r="G75" s="268">
        <v>0</v>
      </c>
      <c r="H75" s="291">
        <f>+($B$4*D75)+($C$4*E75)+($E$4*F75)+($F$4*G75)</f>
        <v>77.61</v>
      </c>
      <c r="I75" s="291">
        <v>0</v>
      </c>
      <c r="J75" s="291">
        <v>0</v>
      </c>
      <c r="K75" s="268">
        <f>(D75+E75+F75+G75)*(B75+C75)</f>
        <v>0</v>
      </c>
      <c r="L75" s="269">
        <f>(H75+I75+J75)*(C75+B75)</f>
        <v>0</v>
      </c>
      <c r="M75" s="311"/>
      <c r="N75" s="253"/>
    </row>
    <row r="76" spans="1:14" s="252" customFormat="1" ht="10.199999999999999" x14ac:dyDescent="0.2">
      <c r="A76" s="265" t="s">
        <v>357</v>
      </c>
      <c r="B76" s="266">
        <v>5</v>
      </c>
      <c r="C76" s="266">
        <v>0</v>
      </c>
      <c r="D76" s="267">
        <v>0</v>
      </c>
      <c r="E76" s="268">
        <v>0</v>
      </c>
      <c r="F76" s="268">
        <v>8</v>
      </c>
      <c r="G76" s="268">
        <v>0</v>
      </c>
      <c r="H76" s="291">
        <f>+($B$4*D76)+($C$4*E76)+($E$4*F76)+($F$4*G76)</f>
        <v>338.24</v>
      </c>
      <c r="I76" s="291">
        <v>0</v>
      </c>
      <c r="J76" s="291">
        <v>0</v>
      </c>
      <c r="K76" s="268">
        <f>(D76+E76+F76+G76)*(B76+C76)</f>
        <v>40</v>
      </c>
      <c r="L76" s="269">
        <f>(H76+I76+J76)*(C76+B76)</f>
        <v>1691.2</v>
      </c>
      <c r="M76" s="311"/>
      <c r="N76" s="253"/>
    </row>
    <row r="77" spans="1:14" s="252" customFormat="1" ht="10.199999999999999" x14ac:dyDescent="0.2">
      <c r="A77" s="265" t="s">
        <v>358</v>
      </c>
      <c r="B77" s="309" t="s">
        <v>379</v>
      </c>
      <c r="C77" s="309" t="s">
        <v>379</v>
      </c>
      <c r="D77" s="309"/>
      <c r="E77" s="309"/>
      <c r="F77" s="309"/>
      <c r="G77" s="309"/>
      <c r="H77" s="309"/>
      <c r="I77" s="309"/>
      <c r="J77" s="309"/>
      <c r="K77" s="309"/>
      <c r="L77" s="310"/>
      <c r="M77" s="311"/>
      <c r="N77" s="253"/>
    </row>
    <row r="78" spans="1:14" s="252" customFormat="1" ht="10.199999999999999" x14ac:dyDescent="0.2">
      <c r="A78" s="265" t="s">
        <v>359</v>
      </c>
      <c r="B78" s="266">
        <v>54</v>
      </c>
      <c r="C78" s="266">
        <v>0</v>
      </c>
      <c r="D78" s="267">
        <v>0</v>
      </c>
      <c r="E78" s="268">
        <v>0</v>
      </c>
      <c r="F78" s="268">
        <v>8</v>
      </c>
      <c r="G78" s="268">
        <v>0</v>
      </c>
      <c r="H78" s="291">
        <f>+($B$4*D78)+($C$4*E78)+($E$4*F78)+($F$4*G78)</f>
        <v>338.24</v>
      </c>
      <c r="I78" s="291">
        <v>0</v>
      </c>
      <c r="J78" s="291">
        <v>0</v>
      </c>
      <c r="K78" s="268">
        <f>(D78+E78+F78+G78)*(B78+C78)</f>
        <v>432</v>
      </c>
      <c r="L78" s="269">
        <f>(H78+I78+J78)*(C78+B78)</f>
        <v>18264.96</v>
      </c>
      <c r="M78" s="311"/>
      <c r="N78" s="253"/>
    </row>
    <row r="79" spans="1:14" s="252" customFormat="1" ht="10.199999999999999" x14ac:dyDescent="0.2">
      <c r="A79" s="265" t="s">
        <v>360</v>
      </c>
      <c r="B79" s="266">
        <v>5</v>
      </c>
      <c r="C79" s="266">
        <v>0</v>
      </c>
      <c r="D79" s="267">
        <v>1</v>
      </c>
      <c r="E79" s="268">
        <v>0</v>
      </c>
      <c r="F79" s="268">
        <v>2</v>
      </c>
      <c r="G79" s="268">
        <v>0</v>
      </c>
      <c r="H79" s="291">
        <f>+($B$4*D79)+($C$4*E79)+($E$4*F79)+($F$4*G79)</f>
        <v>159.84</v>
      </c>
      <c r="I79" s="291">
        <v>0</v>
      </c>
      <c r="J79" s="291">
        <v>0</v>
      </c>
      <c r="K79" s="268">
        <f>(D79+E79+F79+G79)*(B79+C79)</f>
        <v>15</v>
      </c>
      <c r="L79" s="269">
        <f>(H79+I79+J79)*(C79+B79)</f>
        <v>799.2</v>
      </c>
      <c r="M79" s="311"/>
      <c r="N79" s="253"/>
    </row>
    <row r="80" spans="1:14" s="252" customFormat="1" ht="10.199999999999999" x14ac:dyDescent="0.2">
      <c r="A80" s="265" t="s">
        <v>361</v>
      </c>
      <c r="B80" s="266" t="s">
        <v>379</v>
      </c>
      <c r="C80" s="266" t="s">
        <v>379</v>
      </c>
      <c r="D80" s="267"/>
      <c r="E80" s="309"/>
      <c r="F80" s="309"/>
      <c r="G80" s="309"/>
      <c r="H80" s="309"/>
      <c r="I80" s="309"/>
      <c r="J80" s="309"/>
      <c r="K80" s="309"/>
      <c r="L80" s="310"/>
      <c r="M80" s="311"/>
      <c r="N80" s="253"/>
    </row>
    <row r="81" spans="1:14" s="252" customFormat="1" ht="10.199999999999999" x14ac:dyDescent="0.2">
      <c r="A81" s="265" t="s">
        <v>362</v>
      </c>
      <c r="B81" s="266">
        <v>0</v>
      </c>
      <c r="C81" s="266">
        <v>0</v>
      </c>
      <c r="D81" s="267">
        <v>0</v>
      </c>
      <c r="E81" s="268">
        <v>0</v>
      </c>
      <c r="F81" s="268">
        <v>2</v>
      </c>
      <c r="G81" s="268">
        <v>0</v>
      </c>
      <c r="H81" s="291">
        <f>+($B$4*D81)+($C$4*E81)+($E$4*F81)+($F$4*G81)</f>
        <v>84.56</v>
      </c>
      <c r="I81" s="291">
        <v>0</v>
      </c>
      <c r="J81" s="291">
        <v>0</v>
      </c>
      <c r="K81" s="268">
        <f>(D81+E81+F81+G81)*(B81+C81)</f>
        <v>0</v>
      </c>
      <c r="L81" s="269">
        <f>(H81+I81+J81)*(C81+B81)</f>
        <v>0</v>
      </c>
      <c r="M81" s="311"/>
      <c r="N81" s="253"/>
    </row>
    <row r="82" spans="1:14" s="252" customFormat="1" ht="10.199999999999999" x14ac:dyDescent="0.2">
      <c r="A82" s="265" t="s">
        <v>363</v>
      </c>
      <c r="B82" s="266">
        <v>0</v>
      </c>
      <c r="C82" s="266">
        <v>0</v>
      </c>
      <c r="D82" s="267">
        <v>1</v>
      </c>
      <c r="E82" s="268">
        <v>0</v>
      </c>
      <c r="F82" s="268">
        <v>8</v>
      </c>
      <c r="G82" s="268">
        <v>0</v>
      </c>
      <c r="H82" s="291">
        <f>+($B$4*D82)+($C$4*E82)+($E$4*F82)+($F$4*G82)</f>
        <v>413.52</v>
      </c>
      <c r="I82" s="291">
        <v>0</v>
      </c>
      <c r="J82" s="291">
        <v>0</v>
      </c>
      <c r="K82" s="268">
        <f>(D82+E82+F82+G82)*(B82+C82)</f>
        <v>0</v>
      </c>
      <c r="L82" s="269">
        <f>(H82+I82+J82)*(C82+B82)</f>
        <v>0</v>
      </c>
      <c r="M82" s="311"/>
      <c r="N82" s="253"/>
    </row>
    <row r="83" spans="1:14" s="252" customFormat="1" ht="1.05" customHeight="1" x14ac:dyDescent="0.2">
      <c r="A83" s="281"/>
      <c r="B83" s="282"/>
      <c r="C83" s="282"/>
      <c r="D83" s="283"/>
      <c r="E83" s="284"/>
      <c r="F83" s="284"/>
      <c r="G83" s="284"/>
      <c r="H83" s="284"/>
      <c r="I83" s="284"/>
      <c r="J83" s="284"/>
      <c r="K83" s="284"/>
      <c r="L83" s="285"/>
      <c r="M83" s="311"/>
      <c r="N83" s="253"/>
    </row>
    <row r="84" spans="1:14" s="252" customFormat="1" ht="10.8" thickBot="1" x14ac:dyDescent="0.25">
      <c r="A84" s="270" t="s">
        <v>64</v>
      </c>
      <c r="B84" s="3" t="s">
        <v>101</v>
      </c>
      <c r="C84" s="3" t="s">
        <v>101</v>
      </c>
      <c r="D84" s="231" t="s">
        <v>101</v>
      </c>
      <c r="E84" s="300" t="s">
        <v>101</v>
      </c>
      <c r="F84" s="3" t="s">
        <v>101</v>
      </c>
      <c r="G84" s="273">
        <v>0</v>
      </c>
      <c r="H84" s="3" t="s">
        <v>101</v>
      </c>
      <c r="I84" s="274">
        <v>0</v>
      </c>
      <c r="J84" s="274">
        <v>0</v>
      </c>
      <c r="K84" s="273">
        <f>SUM(K70:K82)</f>
        <v>487</v>
      </c>
      <c r="L84" s="275">
        <f>SUM(L70:L82)</f>
        <v>20755.36</v>
      </c>
      <c r="M84" s="311"/>
      <c r="N84" s="253"/>
    </row>
    <row r="85" spans="1:14" s="252" customFormat="1" ht="10.8" thickBot="1" x14ac:dyDescent="0.25">
      <c r="A85" s="342" t="s">
        <v>291</v>
      </c>
      <c r="B85" s="343"/>
      <c r="C85" s="343"/>
      <c r="D85" s="344"/>
      <c r="E85" s="344"/>
      <c r="F85" s="344"/>
      <c r="G85" s="344"/>
      <c r="H85" s="344"/>
      <c r="I85" s="344"/>
      <c r="J85" s="344"/>
      <c r="K85" s="344"/>
      <c r="L85" s="345"/>
      <c r="M85" s="311"/>
      <c r="N85" s="253"/>
    </row>
    <row r="86" spans="1:14" s="252" customFormat="1" ht="10.199999999999999" x14ac:dyDescent="0.2">
      <c r="A86" s="312" t="s">
        <v>364</v>
      </c>
      <c r="B86" s="313">
        <f>+'[2]Exhibit 7'!B50*0.17</f>
        <v>193.97000000000003</v>
      </c>
      <c r="C86" s="313">
        <v>0</v>
      </c>
      <c r="D86" s="314">
        <v>0</v>
      </c>
      <c r="E86" s="314">
        <v>0.25</v>
      </c>
      <c r="F86" s="314">
        <v>1</v>
      </c>
      <c r="G86" s="314">
        <v>0.1</v>
      </c>
      <c r="H86" s="315">
        <f>+($B$4*D86)+($C$4*E86)+($E$4*F86)+($F$4*G86)</f>
        <v>62.640999999999998</v>
      </c>
      <c r="I86" s="315">
        <v>0</v>
      </c>
      <c r="J86" s="315">
        <v>0</v>
      </c>
      <c r="K86" s="314">
        <f>(D86+E86+F86+G86)*(B86+C86)</f>
        <v>261.85950000000008</v>
      </c>
      <c r="L86" s="316">
        <f>(H86+I86+J86)*(C86+B86)</f>
        <v>12150.474770000001</v>
      </c>
      <c r="M86" s="311"/>
      <c r="N86" s="253"/>
    </row>
    <row r="87" spans="1:14" s="252" customFormat="1" ht="10.199999999999999" x14ac:dyDescent="0.2">
      <c r="A87" s="293" t="s">
        <v>365</v>
      </c>
      <c r="B87" s="294"/>
      <c r="C87" s="294"/>
      <c r="D87" s="296"/>
      <c r="E87" s="296"/>
      <c r="F87" s="296"/>
      <c r="G87" s="296"/>
      <c r="H87" s="296"/>
      <c r="I87" s="296"/>
      <c r="J87" s="296"/>
      <c r="K87" s="296"/>
      <c r="L87" s="298"/>
      <c r="M87" s="311"/>
      <c r="N87" s="253"/>
    </row>
    <row r="88" spans="1:14" s="252" customFormat="1" ht="10.199999999999999" x14ac:dyDescent="0.2">
      <c r="A88" s="265" t="s">
        <v>366</v>
      </c>
      <c r="B88" s="309">
        <f>+'[2]Exhibit 7'!B52*0.17</f>
        <v>193.97000000000003</v>
      </c>
      <c r="C88" s="309">
        <v>0</v>
      </c>
      <c r="D88" s="268">
        <v>0</v>
      </c>
      <c r="E88" s="268">
        <v>0</v>
      </c>
      <c r="F88" s="268">
        <v>0.5</v>
      </c>
      <c r="G88" s="268">
        <v>0.1</v>
      </c>
      <c r="H88" s="291">
        <f>+($B$4*D88)+($C$4*E88)+($E$4*F88)+($F$4*G88)</f>
        <v>23.836000000000002</v>
      </c>
      <c r="I88" s="291">
        <v>0</v>
      </c>
      <c r="J88" s="291">
        <v>0</v>
      </c>
      <c r="K88" s="268">
        <f>(D88+E88+F88+G88)*(B88+C88)</f>
        <v>116.38200000000001</v>
      </c>
      <c r="L88" s="269">
        <f>(H88+I88+J88)*(C88+B88)</f>
        <v>4623.4689200000012</v>
      </c>
      <c r="M88" s="311"/>
      <c r="N88" s="253"/>
    </row>
    <row r="89" spans="1:14" s="252" customFormat="1" ht="10.199999999999999" x14ac:dyDescent="0.2">
      <c r="A89" s="265" t="s">
        <v>367</v>
      </c>
      <c r="B89" s="304">
        <f>+'[2]Exhibit 7'!B54*0.17</f>
        <v>13.260000000000002</v>
      </c>
      <c r="C89" s="309">
        <v>0</v>
      </c>
      <c r="D89" s="268">
        <v>0</v>
      </c>
      <c r="E89" s="268">
        <v>0.25</v>
      </c>
      <c r="F89" s="268">
        <v>0.5</v>
      </c>
      <c r="G89" s="268">
        <v>0.1</v>
      </c>
      <c r="H89" s="291">
        <f>+($B$4*D89)+($C$4*E89)+($E$4*F89)+($F$4*G89)</f>
        <v>41.500999999999998</v>
      </c>
      <c r="I89" s="291">
        <v>0</v>
      </c>
      <c r="J89" s="291">
        <v>0</v>
      </c>
      <c r="K89" s="268">
        <f>(D89+E89+F89+G89)*(B89+C89)</f>
        <v>11.271000000000001</v>
      </c>
      <c r="L89" s="269">
        <f>(H89+I89+J89)*(C89+B89)</f>
        <v>550.30326000000002</v>
      </c>
      <c r="M89" s="311"/>
      <c r="N89" s="253"/>
    </row>
    <row r="90" spans="1:14" s="252" customFormat="1" ht="10.199999999999999" x14ac:dyDescent="0.2">
      <c r="A90" s="265" t="s">
        <v>368</v>
      </c>
      <c r="B90" s="304">
        <f>+'[2]Exhibit 7'!B55*0.17</f>
        <v>6.6300000000000008</v>
      </c>
      <c r="C90" s="309">
        <v>0</v>
      </c>
      <c r="D90" s="268">
        <v>0</v>
      </c>
      <c r="E90" s="268">
        <v>0.25</v>
      </c>
      <c r="F90" s="268">
        <v>0.5</v>
      </c>
      <c r="G90" s="268">
        <v>0.1</v>
      </c>
      <c r="H90" s="291">
        <f>+($B$4*D90)+($C$4*E90)+($E$4*F90)+($F$4*G90)</f>
        <v>41.500999999999998</v>
      </c>
      <c r="I90" s="291">
        <v>0</v>
      </c>
      <c r="J90" s="291">
        <v>0</v>
      </c>
      <c r="K90" s="268">
        <f>(D90+E90+F90+G90)*(B90+C90)</f>
        <v>5.6355000000000004</v>
      </c>
      <c r="L90" s="269">
        <f>(H90+I90+J90)*(C90+B90)</f>
        <v>275.15163000000001</v>
      </c>
      <c r="M90" s="311"/>
      <c r="N90" s="253"/>
    </row>
    <row r="91" spans="1:14" s="252" customFormat="1" ht="10.199999999999999" x14ac:dyDescent="0.2">
      <c r="A91" s="265" t="s">
        <v>369</v>
      </c>
      <c r="B91" s="309">
        <f>+'[2]Exhibit 7'!B56*0.17</f>
        <v>41.99</v>
      </c>
      <c r="C91" s="309">
        <v>0</v>
      </c>
      <c r="D91" s="268">
        <v>0</v>
      </c>
      <c r="E91" s="268">
        <v>0</v>
      </c>
      <c r="F91" s="268">
        <v>5</v>
      </c>
      <c r="G91" s="268">
        <v>0</v>
      </c>
      <c r="H91" s="291">
        <f>+($B$4*D91)+($C$4*E91)+($E$4*F91)+($F$4*G91)</f>
        <v>211.4</v>
      </c>
      <c r="I91" s="291">
        <v>0</v>
      </c>
      <c r="J91" s="291">
        <v>0</v>
      </c>
      <c r="K91" s="268">
        <f>(D91+E91+F91+G91)*(B91+C91)</f>
        <v>209.95000000000002</v>
      </c>
      <c r="L91" s="269">
        <f>(H91+I91+J91)*(C91+B91)</f>
        <v>8876.6860000000015</v>
      </c>
      <c r="M91" s="311"/>
      <c r="N91" s="253"/>
    </row>
    <row r="92" spans="1:14" s="252" customFormat="1" ht="10.199999999999999" x14ac:dyDescent="0.2">
      <c r="A92" s="265" t="s">
        <v>370</v>
      </c>
      <c r="B92" s="309">
        <f>+'[2]Exhibit 7'!B58</f>
        <v>11.33</v>
      </c>
      <c r="C92" s="309">
        <v>0</v>
      </c>
      <c r="D92" s="268">
        <v>0</v>
      </c>
      <c r="E92" s="268">
        <v>0</v>
      </c>
      <c r="F92" s="268">
        <v>1</v>
      </c>
      <c r="G92" s="268">
        <v>0.1</v>
      </c>
      <c r="H92" s="291">
        <f>+($B$4*D92)+($C$4*E92)+($E$4*F92)+($F$4*G92)</f>
        <v>44.975999999999999</v>
      </c>
      <c r="I92" s="291">
        <v>0</v>
      </c>
      <c r="J92" s="291">
        <v>0</v>
      </c>
      <c r="K92" s="268">
        <f>(D92+E92+F92+G92)*(B92+C92)</f>
        <v>12.463000000000001</v>
      </c>
      <c r="L92" s="269">
        <f>(H92+I92+J92)*(C92+B92)</f>
        <v>509.57808</v>
      </c>
      <c r="M92" s="311"/>
      <c r="N92" s="253"/>
    </row>
    <row r="93" spans="1:14" s="252" customFormat="1" ht="10.199999999999999" x14ac:dyDescent="0.2">
      <c r="A93" s="270" t="s">
        <v>371</v>
      </c>
      <c r="B93" s="301"/>
      <c r="C93" s="301"/>
      <c r="D93" s="273"/>
      <c r="E93" s="273"/>
      <c r="F93" s="273"/>
      <c r="G93" s="273"/>
      <c r="H93" s="273"/>
      <c r="I93" s="273"/>
      <c r="J93" s="273"/>
      <c r="K93" s="273"/>
      <c r="L93" s="275"/>
      <c r="M93" s="311"/>
      <c r="N93" s="253"/>
    </row>
    <row r="94" spans="1:14" s="252" customFormat="1" ht="10.199999999999999" x14ac:dyDescent="0.2">
      <c r="A94" s="293" t="s">
        <v>372</v>
      </c>
      <c r="B94" s="303">
        <f>+'[2]Exhibit 7'!B61*0.17</f>
        <v>1.9261000000000001</v>
      </c>
      <c r="C94" s="294">
        <v>0</v>
      </c>
      <c r="D94" s="296">
        <v>0</v>
      </c>
      <c r="E94" s="296">
        <v>0</v>
      </c>
      <c r="F94" s="296">
        <v>0.5</v>
      </c>
      <c r="G94" s="296">
        <v>0.1</v>
      </c>
      <c r="H94" s="297">
        <f>+($B$4*D94)+($C$4*E94)+($E$4*F94)+($F$4*G94)</f>
        <v>23.836000000000002</v>
      </c>
      <c r="I94" s="297">
        <v>0</v>
      </c>
      <c r="J94" s="297">
        <v>0</v>
      </c>
      <c r="K94" s="296">
        <f>(D94+E94+F94+G94)*(B94+C94)</f>
        <v>1.1556600000000001</v>
      </c>
      <c r="L94" s="298">
        <f>(H94+I94+J94)*(C94+B94)</f>
        <v>45.910519600000008</v>
      </c>
      <c r="M94" s="311"/>
      <c r="N94" s="253"/>
    </row>
    <row r="95" spans="1:14" s="252" customFormat="1" ht="10.199999999999999" x14ac:dyDescent="0.2">
      <c r="A95" s="265" t="s">
        <v>373</v>
      </c>
      <c r="B95" s="304">
        <f>+'[2]Exhibit 7'!B63*0.17</f>
        <v>1.9261000000000001</v>
      </c>
      <c r="C95" s="309">
        <v>0</v>
      </c>
      <c r="D95" s="268">
        <v>0</v>
      </c>
      <c r="E95" s="268">
        <v>0</v>
      </c>
      <c r="F95" s="268">
        <v>0.5</v>
      </c>
      <c r="G95" s="268">
        <v>0.1</v>
      </c>
      <c r="H95" s="291">
        <f>+($B$4*D95)+($C$4*E95)+($E$4*F95)+($F$4*G95)</f>
        <v>23.836000000000002</v>
      </c>
      <c r="I95" s="291">
        <v>0</v>
      </c>
      <c r="J95" s="291">
        <v>0</v>
      </c>
      <c r="K95" s="268">
        <f>(D95+E95+F95+G95)*(B95+C95)</f>
        <v>1.1556600000000001</v>
      </c>
      <c r="L95" s="269">
        <f>(H95+I95+J95)*(C95+B95)</f>
        <v>45.910519600000008</v>
      </c>
      <c r="M95" s="311"/>
      <c r="N95" s="253"/>
    </row>
    <row r="96" spans="1:14" s="252" customFormat="1" ht="10.199999999999999" x14ac:dyDescent="0.2">
      <c r="A96" s="265" t="s">
        <v>374</v>
      </c>
      <c r="B96" s="304">
        <f>+'[2]Exhibit 7'!B65*0.17</f>
        <v>3.8522000000000003</v>
      </c>
      <c r="C96" s="309">
        <v>0</v>
      </c>
      <c r="D96" s="268">
        <v>0</v>
      </c>
      <c r="E96" s="268">
        <v>0</v>
      </c>
      <c r="F96" s="268">
        <v>0.5</v>
      </c>
      <c r="G96" s="268">
        <v>0.1</v>
      </c>
      <c r="H96" s="291">
        <f>+($B$4*D96)+($C$4*E96)+($E$4*F96)+($F$4*G96)</f>
        <v>23.836000000000002</v>
      </c>
      <c r="I96" s="291">
        <v>0</v>
      </c>
      <c r="J96" s="291">
        <v>0</v>
      </c>
      <c r="K96" s="268">
        <f>(D96+E96+F96+G96)*(B96+C96)</f>
        <v>2.3113200000000003</v>
      </c>
      <c r="L96" s="269">
        <f>(H96+I96+J96)*(C96+B96)</f>
        <v>91.821039200000016</v>
      </c>
      <c r="M96" s="311"/>
      <c r="N96" s="253"/>
    </row>
    <row r="97" spans="1:14" s="252" customFormat="1" ht="10.8" thickBot="1" x14ac:dyDescent="0.25">
      <c r="A97" s="270" t="s">
        <v>375</v>
      </c>
      <c r="B97" s="305">
        <f>+'[2]Exhibit 7'!B67*0.17</f>
        <v>1.9261000000000001</v>
      </c>
      <c r="C97" s="301">
        <v>0</v>
      </c>
      <c r="D97" s="273">
        <v>0</v>
      </c>
      <c r="E97" s="273">
        <v>0</v>
      </c>
      <c r="F97" s="273">
        <v>0.5</v>
      </c>
      <c r="G97" s="273">
        <v>0.25</v>
      </c>
      <c r="H97" s="274">
        <f>+($B$4*D97)+($C$4*E97)+($E$4*F97)+($F$4*G97)</f>
        <v>27.880000000000003</v>
      </c>
      <c r="I97" s="274">
        <v>0</v>
      </c>
      <c r="J97" s="274">
        <v>0</v>
      </c>
      <c r="K97" s="273">
        <f>(D97+E97+F97+G97)*(B97+C97)</f>
        <v>1.4445750000000002</v>
      </c>
      <c r="L97" s="275">
        <f>(H97+I97+J97)*(C97+B97)</f>
        <v>53.69966800000001</v>
      </c>
      <c r="M97" s="311"/>
      <c r="N97" s="253"/>
    </row>
    <row r="98" spans="1:14" s="252" customFormat="1" ht="10.8" thickBot="1" x14ac:dyDescent="0.25">
      <c r="A98" s="317" t="s">
        <v>64</v>
      </c>
      <c r="B98" s="318" t="s">
        <v>101</v>
      </c>
      <c r="C98" s="319">
        <v>0</v>
      </c>
      <c r="D98" s="320">
        <v>0</v>
      </c>
      <c r="E98" s="150" t="s">
        <v>101</v>
      </c>
      <c r="F98" s="150" t="s">
        <v>101</v>
      </c>
      <c r="G98" s="150" t="s">
        <v>101</v>
      </c>
      <c r="H98" s="150" t="s">
        <v>101</v>
      </c>
      <c r="I98" s="321">
        <v>0</v>
      </c>
      <c r="J98" s="321">
        <v>0</v>
      </c>
      <c r="K98" s="320">
        <f>SUM(K86:K97)</f>
        <v>623.62821500000007</v>
      </c>
      <c r="L98" s="322">
        <f>SUM(L86:L97)</f>
        <v>27223.004406399999</v>
      </c>
      <c r="M98" s="254"/>
      <c r="N98" s="253"/>
    </row>
    <row r="99" spans="1:14" s="252" customFormat="1" ht="10.8" thickBot="1" x14ac:dyDescent="0.25">
      <c r="A99" s="323" t="s">
        <v>12</v>
      </c>
      <c r="B99" s="143" t="s">
        <v>101</v>
      </c>
      <c r="C99" s="143" t="s">
        <v>101</v>
      </c>
      <c r="D99" s="240" t="s">
        <v>101</v>
      </c>
      <c r="E99" s="240" t="s">
        <v>101</v>
      </c>
      <c r="F99" s="150" t="s">
        <v>101</v>
      </c>
      <c r="G99" s="240" t="s">
        <v>101</v>
      </c>
      <c r="H99" s="240" t="s">
        <v>101</v>
      </c>
      <c r="I99" s="240" t="s">
        <v>101</v>
      </c>
      <c r="J99" s="240" t="s">
        <v>101</v>
      </c>
      <c r="K99" s="320">
        <f>K28+K33+K40+K66+K84+K98</f>
        <v>1474.860815</v>
      </c>
      <c r="L99" s="324">
        <f>L28+L33+L40+L66+L84+L98</f>
        <v>63378.118734400006</v>
      </c>
      <c r="M99" s="254"/>
      <c r="N99" s="253"/>
    </row>
    <row r="100" spans="1:14" s="252" customFormat="1" ht="10.199999999999999" x14ac:dyDescent="0.2">
      <c r="A100" s="251"/>
      <c r="B100" s="325"/>
      <c r="C100" s="325"/>
      <c r="D100" s="311"/>
      <c r="E100" s="311"/>
      <c r="F100" s="311"/>
      <c r="G100" s="311"/>
      <c r="H100" s="311"/>
      <c r="I100" s="311"/>
      <c r="J100" s="311"/>
      <c r="K100" s="311"/>
      <c r="L100" s="253"/>
      <c r="M100" s="254"/>
      <c r="N100" s="253"/>
    </row>
    <row r="101" spans="1:14" s="252" customFormat="1" ht="10.199999999999999" hidden="1" x14ac:dyDescent="0.2">
      <c r="A101" s="251"/>
      <c r="B101" s="251"/>
      <c r="C101" s="251"/>
      <c r="D101" s="251"/>
      <c r="E101" s="251"/>
      <c r="F101" s="251"/>
      <c r="G101" s="251"/>
      <c r="H101" s="251"/>
      <c r="I101" s="251"/>
      <c r="J101" s="251"/>
      <c r="K101" s="311">
        <f>K99*3</f>
        <v>4424.582445</v>
      </c>
      <c r="L101" s="311">
        <f>L99*3</f>
        <v>190134.3562032</v>
      </c>
      <c r="M101" s="251"/>
      <c r="N101" s="251"/>
    </row>
    <row r="102" spans="1:14" s="252" customFormat="1" ht="10.199999999999999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5434-8913-48B1-AD3C-C8DC69614FD2}">
  <dimension ref="A1:C17"/>
  <sheetViews>
    <sheetView workbookViewId="0">
      <selection activeCell="C14" sqref="C14"/>
    </sheetView>
  </sheetViews>
  <sheetFormatPr defaultRowHeight="15" x14ac:dyDescent="0.25"/>
  <cols>
    <col min="1" max="1" width="26.7265625" customWidth="1"/>
  </cols>
  <sheetData>
    <row r="1" spans="1:3" s="252" customFormat="1" x14ac:dyDescent="0.25">
      <c r="A1" s="341" t="s">
        <v>449</v>
      </c>
      <c r="B1" s="259"/>
      <c r="C1" s="259"/>
    </row>
    <row r="2" spans="1:3" s="252" customFormat="1" x14ac:dyDescent="0.25">
      <c r="A2" s="341" t="s">
        <v>450</v>
      </c>
      <c r="B2" s="257"/>
      <c r="C2" s="257"/>
    </row>
    <row r="3" spans="1:3" s="252" customFormat="1" ht="10.199999999999999" x14ac:dyDescent="0.2">
      <c r="A3" s="259"/>
      <c r="B3" s="257"/>
      <c r="C3" s="257"/>
    </row>
    <row r="4" spans="1:3" s="252" customFormat="1" ht="10.199999999999999" x14ac:dyDescent="0.2">
      <c r="A4" s="259"/>
      <c r="B4" s="257"/>
      <c r="C4" s="257"/>
    </row>
    <row r="5" spans="1:3" s="252" customFormat="1" ht="10.199999999999999" x14ac:dyDescent="0.2">
      <c r="A5" s="259"/>
      <c r="B5" s="257"/>
      <c r="C5" s="257"/>
    </row>
    <row r="6" spans="1:3" s="252" customFormat="1" ht="10.199999999999999" x14ac:dyDescent="0.2">
      <c r="A6" s="259"/>
      <c r="B6" s="76" t="s">
        <v>32</v>
      </c>
      <c r="C6" s="76" t="s">
        <v>32</v>
      </c>
    </row>
    <row r="7" spans="1:3" s="252" customFormat="1" ht="10.199999999999999" x14ac:dyDescent="0.2">
      <c r="A7" s="259"/>
      <c r="B7" s="76" t="s">
        <v>41</v>
      </c>
      <c r="C7" s="76" t="s">
        <v>442</v>
      </c>
    </row>
    <row r="8" spans="1:3" s="252" customFormat="1" ht="10.199999999999999" x14ac:dyDescent="0.2">
      <c r="A8" s="256" t="s">
        <v>39</v>
      </c>
      <c r="B8" s="76" t="s">
        <v>42</v>
      </c>
      <c r="C8" s="76" t="s">
        <v>42</v>
      </c>
    </row>
    <row r="9" spans="1:3" s="252" customFormat="1" ht="1.05" customHeight="1" thickBot="1" x14ac:dyDescent="0.25">
      <c r="A9" s="326"/>
      <c r="B9" s="327"/>
      <c r="C9" s="327"/>
    </row>
    <row r="10" spans="1:3" s="252" customFormat="1" ht="10.8" thickTop="1" x14ac:dyDescent="0.2">
      <c r="A10" s="328" t="s">
        <v>1</v>
      </c>
      <c r="B10" s="329">
        <f>+'[2]Exhibit 11'!K28</f>
        <v>5.9226000000000001</v>
      </c>
      <c r="C10" s="330">
        <f>+'[2]Exhibit 11'!L28</f>
        <v>357.25123200000002</v>
      </c>
    </row>
    <row r="11" spans="1:3" s="252" customFormat="1" ht="10.199999999999999" x14ac:dyDescent="0.2">
      <c r="A11" s="265" t="s">
        <v>3</v>
      </c>
      <c r="B11" s="266">
        <f>+'[2]Exhibit 11'!K33</f>
        <v>197.42000000000002</v>
      </c>
      <c r="C11" s="331">
        <f>+'[2]Exhibit 11'!L33</f>
        <v>11908.374400000001</v>
      </c>
    </row>
    <row r="12" spans="1:3" s="252" customFormat="1" ht="10.199999999999999" x14ac:dyDescent="0.2">
      <c r="A12" s="265" t="s">
        <v>5</v>
      </c>
      <c r="B12" s="266">
        <f>+'[2]Exhibit 11'!K40</f>
        <v>111.715</v>
      </c>
      <c r="C12" s="331">
        <f>+'[2]Exhibit 11'!L40</f>
        <v>6738.6487999999999</v>
      </c>
    </row>
    <row r="13" spans="1:3" s="252" customFormat="1" ht="10.199999999999999" x14ac:dyDescent="0.2">
      <c r="A13" s="265" t="s">
        <v>8</v>
      </c>
      <c r="B13" s="266">
        <f>+'[2]Exhibit 11'!K66</f>
        <v>49.174999999999997</v>
      </c>
      <c r="C13" s="331">
        <f>+'[2]Exhibit 11'!L66</f>
        <v>2966.2360000000003</v>
      </c>
    </row>
    <row r="14" spans="1:3" s="252" customFormat="1" ht="10.199999999999999" x14ac:dyDescent="0.2">
      <c r="A14" s="265" t="s">
        <v>10</v>
      </c>
      <c r="B14" s="266">
        <f>+'[2]Exhibit 11'!K84</f>
        <v>487</v>
      </c>
      <c r="C14" s="331">
        <f>+'[2]Exhibit 11'!L84</f>
        <v>29549.34</v>
      </c>
    </row>
    <row r="15" spans="1:3" s="252" customFormat="1" ht="10.8" thickBot="1" x14ac:dyDescent="0.25">
      <c r="A15" s="270" t="s">
        <v>11</v>
      </c>
      <c r="B15" s="271">
        <f>+'[2]Exhibit 11'!K98</f>
        <v>623.62821500000007</v>
      </c>
      <c r="C15" s="332">
        <f>+'[2]Exhibit 11'!L98</f>
        <v>37381.570819449997</v>
      </c>
    </row>
    <row r="16" spans="1:3" s="252" customFormat="1" ht="10.8" thickBot="1" x14ac:dyDescent="0.25">
      <c r="A16" s="276" t="s">
        <v>12</v>
      </c>
      <c r="B16" s="333">
        <f>SUM(B10:B15)</f>
        <v>1474.860815</v>
      </c>
      <c r="C16" s="334">
        <f>SUM(C10:C15)</f>
        <v>88901.421251449996</v>
      </c>
    </row>
    <row r="17" ht="15.6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D177-05C7-4B13-8DC8-69526DFD605C}">
  <dimension ref="A1:T86"/>
  <sheetViews>
    <sheetView showOutlineSymbols="0" topLeftCell="C39" zoomScaleNormal="100" zoomScaleSheetLayoutView="100" workbookViewId="0">
      <selection activeCell="B78" sqref="A78:IV86"/>
    </sheetView>
  </sheetViews>
  <sheetFormatPr defaultColWidth="9.7265625" defaultRowHeight="10.199999999999999" x14ac:dyDescent="0.2"/>
  <cols>
    <col min="1" max="1" width="9.7265625" style="1" hidden="1" customWidth="1"/>
    <col min="2" max="2" width="28.26953125" style="1" customWidth="1"/>
    <col min="3" max="3" width="9.26953125" style="1" customWidth="1"/>
    <col min="4" max="6" width="8.81640625" style="1" customWidth="1"/>
    <col min="7" max="7" width="8.7265625" style="1" customWidth="1"/>
    <col min="8" max="8" width="9.26953125" style="1" customWidth="1"/>
    <col min="9" max="9" width="10.26953125" style="1" customWidth="1"/>
    <col min="10" max="10" width="9.08984375" style="1" customWidth="1"/>
    <col min="11" max="11" width="9.26953125" style="1" customWidth="1"/>
    <col min="12" max="12" width="10.08984375" style="1" customWidth="1"/>
    <col min="13" max="13" width="10.7265625" style="1" customWidth="1"/>
    <col min="14" max="14" width="15.7265625" style="1" hidden="1" customWidth="1"/>
    <col min="15" max="15" width="11.7265625" style="1" hidden="1" customWidth="1"/>
    <col min="16" max="16" width="14.7265625" style="1" hidden="1" customWidth="1"/>
    <col min="17" max="17" width="9.7265625" style="1" hidden="1" customWidth="1"/>
    <col min="18" max="18" width="10.7265625" style="1" hidden="1" customWidth="1"/>
    <col min="19" max="19" width="12.7265625" style="1" hidden="1" customWidth="1"/>
    <col min="20" max="21" width="0" style="1" hidden="1" customWidth="1"/>
    <col min="22" max="16384" width="9.7265625" style="1"/>
  </cols>
  <sheetData>
    <row r="1" spans="1:16" hidden="1" x14ac:dyDescent="0.2">
      <c r="A1" s="8"/>
      <c r="B1" s="11" t="s">
        <v>33</v>
      </c>
      <c r="C1" s="15" t="s">
        <v>40</v>
      </c>
      <c r="D1" s="15" t="s">
        <v>46</v>
      </c>
      <c r="E1" s="8"/>
      <c r="F1" s="15" t="s">
        <v>48</v>
      </c>
      <c r="G1" s="15" t="s">
        <v>49</v>
      </c>
      <c r="H1" s="8"/>
      <c r="I1" s="8"/>
      <c r="J1" s="8"/>
      <c r="K1" s="8"/>
      <c r="L1" s="8"/>
      <c r="M1" s="12"/>
      <c r="N1" s="12"/>
      <c r="O1" s="18" t="s">
        <v>50</v>
      </c>
      <c r="P1" s="8"/>
    </row>
    <row r="2" spans="1:16" hidden="1" x14ac:dyDescent="0.2">
      <c r="A2" s="8"/>
      <c r="B2" s="11" t="s">
        <v>34</v>
      </c>
      <c r="C2" s="8"/>
      <c r="D2" s="12"/>
      <c r="E2" s="8"/>
      <c r="F2" s="12"/>
      <c r="G2" s="12"/>
      <c r="H2" s="8"/>
      <c r="I2" s="8"/>
      <c r="J2" s="8"/>
      <c r="K2" s="8"/>
      <c r="L2" s="8"/>
      <c r="M2" s="12"/>
      <c r="N2" s="12"/>
      <c r="O2" s="8">
        <v>1</v>
      </c>
      <c r="P2" s="8"/>
    </row>
    <row r="3" spans="1:16" hidden="1" x14ac:dyDescent="0.2">
      <c r="A3" s="8"/>
      <c r="B3" s="11" t="s">
        <v>35</v>
      </c>
      <c r="C3" s="8"/>
      <c r="D3" s="20"/>
      <c r="E3" s="8"/>
      <c r="F3" s="20"/>
      <c r="G3" s="20"/>
      <c r="H3" s="8"/>
      <c r="I3" s="8"/>
      <c r="J3" s="8"/>
      <c r="K3" s="8"/>
      <c r="L3" s="8"/>
      <c r="M3" s="12"/>
      <c r="N3" s="12"/>
      <c r="O3" s="8"/>
      <c r="P3" s="8"/>
    </row>
    <row r="4" spans="1:16" hidden="1" x14ac:dyDescent="0.2">
      <c r="A4" s="8"/>
      <c r="B4" s="11" t="s">
        <v>36</v>
      </c>
      <c r="C4" s="68">
        <v>135.66</v>
      </c>
      <c r="D4" s="12">
        <v>80.19</v>
      </c>
      <c r="E4" s="8">
        <v>0</v>
      </c>
      <c r="F4" s="12">
        <v>59.75</v>
      </c>
      <c r="G4" s="12">
        <v>35.94</v>
      </c>
      <c r="H4" s="8"/>
      <c r="I4" s="8"/>
      <c r="J4" s="8"/>
      <c r="K4" s="8"/>
      <c r="L4" s="8"/>
      <c r="M4" s="12"/>
      <c r="N4" s="12"/>
      <c r="O4" s="8"/>
      <c r="P4" s="8"/>
    </row>
    <row r="5" spans="1:16" hidden="1" x14ac:dyDescent="0.2">
      <c r="A5" s="8"/>
      <c r="B5" s="8"/>
      <c r="C5" s="8"/>
      <c r="D5" s="12"/>
      <c r="E5" s="8"/>
      <c r="F5" s="8"/>
      <c r="G5" s="8"/>
      <c r="H5" s="8"/>
      <c r="I5" s="8"/>
      <c r="J5" s="8"/>
      <c r="K5" s="8"/>
      <c r="L5" s="8"/>
      <c r="M5" s="12"/>
      <c r="N5" s="12"/>
      <c r="O5" s="18" t="s">
        <v>50</v>
      </c>
      <c r="P5" s="8"/>
    </row>
    <row r="6" spans="1:16" hidden="1" x14ac:dyDescent="0.2">
      <c r="A6" s="8"/>
      <c r="B6" s="11" t="s">
        <v>37</v>
      </c>
      <c r="C6" s="8"/>
      <c r="D6" s="15" t="s">
        <v>46</v>
      </c>
      <c r="E6" s="8"/>
      <c r="F6" s="15" t="s">
        <v>48</v>
      </c>
      <c r="G6" s="15" t="s">
        <v>49</v>
      </c>
      <c r="H6" s="8"/>
      <c r="I6" s="8"/>
      <c r="J6" s="8">
        <f>1349/0.95</f>
        <v>1420</v>
      </c>
      <c r="K6" s="8"/>
      <c r="L6" s="8"/>
      <c r="M6" s="12"/>
      <c r="N6" s="12"/>
      <c r="O6" s="8">
        <v>2</v>
      </c>
      <c r="P6" s="8"/>
    </row>
    <row r="7" spans="1:16" hidden="1" x14ac:dyDescent="0.2">
      <c r="A7" s="8"/>
      <c r="B7" s="11" t="s">
        <v>34</v>
      </c>
      <c r="C7" s="8"/>
      <c r="D7" s="12"/>
      <c r="E7" s="8"/>
      <c r="F7" s="12"/>
      <c r="G7" s="12"/>
      <c r="H7" s="8"/>
      <c r="I7" s="8"/>
      <c r="J7" s="8"/>
      <c r="K7" s="8"/>
      <c r="L7" s="8"/>
      <c r="M7" s="12"/>
      <c r="N7" s="12"/>
      <c r="O7" s="8"/>
      <c r="P7" s="8"/>
    </row>
    <row r="8" spans="1:16" hidden="1" x14ac:dyDescent="0.2">
      <c r="A8" s="8"/>
      <c r="B8" s="11" t="s">
        <v>35</v>
      </c>
      <c r="C8" s="8"/>
      <c r="D8" s="20"/>
      <c r="E8" s="8"/>
      <c r="F8" s="20"/>
      <c r="G8" s="20"/>
      <c r="H8" s="8"/>
      <c r="I8" s="8"/>
      <c r="J8" s="8"/>
      <c r="K8" s="8"/>
      <c r="L8" s="8"/>
      <c r="M8" s="12"/>
      <c r="N8" s="12"/>
      <c r="O8" s="8"/>
      <c r="P8" s="8"/>
    </row>
    <row r="9" spans="1:16" hidden="1" x14ac:dyDescent="0.2">
      <c r="A9" s="8"/>
      <c r="B9" s="11" t="s">
        <v>36</v>
      </c>
      <c r="C9" s="68" t="s">
        <v>379</v>
      </c>
      <c r="D9" s="12" t="s">
        <v>379</v>
      </c>
      <c r="E9" s="8"/>
      <c r="F9" s="12" t="s">
        <v>379</v>
      </c>
      <c r="G9" s="12" t="s">
        <v>379</v>
      </c>
      <c r="H9" s="8"/>
      <c r="I9" s="8"/>
      <c r="J9" s="8"/>
      <c r="K9" s="8"/>
      <c r="L9" s="8"/>
      <c r="M9" s="12"/>
      <c r="N9" s="12"/>
      <c r="O9" s="8"/>
      <c r="P9" s="8"/>
    </row>
    <row r="10" spans="1:16" hidden="1" x14ac:dyDescent="0.2">
      <c r="A10" s="8"/>
      <c r="B10" s="11"/>
      <c r="C10" s="8"/>
      <c r="D10" s="12"/>
      <c r="E10" s="8"/>
      <c r="F10" s="12"/>
      <c r="G10" s="12"/>
      <c r="H10" s="8"/>
      <c r="I10" s="8"/>
      <c r="J10" s="8"/>
      <c r="K10" s="8"/>
      <c r="L10" s="8"/>
      <c r="M10" s="12"/>
      <c r="N10" s="12"/>
      <c r="O10" s="8"/>
      <c r="P10" s="8"/>
    </row>
    <row r="11" spans="1:16" hidden="1" x14ac:dyDescent="0.2">
      <c r="A11" s="8"/>
      <c r="B11" s="11" t="s">
        <v>13</v>
      </c>
      <c r="C11" s="8"/>
      <c r="D11" s="12"/>
      <c r="E11" s="8" t="s">
        <v>30</v>
      </c>
      <c r="F11" s="12"/>
      <c r="G11" s="12"/>
      <c r="H11" s="8"/>
      <c r="I11" s="8"/>
      <c r="J11" s="8"/>
      <c r="K11" s="8"/>
      <c r="L11" s="8"/>
      <c r="M11" s="12"/>
      <c r="N11" s="12"/>
      <c r="O11" s="8"/>
      <c r="P11" s="8"/>
    </row>
    <row r="12" spans="1:16" hidden="1" x14ac:dyDescent="0.2">
      <c r="A12" s="8"/>
      <c r="B12" s="11"/>
      <c r="C12" s="8"/>
      <c r="D12" s="14" t="s">
        <v>29</v>
      </c>
      <c r="E12" s="15" t="s">
        <v>31</v>
      </c>
      <c r="F12" s="14" t="s">
        <v>32</v>
      </c>
      <c r="G12" s="12"/>
      <c r="H12" s="8"/>
      <c r="I12" s="8"/>
      <c r="J12" s="8"/>
      <c r="K12" s="8"/>
      <c r="L12" s="8"/>
      <c r="M12" s="12"/>
      <c r="N12" s="12"/>
      <c r="O12" s="8"/>
      <c r="P12" s="8"/>
    </row>
    <row r="13" spans="1:16" hidden="1" x14ac:dyDescent="0.2">
      <c r="A13" s="8"/>
      <c r="B13" s="11" t="s">
        <v>14</v>
      </c>
      <c r="C13" s="8"/>
      <c r="D13" s="8">
        <v>1076</v>
      </c>
      <c r="E13" s="8">
        <v>4</v>
      </c>
      <c r="F13" s="28">
        <f t="shared" ref="F13:F24" si="0">+D13+E13</f>
        <v>1080</v>
      </c>
      <c r="G13" s="12"/>
      <c r="H13" s="21"/>
      <c r="I13" s="8"/>
      <c r="J13" s="8"/>
      <c r="K13" s="8"/>
      <c r="L13" s="8"/>
      <c r="M13" s="12"/>
      <c r="N13" s="12"/>
      <c r="O13" s="8"/>
      <c r="P13" s="8"/>
    </row>
    <row r="14" spans="1:16" hidden="1" x14ac:dyDescent="0.2">
      <c r="A14" s="8"/>
      <c r="B14" s="11" t="s">
        <v>15</v>
      </c>
      <c r="C14" s="8"/>
      <c r="D14" s="17">
        <v>323</v>
      </c>
      <c r="E14" s="17">
        <v>1</v>
      </c>
      <c r="F14" s="17">
        <f t="shared" si="0"/>
        <v>324</v>
      </c>
      <c r="G14" s="10">
        <v>0.25</v>
      </c>
      <c r="H14" s="8"/>
      <c r="I14" s="8"/>
      <c r="J14" s="8"/>
      <c r="K14" s="8"/>
      <c r="L14" s="8"/>
      <c r="M14" s="12"/>
      <c r="N14" s="12"/>
      <c r="O14" s="8"/>
      <c r="P14" s="8"/>
    </row>
    <row r="15" spans="1:16" hidden="1" x14ac:dyDescent="0.2">
      <c r="A15" s="8"/>
      <c r="B15" s="11" t="s">
        <v>16</v>
      </c>
      <c r="C15" s="8"/>
      <c r="D15" s="17">
        <v>215</v>
      </c>
      <c r="E15" s="17">
        <v>1</v>
      </c>
      <c r="F15" s="17">
        <f t="shared" si="0"/>
        <v>216</v>
      </c>
      <c r="G15" s="10">
        <v>0.75</v>
      </c>
      <c r="H15" s="8"/>
      <c r="I15" s="8"/>
      <c r="J15" s="8"/>
      <c r="K15" s="8"/>
      <c r="L15" s="8"/>
      <c r="M15" s="12"/>
      <c r="N15" s="12"/>
      <c r="O15" s="8"/>
      <c r="P15" s="8"/>
    </row>
    <row r="16" spans="1:16" hidden="1" x14ac:dyDescent="0.2">
      <c r="A16" s="8"/>
      <c r="B16" s="11" t="s">
        <v>17</v>
      </c>
      <c r="C16" s="8"/>
      <c r="D16" s="28">
        <v>538</v>
      </c>
      <c r="E16" s="28">
        <v>2</v>
      </c>
      <c r="F16" s="8">
        <f t="shared" si="0"/>
        <v>540</v>
      </c>
      <c r="G16" s="12"/>
      <c r="H16" s="8"/>
      <c r="I16" s="8"/>
      <c r="J16" s="8"/>
      <c r="K16" s="8"/>
      <c r="L16" s="8"/>
      <c r="M16" s="12"/>
      <c r="N16" s="12"/>
      <c r="O16" s="8"/>
      <c r="P16" s="8"/>
    </row>
    <row r="17" spans="1:17" hidden="1" x14ac:dyDescent="0.2">
      <c r="A17" s="8"/>
      <c r="B17" s="11" t="s">
        <v>18</v>
      </c>
      <c r="C17" s="8"/>
      <c r="D17" s="28">
        <v>0</v>
      </c>
      <c r="E17" s="28">
        <v>0</v>
      </c>
      <c r="F17" s="28">
        <f t="shared" si="0"/>
        <v>0</v>
      </c>
      <c r="G17" s="12"/>
      <c r="H17" s="8"/>
      <c r="I17" s="8"/>
      <c r="J17" s="8"/>
      <c r="K17" s="8"/>
      <c r="L17" s="8"/>
      <c r="M17" s="12"/>
      <c r="N17" s="12"/>
      <c r="O17" s="8"/>
      <c r="P17" s="8"/>
      <c r="Q17" s="8"/>
    </row>
    <row r="18" spans="1:17" hidden="1" x14ac:dyDescent="0.2">
      <c r="A18" s="8"/>
      <c r="B18" s="11" t="s">
        <v>19</v>
      </c>
      <c r="C18" s="8"/>
      <c r="D18" s="8">
        <v>418</v>
      </c>
      <c r="E18" s="8">
        <v>2</v>
      </c>
      <c r="F18" s="8">
        <f t="shared" si="0"/>
        <v>420</v>
      </c>
      <c r="G18" s="12"/>
      <c r="H18" s="8"/>
      <c r="I18" s="8"/>
      <c r="J18" s="8"/>
      <c r="K18" s="8"/>
      <c r="L18" s="8"/>
      <c r="M18" s="12"/>
      <c r="N18" s="12"/>
      <c r="O18" s="8"/>
      <c r="P18" s="8"/>
      <c r="Q18" s="8"/>
    </row>
    <row r="19" spans="1:17" hidden="1" x14ac:dyDescent="0.2">
      <c r="A19" s="8"/>
      <c r="B19" s="11" t="s">
        <v>20</v>
      </c>
      <c r="C19" s="8"/>
      <c r="D19" s="28">
        <v>341</v>
      </c>
      <c r="E19" s="28">
        <v>1</v>
      </c>
      <c r="F19" s="28">
        <f t="shared" si="0"/>
        <v>342</v>
      </c>
      <c r="G19" s="12"/>
      <c r="H19" s="8"/>
      <c r="I19" s="8"/>
      <c r="J19" s="8"/>
      <c r="K19" s="8"/>
      <c r="L19" s="8"/>
      <c r="M19" s="12"/>
      <c r="N19" s="12"/>
      <c r="O19" s="8"/>
      <c r="P19" s="8"/>
      <c r="Q19" s="8"/>
    </row>
    <row r="20" spans="1:17" hidden="1" x14ac:dyDescent="0.2">
      <c r="A20" s="8"/>
      <c r="B20" s="11" t="s">
        <v>51</v>
      </c>
      <c r="C20" s="8"/>
      <c r="D20" s="28">
        <v>46</v>
      </c>
      <c r="E20" s="28">
        <v>0</v>
      </c>
      <c r="F20" s="28">
        <f t="shared" si="0"/>
        <v>46</v>
      </c>
      <c r="G20" s="12"/>
      <c r="H20" s="8"/>
      <c r="I20" s="8"/>
      <c r="J20" s="8"/>
      <c r="K20" s="8"/>
      <c r="L20" s="8"/>
      <c r="M20" s="12"/>
      <c r="N20" s="12"/>
      <c r="O20" s="8"/>
      <c r="P20" s="8"/>
      <c r="Q20" s="8"/>
    </row>
    <row r="21" spans="1:17" hidden="1" x14ac:dyDescent="0.2">
      <c r="A21" s="8"/>
      <c r="B21" s="11" t="s">
        <v>52</v>
      </c>
      <c r="C21" s="8"/>
      <c r="D21" s="28">
        <v>1</v>
      </c>
      <c r="E21" s="28">
        <v>0</v>
      </c>
      <c r="F21" s="28">
        <f t="shared" si="0"/>
        <v>1</v>
      </c>
      <c r="G21" s="12"/>
      <c r="H21" s="8"/>
      <c r="I21" s="8"/>
      <c r="J21" s="8"/>
      <c r="K21" s="8"/>
      <c r="L21" s="8"/>
      <c r="M21" s="12"/>
      <c r="N21" s="12"/>
      <c r="O21" s="8"/>
      <c r="P21" s="8"/>
      <c r="Q21" s="8"/>
    </row>
    <row r="22" spans="1:17" hidden="1" x14ac:dyDescent="0.2">
      <c r="A22" s="8"/>
      <c r="B22" s="11" t="s">
        <v>53</v>
      </c>
      <c r="C22" s="8"/>
      <c r="D22" s="28">
        <v>294</v>
      </c>
      <c r="E22" s="28">
        <v>1</v>
      </c>
      <c r="F22" s="28">
        <f t="shared" si="0"/>
        <v>295</v>
      </c>
      <c r="G22" s="12"/>
      <c r="H22" s="8"/>
      <c r="I22" s="8"/>
      <c r="J22" s="8"/>
      <c r="K22" s="8"/>
      <c r="L22" s="8"/>
      <c r="M22" s="12"/>
      <c r="N22" s="12"/>
      <c r="O22" s="8"/>
      <c r="P22" s="8"/>
      <c r="Q22" s="8"/>
    </row>
    <row r="23" spans="1:17" hidden="1" x14ac:dyDescent="0.2">
      <c r="A23" s="8"/>
      <c r="B23" s="11" t="s">
        <v>54</v>
      </c>
      <c r="C23" s="8"/>
      <c r="D23" s="28">
        <v>295</v>
      </c>
      <c r="E23" s="28">
        <v>1</v>
      </c>
      <c r="F23" s="28">
        <f t="shared" si="0"/>
        <v>296</v>
      </c>
      <c r="G23" s="12"/>
      <c r="H23" s="8"/>
      <c r="I23" s="8"/>
      <c r="J23" s="8"/>
      <c r="K23" s="8"/>
      <c r="L23" s="8"/>
      <c r="M23" s="12"/>
      <c r="N23" s="12"/>
      <c r="O23" s="8"/>
      <c r="P23" s="8"/>
      <c r="Q23" s="8"/>
    </row>
    <row r="24" spans="1:17" hidden="1" x14ac:dyDescent="0.2">
      <c r="A24" s="8"/>
      <c r="B24" s="11" t="s">
        <v>22</v>
      </c>
      <c r="C24" s="8"/>
      <c r="D24" s="17">
        <v>40</v>
      </c>
      <c r="E24" s="17">
        <v>0</v>
      </c>
      <c r="F24" s="17">
        <f t="shared" si="0"/>
        <v>40</v>
      </c>
      <c r="G24" s="12"/>
      <c r="H24" s="8"/>
      <c r="I24" s="8"/>
      <c r="J24" s="8"/>
      <c r="K24" s="8"/>
      <c r="L24" s="8"/>
      <c r="M24" s="12"/>
      <c r="N24" s="12"/>
      <c r="O24" s="8"/>
      <c r="P24" s="8"/>
      <c r="Q24" s="8"/>
    </row>
    <row r="25" spans="1:17" hidden="1" x14ac:dyDescent="0.2">
      <c r="A25" s="8"/>
      <c r="B25" s="11" t="s">
        <v>55</v>
      </c>
      <c r="C25" s="8" t="s">
        <v>379</v>
      </c>
      <c r="D25" s="8">
        <v>1</v>
      </c>
      <c r="E25" s="8">
        <v>0</v>
      </c>
      <c r="F25" s="8">
        <v>1</v>
      </c>
      <c r="G25" s="12"/>
      <c r="H25" s="8"/>
      <c r="I25" s="8"/>
      <c r="J25" s="8"/>
      <c r="K25" s="8"/>
      <c r="L25" s="8"/>
      <c r="M25" s="12"/>
      <c r="N25" s="12"/>
      <c r="O25" s="8"/>
      <c r="P25" s="8"/>
      <c r="Q25" s="8"/>
    </row>
    <row r="26" spans="1:17" hidden="1" x14ac:dyDescent="0.2">
      <c r="A26" s="8"/>
      <c r="B26" s="11" t="s">
        <v>23</v>
      </c>
      <c r="C26" s="8"/>
      <c r="D26" s="8">
        <v>0</v>
      </c>
      <c r="E26" s="8">
        <v>0</v>
      </c>
      <c r="F26" s="8">
        <v>0</v>
      </c>
      <c r="G26" s="12"/>
      <c r="H26" s="8"/>
      <c r="I26" s="8"/>
      <c r="J26" s="8"/>
      <c r="K26" s="8"/>
      <c r="L26" s="8"/>
      <c r="M26" s="12"/>
      <c r="N26" s="12"/>
      <c r="O26" s="8"/>
      <c r="P26" s="8"/>
      <c r="Q26" s="8"/>
    </row>
    <row r="27" spans="1:17" hidden="1" x14ac:dyDescent="0.2">
      <c r="A27" s="8"/>
      <c r="B27" s="11" t="s">
        <v>24</v>
      </c>
      <c r="C27" s="8" t="s">
        <v>379</v>
      </c>
      <c r="D27" s="8">
        <v>1</v>
      </c>
      <c r="E27" s="8">
        <v>0</v>
      </c>
      <c r="F27" s="8">
        <v>1</v>
      </c>
      <c r="G27" s="12"/>
      <c r="H27" s="8"/>
      <c r="I27" s="8"/>
      <c r="J27" s="8"/>
      <c r="K27" s="8"/>
      <c r="L27" s="8"/>
      <c r="M27" s="12"/>
      <c r="N27" s="12"/>
      <c r="O27" s="8"/>
      <c r="P27" s="8"/>
      <c r="Q27" s="8"/>
    </row>
    <row r="28" spans="1:17" hidden="1" x14ac:dyDescent="0.2">
      <c r="A28" s="8"/>
      <c r="B28" s="11" t="s">
        <v>25</v>
      </c>
      <c r="C28" s="8"/>
      <c r="D28" s="28">
        <v>7</v>
      </c>
      <c r="E28" s="28">
        <v>0</v>
      </c>
      <c r="F28" s="28">
        <f>+D28+E28</f>
        <v>7</v>
      </c>
      <c r="G28" s="10">
        <v>0.05</v>
      </c>
      <c r="H28" s="8"/>
      <c r="I28" s="8"/>
      <c r="J28" s="8"/>
      <c r="K28" s="8"/>
      <c r="L28" s="8"/>
      <c r="M28" s="12"/>
      <c r="N28" s="12"/>
      <c r="O28" s="8"/>
      <c r="P28" s="8"/>
      <c r="Q28" s="8"/>
    </row>
    <row r="29" spans="1:17" hidden="1" x14ac:dyDescent="0.2">
      <c r="A29" s="8"/>
      <c r="B29" s="11" t="s">
        <v>26</v>
      </c>
      <c r="C29" s="8"/>
      <c r="D29" s="28">
        <v>1</v>
      </c>
      <c r="E29" s="28">
        <v>0</v>
      </c>
      <c r="F29" s="28">
        <f>+D29+E29</f>
        <v>1</v>
      </c>
      <c r="G29" s="12"/>
      <c r="H29" s="8"/>
      <c r="I29" s="8"/>
      <c r="J29" s="8"/>
      <c r="K29" s="8"/>
      <c r="L29" s="8"/>
      <c r="M29" s="8"/>
      <c r="N29" s="8"/>
      <c r="O29" s="8"/>
      <c r="P29" s="8"/>
      <c r="Q29" s="19"/>
    </row>
    <row r="30" spans="1:17" hidden="1" x14ac:dyDescent="0.2">
      <c r="A30" s="8"/>
      <c r="B30" s="11" t="s">
        <v>56</v>
      </c>
      <c r="C30" s="8"/>
      <c r="D30" s="8">
        <v>512</v>
      </c>
      <c r="E30" s="8">
        <v>2</v>
      </c>
      <c r="F30" s="8">
        <f>+D30+E30</f>
        <v>514</v>
      </c>
      <c r="G30" s="12"/>
      <c r="H30" s="8"/>
      <c r="I30" s="8"/>
      <c r="J30" s="8"/>
      <c r="K30" s="8"/>
      <c r="L30" s="8"/>
      <c r="M30" s="8"/>
      <c r="N30" s="8"/>
      <c r="O30" s="8"/>
      <c r="P30" s="8"/>
      <c r="Q30" s="19"/>
    </row>
    <row r="31" spans="1:17" hidden="1" x14ac:dyDescent="0.2">
      <c r="A31" s="8"/>
      <c r="B31" s="11" t="s">
        <v>27</v>
      </c>
      <c r="C31" s="8"/>
      <c r="D31" s="8">
        <v>32</v>
      </c>
      <c r="E31" s="8">
        <v>0</v>
      </c>
      <c r="F31" s="8">
        <f>+D31+E31</f>
        <v>32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9"/>
    </row>
    <row r="32" spans="1:17" hidden="1" x14ac:dyDescent="0.2">
      <c r="A32" s="8"/>
      <c r="B32" s="11" t="s">
        <v>57</v>
      </c>
      <c r="C32" s="8"/>
      <c r="D32" s="8">
        <v>3</v>
      </c>
      <c r="E32" s="8">
        <v>0</v>
      </c>
      <c r="F32" s="8">
        <f>+D32+E32</f>
        <v>3</v>
      </c>
      <c r="G32" s="8"/>
      <c r="H32" s="8"/>
      <c r="I32" s="8"/>
      <c r="J32" s="8"/>
      <c r="K32" s="8"/>
      <c r="L32" s="8"/>
      <c r="M32" s="8"/>
      <c r="N32" s="8"/>
      <c r="O32" s="8"/>
      <c r="P32" s="19"/>
      <c r="Q32" s="17"/>
    </row>
    <row r="33" spans="1:20" hidden="1" x14ac:dyDescent="0.2">
      <c r="A33" s="8"/>
      <c r="B33" s="11" t="s">
        <v>28</v>
      </c>
      <c r="C33" s="8"/>
      <c r="D33" s="8">
        <v>0</v>
      </c>
      <c r="E33" s="8">
        <v>0</v>
      </c>
      <c r="F33" s="8">
        <f>D33+E33</f>
        <v>0</v>
      </c>
      <c r="G33" s="8"/>
      <c r="H33" s="8"/>
      <c r="I33" s="8"/>
      <c r="J33" s="8"/>
      <c r="K33" s="8"/>
      <c r="L33" s="8"/>
      <c r="M33" s="8"/>
      <c r="N33" s="8"/>
      <c r="O33" s="8"/>
      <c r="P33" s="19"/>
      <c r="Q33" s="17"/>
      <c r="R33" s="8"/>
      <c r="S33" s="26"/>
      <c r="T33" s="8"/>
    </row>
    <row r="34" spans="1:20" hidden="1" x14ac:dyDescent="0.2">
      <c r="A34" s="8"/>
      <c r="B34" s="8"/>
      <c r="C34" s="17"/>
      <c r="D34" s="17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19"/>
      <c r="Q34" s="17"/>
      <c r="R34" s="8"/>
      <c r="S34" s="26"/>
      <c r="T34" s="8"/>
    </row>
    <row r="35" spans="1:20" hidden="1" x14ac:dyDescent="0.2">
      <c r="A35" s="8"/>
      <c r="B35" s="8"/>
      <c r="C35" s="17"/>
      <c r="D35" s="17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19"/>
      <c r="Q35" s="17"/>
      <c r="R35" s="8"/>
      <c r="S35" s="26"/>
      <c r="T35" s="8"/>
    </row>
    <row r="36" spans="1:20" ht="17.399999999999999" x14ac:dyDescent="0.3">
      <c r="A36" s="8"/>
      <c r="B36" s="353" t="s">
        <v>380</v>
      </c>
      <c r="C36" s="83"/>
      <c r="D36" s="83"/>
      <c r="E36" s="81"/>
      <c r="F36" s="70"/>
      <c r="G36" s="70"/>
      <c r="H36" s="70"/>
      <c r="I36" s="70"/>
      <c r="J36" s="70"/>
      <c r="K36" s="70"/>
      <c r="L36" s="70"/>
      <c r="M36" s="70"/>
      <c r="N36" s="8"/>
      <c r="O36" s="8"/>
      <c r="P36" s="19"/>
      <c r="Q36" s="17"/>
      <c r="R36" s="8"/>
      <c r="S36" s="26"/>
      <c r="T36" s="8"/>
    </row>
    <row r="37" spans="1:20" ht="17.399999999999999" x14ac:dyDescent="0.3">
      <c r="A37" s="8"/>
      <c r="B37" s="353" t="s">
        <v>58</v>
      </c>
      <c r="C37" s="70"/>
      <c r="D37" s="70"/>
      <c r="E37" s="81"/>
      <c r="F37" s="70"/>
      <c r="G37" s="70"/>
      <c r="H37" s="70"/>
      <c r="I37" s="70"/>
      <c r="J37" s="70"/>
      <c r="K37" s="70"/>
      <c r="L37" s="70"/>
      <c r="M37" s="70"/>
      <c r="N37" s="8"/>
      <c r="O37" s="8"/>
      <c r="P37" s="19"/>
      <c r="Q37" s="17"/>
      <c r="R37" s="8"/>
      <c r="S37" s="26"/>
      <c r="T37" s="8"/>
    </row>
    <row r="38" spans="1:20" ht="17.399999999999999" x14ac:dyDescent="0.3">
      <c r="A38" s="8"/>
      <c r="B38" s="353" t="s">
        <v>133</v>
      </c>
      <c r="C38" s="83"/>
      <c r="D38" s="83"/>
      <c r="E38" s="81"/>
      <c r="F38" s="70"/>
      <c r="G38" s="70"/>
      <c r="H38" s="70"/>
      <c r="I38" s="70"/>
      <c r="J38" s="70"/>
      <c r="K38" s="70"/>
      <c r="L38" s="70"/>
      <c r="M38" s="70"/>
      <c r="N38" s="8"/>
      <c r="O38" s="8"/>
      <c r="P38" s="19"/>
      <c r="Q38" s="17"/>
      <c r="R38" s="8"/>
      <c r="S38" s="26"/>
      <c r="T38" s="8"/>
    </row>
    <row r="39" spans="1:20" x14ac:dyDescent="0.2">
      <c r="A39" s="8"/>
      <c r="B39" s="70"/>
      <c r="C39" s="70"/>
      <c r="D39" s="72"/>
      <c r="E39" s="70"/>
      <c r="F39" s="70"/>
      <c r="G39" s="70"/>
      <c r="H39" s="70"/>
      <c r="I39" s="70"/>
      <c r="J39" s="71"/>
      <c r="K39" s="71"/>
      <c r="L39" s="70"/>
      <c r="M39" s="70"/>
      <c r="N39" s="8"/>
      <c r="O39" s="8"/>
      <c r="P39" s="19"/>
      <c r="Q39" s="17"/>
      <c r="R39" s="8"/>
      <c r="S39" s="26"/>
      <c r="T39" s="8"/>
    </row>
    <row r="40" spans="1:20" x14ac:dyDescent="0.2">
      <c r="A40" s="8"/>
      <c r="B40" s="70"/>
      <c r="C40" s="69" t="s">
        <v>100</v>
      </c>
      <c r="D40" s="72"/>
      <c r="E40" s="70"/>
      <c r="F40" s="70"/>
      <c r="G40" s="70"/>
      <c r="H40" s="70"/>
      <c r="I40" s="70"/>
      <c r="J40" s="71"/>
      <c r="K40" s="71"/>
      <c r="L40" s="70"/>
      <c r="M40" s="70"/>
      <c r="N40" s="8"/>
      <c r="O40" s="8"/>
      <c r="P40" s="19"/>
      <c r="Q40" s="17"/>
      <c r="R40" s="8"/>
      <c r="S40" s="26"/>
      <c r="T40" s="8"/>
    </row>
    <row r="41" spans="1:20" x14ac:dyDescent="0.2">
      <c r="A41" s="8"/>
      <c r="B41" s="70"/>
      <c r="C41" s="69" t="s">
        <v>33</v>
      </c>
      <c r="D41" s="69"/>
      <c r="E41" s="69" t="s">
        <v>104</v>
      </c>
      <c r="F41" s="73"/>
      <c r="G41" s="73"/>
      <c r="H41" s="73"/>
      <c r="I41" s="73"/>
      <c r="J41" s="73"/>
      <c r="K41" s="73"/>
      <c r="L41" s="69" t="s">
        <v>112</v>
      </c>
      <c r="M41" s="73"/>
      <c r="N41" s="15" t="s">
        <v>115</v>
      </c>
      <c r="O41" s="15" t="s">
        <v>115</v>
      </c>
      <c r="P41" s="15" t="s">
        <v>123</v>
      </c>
      <c r="Q41" s="29" t="s">
        <v>126</v>
      </c>
      <c r="R41" s="8"/>
      <c r="S41" s="26"/>
      <c r="T41" s="8"/>
    </row>
    <row r="42" spans="1:20" x14ac:dyDescent="0.2">
      <c r="A42" s="8"/>
      <c r="B42" s="70"/>
      <c r="C42" s="86"/>
      <c r="D42" s="87"/>
      <c r="E42" s="86"/>
      <c r="F42" s="88"/>
      <c r="G42" s="88"/>
      <c r="H42" s="88"/>
      <c r="I42" s="89"/>
      <c r="J42" s="90"/>
      <c r="K42" s="90"/>
      <c r="L42" s="92"/>
      <c r="M42" s="130"/>
      <c r="N42" s="15"/>
      <c r="O42" s="15"/>
      <c r="P42" s="15"/>
      <c r="Q42" s="29"/>
      <c r="R42" s="8"/>
      <c r="S42" s="26"/>
      <c r="T42" s="8"/>
    </row>
    <row r="43" spans="1:20" x14ac:dyDescent="0.2">
      <c r="A43" s="8"/>
      <c r="B43" s="70"/>
      <c r="C43" s="70"/>
      <c r="D43" s="70"/>
      <c r="E43" s="73" t="s">
        <v>40</v>
      </c>
      <c r="F43" s="73" t="s">
        <v>46</v>
      </c>
      <c r="G43" s="73" t="s">
        <v>48</v>
      </c>
      <c r="H43" s="73" t="s">
        <v>49</v>
      </c>
      <c r="I43" s="73" t="s">
        <v>106</v>
      </c>
      <c r="J43" s="74" t="s">
        <v>109</v>
      </c>
      <c r="K43" s="74"/>
      <c r="L43" s="73" t="s">
        <v>32</v>
      </c>
      <c r="M43" s="73" t="s">
        <v>32</v>
      </c>
      <c r="N43" s="15" t="s">
        <v>29</v>
      </c>
      <c r="O43" s="15" t="s">
        <v>122</v>
      </c>
      <c r="P43" s="15" t="s">
        <v>43</v>
      </c>
      <c r="Q43" s="29" t="s">
        <v>127</v>
      </c>
      <c r="R43" s="8"/>
      <c r="S43" s="26"/>
      <c r="T43" s="8"/>
    </row>
    <row r="44" spans="1:20" x14ac:dyDescent="0.2">
      <c r="A44" s="8"/>
      <c r="B44" s="70"/>
      <c r="C44" s="70"/>
      <c r="D44" s="73" t="s">
        <v>103</v>
      </c>
      <c r="E44" s="248">
        <f>C4</f>
        <v>135.66</v>
      </c>
      <c r="F44" s="74">
        <f>D4</f>
        <v>80.19</v>
      </c>
      <c r="G44" s="74">
        <f>F4</f>
        <v>59.75</v>
      </c>
      <c r="H44" s="74">
        <f>G4</f>
        <v>35.94</v>
      </c>
      <c r="I44" s="73" t="s">
        <v>107</v>
      </c>
      <c r="J44" s="74" t="s">
        <v>110</v>
      </c>
      <c r="K44" s="74" t="s">
        <v>111</v>
      </c>
      <c r="L44" s="73" t="s">
        <v>41</v>
      </c>
      <c r="M44" s="73" t="s">
        <v>47</v>
      </c>
      <c r="N44" s="15" t="s">
        <v>116</v>
      </c>
      <c r="O44" s="15" t="s">
        <v>116</v>
      </c>
      <c r="P44" s="15" t="s">
        <v>124</v>
      </c>
      <c r="Q44" s="29" t="s">
        <v>128</v>
      </c>
      <c r="R44" s="8"/>
      <c r="S44" s="26"/>
      <c r="T44" s="8"/>
    </row>
    <row r="45" spans="1:20" x14ac:dyDescent="0.2">
      <c r="A45" s="8"/>
      <c r="B45" s="69" t="s">
        <v>60</v>
      </c>
      <c r="C45" s="73" t="s">
        <v>29</v>
      </c>
      <c r="D45" s="73" t="s">
        <v>31</v>
      </c>
      <c r="E45" s="73" t="s">
        <v>439</v>
      </c>
      <c r="F45" s="73" t="s">
        <v>439</v>
      </c>
      <c r="G45" s="73" t="s">
        <v>439</v>
      </c>
      <c r="H45" s="73" t="s">
        <v>439</v>
      </c>
      <c r="I45" s="73" t="s">
        <v>108</v>
      </c>
      <c r="J45" s="74" t="s">
        <v>107</v>
      </c>
      <c r="K45" s="74" t="s">
        <v>107</v>
      </c>
      <c r="L45" s="73" t="s">
        <v>42</v>
      </c>
      <c r="M45" s="73" t="s">
        <v>42</v>
      </c>
      <c r="N45" s="15" t="s">
        <v>33</v>
      </c>
      <c r="O45" s="15" t="s">
        <v>33</v>
      </c>
      <c r="P45" s="15" t="s">
        <v>45</v>
      </c>
      <c r="Q45" s="29" t="s">
        <v>129</v>
      </c>
      <c r="R45" s="8"/>
      <c r="S45" s="26" t="s">
        <v>132</v>
      </c>
      <c r="T45" s="26" t="s">
        <v>111</v>
      </c>
    </row>
    <row r="46" spans="1:20" ht="1.05" customHeight="1" x14ac:dyDescent="0.2">
      <c r="A46" s="8"/>
      <c r="B46" s="78"/>
      <c r="C46" s="82"/>
      <c r="D46" s="82"/>
      <c r="E46" s="79"/>
      <c r="F46" s="78"/>
      <c r="G46" s="78"/>
      <c r="H46" s="78"/>
      <c r="I46" s="78"/>
      <c r="J46" s="78"/>
      <c r="K46" s="78"/>
      <c r="L46" s="78"/>
      <c r="M46" s="78"/>
      <c r="N46" s="8"/>
      <c r="O46" s="8"/>
      <c r="P46" s="19"/>
      <c r="Q46" s="17"/>
      <c r="R46" s="8"/>
      <c r="S46" s="26"/>
      <c r="T46" s="26"/>
    </row>
    <row r="47" spans="1:20" x14ac:dyDescent="0.2">
      <c r="A47" s="8"/>
      <c r="B47" s="335" t="s">
        <v>134</v>
      </c>
      <c r="C47" s="336"/>
      <c r="D47" s="336"/>
      <c r="E47" s="337"/>
      <c r="F47" s="338"/>
      <c r="G47" s="338"/>
      <c r="H47" s="338"/>
      <c r="I47" s="338"/>
      <c r="J47" s="339"/>
      <c r="K47" s="339"/>
      <c r="L47" s="338"/>
      <c r="M47" s="340"/>
      <c r="N47" s="8"/>
      <c r="O47" s="8"/>
      <c r="P47" s="19"/>
      <c r="Q47" s="17"/>
      <c r="R47" s="8"/>
      <c r="S47" s="26"/>
      <c r="T47" s="26"/>
    </row>
    <row r="48" spans="1:20" x14ac:dyDescent="0.2">
      <c r="A48" s="8"/>
      <c r="B48" s="54" t="s">
        <v>135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8"/>
      <c r="N48" s="8"/>
      <c r="O48" s="8"/>
      <c r="P48" s="18" t="s">
        <v>43</v>
      </c>
      <c r="Q48" s="29" t="s">
        <v>50</v>
      </c>
      <c r="R48" s="8"/>
      <c r="S48" s="26"/>
      <c r="T48" s="26"/>
    </row>
    <row r="49" spans="1:20" x14ac:dyDescent="0.2">
      <c r="A49" s="8"/>
      <c r="B49" s="59" t="s">
        <v>136</v>
      </c>
      <c r="C49" s="60">
        <f>0.01*$D$16</f>
        <v>5.38</v>
      </c>
      <c r="D49" s="60">
        <f>0.01*$E$16</f>
        <v>0.02</v>
      </c>
      <c r="E49" s="62">
        <v>0</v>
      </c>
      <c r="F49" s="62">
        <v>0.25</v>
      </c>
      <c r="G49" s="62">
        <f>0.5*2</f>
        <v>1</v>
      </c>
      <c r="H49" s="62">
        <f>0.25*2</f>
        <v>0.5</v>
      </c>
      <c r="I49" s="63">
        <f>+($C$4*E49)+($D$4*F49)+($F$4*G49)+($G$4*H49)</f>
        <v>97.767499999999998</v>
      </c>
      <c r="J49" s="63">
        <v>0</v>
      </c>
      <c r="K49" s="63">
        <v>0</v>
      </c>
      <c r="L49" s="62">
        <f>(E49+F49+G49+H49)*(C49+D49)</f>
        <v>9.4499999999999993</v>
      </c>
      <c r="M49" s="65">
        <f>(I49+J49+K49)*(D49+C49)</f>
        <v>527.94449999999995</v>
      </c>
      <c r="N49" s="8">
        <f>+$D$16</f>
        <v>538</v>
      </c>
      <c r="O49" s="8">
        <f>+$E$16</f>
        <v>2</v>
      </c>
      <c r="P49" s="19">
        <f>(((C49+D49)/(N49+O49))*(E49+F49+G49+H49))</f>
        <v>1.7499999999999998E-2</v>
      </c>
      <c r="Q49" s="17">
        <v>2</v>
      </c>
      <c r="R49" s="8"/>
      <c r="S49" s="26">
        <f>+J49*(C49+D49)</f>
        <v>0</v>
      </c>
      <c r="T49" s="26">
        <f>+K49*(C49+D49)</f>
        <v>0</v>
      </c>
    </row>
    <row r="50" spans="1:20" x14ac:dyDescent="0.2">
      <c r="A50" s="8"/>
      <c r="B50" s="335" t="s">
        <v>382</v>
      </c>
      <c r="C50" s="336"/>
      <c r="D50" s="336"/>
      <c r="E50" s="337"/>
      <c r="F50" s="338"/>
      <c r="G50" s="338"/>
      <c r="H50" s="338"/>
      <c r="I50" s="338"/>
      <c r="J50" s="339"/>
      <c r="K50" s="339"/>
      <c r="L50" s="338"/>
      <c r="M50" s="340"/>
      <c r="N50" s="8"/>
      <c r="O50" s="8"/>
      <c r="P50" s="19"/>
      <c r="Q50" s="17"/>
      <c r="R50" s="8"/>
      <c r="S50" s="26"/>
      <c r="T50" s="8"/>
    </row>
    <row r="51" spans="1:20" x14ac:dyDescent="0.2">
      <c r="A51" s="8"/>
      <c r="B51" s="114" t="s">
        <v>381</v>
      </c>
      <c r="C51" s="94">
        <f>D16</f>
        <v>538</v>
      </c>
      <c r="D51" s="94">
        <f>E16</f>
        <v>2</v>
      </c>
      <c r="E51" s="95">
        <v>0</v>
      </c>
      <c r="F51" s="104">
        <v>0</v>
      </c>
      <c r="G51" s="104">
        <f>20*2</f>
        <v>40</v>
      </c>
      <c r="H51" s="104">
        <f>20*2</f>
        <v>40</v>
      </c>
      <c r="I51" s="96">
        <f>+($C$4*E51)+($D$4*F51)+($F$4*G51)+($G$4*H51)</f>
        <v>3827.6</v>
      </c>
      <c r="J51" s="96">
        <v>0</v>
      </c>
      <c r="K51" s="96">
        <v>0</v>
      </c>
      <c r="L51" s="94">
        <f>(E51+F51+G51+H51)*(C51+D51)</f>
        <v>43200</v>
      </c>
      <c r="M51" s="115">
        <f>(I51+J51+K51)*(D51+C51)</f>
        <v>2066904</v>
      </c>
      <c r="N51" s="8">
        <f>+$D$16</f>
        <v>538</v>
      </c>
      <c r="O51" s="8">
        <f>+$E$16</f>
        <v>2</v>
      </c>
      <c r="P51" s="19">
        <f>(((C51+D51)/(N51+O51))*(E51+F51+G51+H51))</f>
        <v>80</v>
      </c>
      <c r="Q51" s="17">
        <v>2</v>
      </c>
      <c r="R51" s="8"/>
      <c r="S51" s="26">
        <f>+J51*(C51+D51)</f>
        <v>0</v>
      </c>
      <c r="T51" s="26">
        <f>+K51*(C51+D51)</f>
        <v>0</v>
      </c>
    </row>
    <row r="52" spans="1:20" x14ac:dyDescent="0.2">
      <c r="A52" s="8"/>
      <c r="B52" s="335" t="s">
        <v>383</v>
      </c>
      <c r="C52" s="336"/>
      <c r="D52" s="336"/>
      <c r="E52" s="337"/>
      <c r="F52" s="338"/>
      <c r="G52" s="338"/>
      <c r="H52" s="338"/>
      <c r="I52" s="338"/>
      <c r="J52" s="339"/>
      <c r="K52" s="339"/>
      <c r="L52" s="338"/>
      <c r="M52" s="340"/>
      <c r="N52" s="8"/>
      <c r="O52" s="8"/>
      <c r="P52" s="19"/>
      <c r="Q52" s="17"/>
      <c r="R52" s="8"/>
      <c r="S52" s="26"/>
      <c r="T52" s="8"/>
    </row>
    <row r="53" spans="1:20" x14ac:dyDescent="0.2">
      <c r="A53" s="8"/>
      <c r="B53" s="114" t="s">
        <v>381</v>
      </c>
      <c r="C53" s="94">
        <f>D16</f>
        <v>538</v>
      </c>
      <c r="D53" s="94">
        <f>E16</f>
        <v>2</v>
      </c>
      <c r="E53" s="95">
        <v>0</v>
      </c>
      <c r="F53" s="104">
        <v>0</v>
      </c>
      <c r="G53" s="104">
        <v>0</v>
      </c>
      <c r="H53" s="104">
        <f>10*2</f>
        <v>20</v>
      </c>
      <c r="I53" s="96">
        <f>+($C$4*E53)+($D$4*F53)+($F$4*G53)+($G$4*H53)</f>
        <v>718.8</v>
      </c>
      <c r="J53" s="96">
        <v>0</v>
      </c>
      <c r="K53" s="96">
        <v>0</v>
      </c>
      <c r="L53" s="94">
        <f>(E53+F53+G53+H53)*(C53+D53)</f>
        <v>10800</v>
      </c>
      <c r="M53" s="115">
        <f>(I53+J53+K53)*(D53+C53)</f>
        <v>388152</v>
      </c>
      <c r="N53" s="8">
        <f>+$D$16</f>
        <v>538</v>
      </c>
      <c r="O53" s="8">
        <f>+$E$16</f>
        <v>2</v>
      </c>
      <c r="P53" s="19">
        <f>(((C53+D53)/(N53+O53))*(E53+F53+G53+H53))</f>
        <v>20</v>
      </c>
      <c r="Q53" s="17">
        <v>2</v>
      </c>
      <c r="R53" s="8"/>
      <c r="S53" s="26">
        <f>+J53*(C53+D53)</f>
        <v>0</v>
      </c>
      <c r="T53" s="26">
        <f>+K53*(C53+D53)</f>
        <v>0</v>
      </c>
    </row>
    <row r="54" spans="1:20" x14ac:dyDescent="0.2">
      <c r="A54" s="8"/>
      <c r="B54" s="335" t="s">
        <v>137</v>
      </c>
      <c r="C54" s="336"/>
      <c r="D54" s="336"/>
      <c r="E54" s="337"/>
      <c r="F54" s="338"/>
      <c r="G54" s="338"/>
      <c r="H54" s="338"/>
      <c r="I54" s="338"/>
      <c r="J54" s="339"/>
      <c r="K54" s="339"/>
      <c r="L54" s="338"/>
      <c r="M54" s="340"/>
      <c r="N54" s="8"/>
      <c r="O54" s="8"/>
      <c r="P54" s="19"/>
      <c r="Q54" s="17"/>
      <c r="R54" s="8"/>
      <c r="S54" s="26"/>
      <c r="T54" s="8"/>
    </row>
    <row r="55" spans="1:20" x14ac:dyDescent="0.2">
      <c r="A55" s="8"/>
      <c r="B55" s="59" t="s">
        <v>381</v>
      </c>
      <c r="C55" s="60">
        <f>0.01*$D$16</f>
        <v>5.38</v>
      </c>
      <c r="D55" s="60">
        <f>0.01*$E$16</f>
        <v>0.02</v>
      </c>
      <c r="E55" s="62">
        <v>0</v>
      </c>
      <c r="F55" s="64">
        <v>0</v>
      </c>
      <c r="G55" s="64">
        <v>0</v>
      </c>
      <c r="H55" s="64">
        <f>2*2</f>
        <v>4</v>
      </c>
      <c r="I55" s="63">
        <f>+($C$4*E55)+($D$4*F55)+($F$4*G55)+($G$4*H55)</f>
        <v>143.76</v>
      </c>
      <c r="J55" s="63">
        <v>0</v>
      </c>
      <c r="K55" s="63">
        <v>0</v>
      </c>
      <c r="L55" s="44">
        <f>(E55+F55+G55+H55)*(C55+D55)</f>
        <v>21.599999999999998</v>
      </c>
      <c r="M55" s="65">
        <f>(I55+J55+K55)*(D55+C55)</f>
        <v>776.30399999999986</v>
      </c>
      <c r="N55" s="8">
        <f>+$D$16</f>
        <v>538</v>
      </c>
      <c r="O55" s="8">
        <f>+$E$16</f>
        <v>2</v>
      </c>
      <c r="P55" s="19">
        <f>(((C55+D55)/(N55+O55))*(E55+F55+G55+H55))</f>
        <v>3.9999999999999994E-2</v>
      </c>
      <c r="Q55" s="17">
        <v>2</v>
      </c>
      <c r="R55" s="8"/>
      <c r="S55" s="26">
        <f>+J55*(C55+D55)</f>
        <v>0</v>
      </c>
      <c r="T55" s="26">
        <f>+K55*(C55+D55)</f>
        <v>0</v>
      </c>
    </row>
    <row r="56" spans="1:20" x14ac:dyDescent="0.2">
      <c r="A56" s="8"/>
      <c r="B56" s="335" t="s">
        <v>138</v>
      </c>
      <c r="C56" s="336"/>
      <c r="D56" s="336"/>
      <c r="E56" s="337"/>
      <c r="F56" s="338"/>
      <c r="G56" s="338"/>
      <c r="H56" s="338"/>
      <c r="I56" s="338"/>
      <c r="J56" s="339"/>
      <c r="K56" s="339"/>
      <c r="L56" s="338"/>
      <c r="M56" s="340"/>
      <c r="N56" s="8"/>
      <c r="O56" s="8"/>
      <c r="P56" s="19"/>
      <c r="Q56" s="17"/>
      <c r="R56" s="8"/>
      <c r="S56" s="26"/>
      <c r="T56" s="8"/>
    </row>
    <row r="57" spans="1:20" x14ac:dyDescent="0.2">
      <c r="A57" s="8"/>
      <c r="B57" s="59" t="s">
        <v>381</v>
      </c>
      <c r="C57" s="60">
        <f>D16+D18</f>
        <v>956</v>
      </c>
      <c r="D57" s="60">
        <f>E16+E18</f>
        <v>4</v>
      </c>
      <c r="E57" s="62">
        <v>0</v>
      </c>
      <c r="F57" s="64">
        <v>0</v>
      </c>
      <c r="G57" s="64">
        <f>2*2</f>
        <v>4</v>
      </c>
      <c r="H57" s="64">
        <f>10*2</f>
        <v>20</v>
      </c>
      <c r="I57" s="63">
        <f>+($C$4*E57)+($D$4*F57)+($F$4*G57)+($G$4*H57)</f>
        <v>957.8</v>
      </c>
      <c r="J57" s="63">
        <v>0</v>
      </c>
      <c r="K57" s="63">
        <v>0</v>
      </c>
      <c r="L57" s="60">
        <f>(E57+F57+G57+H57)*(C57+D57)</f>
        <v>23040</v>
      </c>
      <c r="M57" s="65">
        <f>(I57+J57+K57)*(D57+C57)</f>
        <v>919488</v>
      </c>
      <c r="N57" s="8">
        <f>+$D$13</f>
        <v>1076</v>
      </c>
      <c r="O57" s="8">
        <f>+$E$13</f>
        <v>4</v>
      </c>
      <c r="P57" s="19">
        <f>(((C57+D57)/(N57+O57))*(E57+F57+G57+H57))</f>
        <v>21.333333333333332</v>
      </c>
      <c r="Q57" s="17">
        <v>2</v>
      </c>
      <c r="R57" s="8"/>
      <c r="S57" s="26">
        <f>+J57*(C57+D57)</f>
        <v>0</v>
      </c>
      <c r="T57" s="26">
        <f>+K57*(C57+D57)</f>
        <v>0</v>
      </c>
    </row>
    <row r="58" spans="1:20" x14ac:dyDescent="0.2">
      <c r="A58" s="8"/>
      <c r="B58" s="335" t="s">
        <v>384</v>
      </c>
      <c r="C58" s="336"/>
      <c r="D58" s="336"/>
      <c r="E58" s="337"/>
      <c r="F58" s="338"/>
      <c r="G58" s="338"/>
      <c r="H58" s="338"/>
      <c r="I58" s="338"/>
      <c r="J58" s="339"/>
      <c r="K58" s="339"/>
      <c r="L58" s="338"/>
      <c r="M58" s="340"/>
      <c r="N58" s="8"/>
      <c r="O58" s="8"/>
      <c r="P58" s="19"/>
      <c r="Q58" s="17"/>
      <c r="R58" s="8"/>
      <c r="S58" s="26"/>
      <c r="T58" s="8"/>
    </row>
    <row r="59" spans="1:20" x14ac:dyDescent="0.2">
      <c r="A59" s="8"/>
      <c r="B59" s="59" t="s">
        <v>381</v>
      </c>
      <c r="C59" s="60">
        <f>D19</f>
        <v>341</v>
      </c>
      <c r="D59" s="60">
        <f>E19</f>
        <v>1</v>
      </c>
      <c r="E59" s="62">
        <v>0</v>
      </c>
      <c r="F59" s="64">
        <v>0</v>
      </c>
      <c r="G59" s="64">
        <f>1*2</f>
        <v>2</v>
      </c>
      <c r="H59" s="64">
        <f>5*2</f>
        <v>10</v>
      </c>
      <c r="I59" s="63">
        <f>+($C$4*E59)+($D$4*F59)+($F$4*G59)+($G$4*H59)</f>
        <v>478.9</v>
      </c>
      <c r="J59" s="63">
        <v>0</v>
      </c>
      <c r="K59" s="63">
        <v>0</v>
      </c>
      <c r="L59" s="60">
        <f>(E59+F59+G59+H59)*(C59+D59)</f>
        <v>4104</v>
      </c>
      <c r="M59" s="65">
        <f>(I59+J59+K59)*(D59+C59)</f>
        <v>163783.79999999999</v>
      </c>
      <c r="N59" s="8">
        <f>+$D$16</f>
        <v>538</v>
      </c>
      <c r="O59" s="8">
        <f>+$E$16</f>
        <v>2</v>
      </c>
      <c r="P59" s="19">
        <f>(((C59+D59)/(N59+O59))*(E59+F59+G59+H59))</f>
        <v>7.6</v>
      </c>
      <c r="Q59" s="17">
        <v>2</v>
      </c>
      <c r="R59" s="8"/>
      <c r="S59" s="26">
        <f>+J59*(C59+D59)</f>
        <v>0</v>
      </c>
      <c r="T59" s="26">
        <f>+K59*(C59+D59)</f>
        <v>0</v>
      </c>
    </row>
    <row r="60" spans="1:20" x14ac:dyDescent="0.2">
      <c r="A60" s="8"/>
      <c r="B60" s="335" t="s">
        <v>385</v>
      </c>
      <c r="C60" s="336"/>
      <c r="D60" s="336"/>
      <c r="E60" s="337"/>
      <c r="F60" s="338"/>
      <c r="G60" s="338"/>
      <c r="H60" s="338"/>
      <c r="I60" s="338"/>
      <c r="J60" s="339"/>
      <c r="K60" s="339"/>
      <c r="L60" s="338"/>
      <c r="M60" s="340"/>
      <c r="N60" s="8"/>
      <c r="O60" s="8"/>
      <c r="P60" s="19"/>
      <c r="Q60" s="17"/>
      <c r="R60" s="8"/>
      <c r="S60" s="26"/>
      <c r="T60" s="8"/>
    </row>
    <row r="61" spans="1:20" x14ac:dyDescent="0.2">
      <c r="A61" s="8"/>
      <c r="B61" s="114" t="s">
        <v>381</v>
      </c>
      <c r="C61" s="94">
        <f>0.12*D16</f>
        <v>64.56</v>
      </c>
      <c r="D61" s="94">
        <f>0.12*E16</f>
        <v>0.24</v>
      </c>
      <c r="E61" s="95">
        <v>0</v>
      </c>
      <c r="F61" s="104">
        <v>0</v>
      </c>
      <c r="G61" s="104">
        <v>0</v>
      </c>
      <c r="H61" s="104">
        <f>1*2</f>
        <v>2</v>
      </c>
      <c r="I61" s="96">
        <f>+($C$4*E61)+($D$4*F61)+($F$4*G61)+($G$4*H61)</f>
        <v>71.88</v>
      </c>
      <c r="J61" s="96">
        <v>0</v>
      </c>
      <c r="K61" s="96">
        <v>0</v>
      </c>
      <c r="L61" s="102">
        <f>(E61+F61+G61+H61)*(C61+D61)</f>
        <v>129.6</v>
      </c>
      <c r="M61" s="115">
        <f>(I61+J61+K61)*(D61+C61)</f>
        <v>4657.8239999999996</v>
      </c>
      <c r="N61" s="8">
        <f>+$D$16</f>
        <v>538</v>
      </c>
      <c r="O61" s="8">
        <f>+$E$16</f>
        <v>2</v>
      </c>
      <c r="P61" s="19">
        <f>(((C61+D61)/(N61+O61))*(E61+F61+G61+H61))</f>
        <v>0.24</v>
      </c>
      <c r="Q61" s="17">
        <v>2</v>
      </c>
      <c r="R61" s="8"/>
      <c r="S61" s="26">
        <f>+J61*(C61+D61)</f>
        <v>0</v>
      </c>
      <c r="T61" s="26">
        <f>+K61*(C61+D61)</f>
        <v>0</v>
      </c>
    </row>
    <row r="62" spans="1:20" x14ac:dyDescent="0.2">
      <c r="A62" s="8"/>
      <c r="B62" s="335" t="s">
        <v>386</v>
      </c>
      <c r="C62" s="336"/>
      <c r="D62" s="336"/>
      <c r="E62" s="337"/>
      <c r="F62" s="338"/>
      <c r="G62" s="338"/>
      <c r="H62" s="338"/>
      <c r="I62" s="338"/>
      <c r="J62" s="339"/>
      <c r="K62" s="339"/>
      <c r="L62" s="338"/>
      <c r="M62" s="340"/>
      <c r="N62" s="8"/>
      <c r="O62" s="8"/>
      <c r="P62" s="19"/>
      <c r="Q62" s="17"/>
      <c r="R62" s="8"/>
      <c r="S62" s="26"/>
      <c r="T62" s="8"/>
    </row>
    <row r="63" spans="1:20" x14ac:dyDescent="0.2">
      <c r="A63" s="8"/>
      <c r="B63" s="59" t="s">
        <v>381</v>
      </c>
      <c r="C63" s="60">
        <f>D13</f>
        <v>1076</v>
      </c>
      <c r="D63" s="60">
        <f>E13</f>
        <v>4</v>
      </c>
      <c r="E63" s="62">
        <v>0</v>
      </c>
      <c r="F63" s="64">
        <v>0</v>
      </c>
      <c r="G63" s="64">
        <v>0</v>
      </c>
      <c r="H63" s="64">
        <v>0.25</v>
      </c>
      <c r="I63" s="63">
        <f>+($C$4*E63)+($D$4*F63)+($F$4*G63)+($G$4*H63)</f>
        <v>8.9849999999999994</v>
      </c>
      <c r="J63" s="63">
        <v>0</v>
      </c>
      <c r="K63" s="63">
        <v>0</v>
      </c>
      <c r="L63" s="44">
        <f>(E63+F63+G63+H63)*(C63+D63)</f>
        <v>270</v>
      </c>
      <c r="M63" s="65">
        <f>(I63+J63+K63)*(D63+C63)</f>
        <v>9703.7999999999993</v>
      </c>
      <c r="N63" s="8">
        <f>+$D$16</f>
        <v>538</v>
      </c>
      <c r="O63" s="8">
        <f>+$E$16</f>
        <v>2</v>
      </c>
      <c r="P63" s="19">
        <f>(((C63+D63)/(N63+O63))*(E63+F63+G63+H63))</f>
        <v>0.5</v>
      </c>
      <c r="Q63" s="17">
        <v>2</v>
      </c>
      <c r="R63" s="8"/>
      <c r="S63" s="26">
        <f>+J63*(C63+D63)</f>
        <v>0</v>
      </c>
      <c r="T63" s="26">
        <f>+K63*(C63+D63)</f>
        <v>0</v>
      </c>
    </row>
    <row r="64" spans="1:20" x14ac:dyDescent="0.2">
      <c r="A64" s="8"/>
      <c r="B64" s="335" t="s">
        <v>387</v>
      </c>
      <c r="C64" s="336"/>
      <c r="D64" s="336"/>
      <c r="E64" s="337"/>
      <c r="F64" s="338"/>
      <c r="G64" s="338"/>
      <c r="H64" s="338"/>
      <c r="I64" s="338"/>
      <c r="J64" s="339"/>
      <c r="K64" s="339"/>
      <c r="L64" s="338"/>
      <c r="M64" s="340"/>
      <c r="N64" s="8"/>
      <c r="O64" s="8"/>
      <c r="P64" s="19"/>
      <c r="Q64" s="17"/>
      <c r="R64" s="8"/>
      <c r="S64" s="26"/>
      <c r="T64" s="8"/>
    </row>
    <row r="65" spans="1:20" x14ac:dyDescent="0.2">
      <c r="A65" s="8"/>
      <c r="B65" s="59" t="s">
        <v>381</v>
      </c>
      <c r="C65" s="60">
        <f>D20</f>
        <v>46</v>
      </c>
      <c r="D65" s="60">
        <f>E20</f>
        <v>0</v>
      </c>
      <c r="E65" s="62">
        <v>0</v>
      </c>
      <c r="F65" s="64">
        <v>0</v>
      </c>
      <c r="G65" s="64">
        <v>0</v>
      </c>
      <c r="H65" s="64">
        <v>0.25</v>
      </c>
      <c r="I65" s="63">
        <f>+($C$4*E65)+($D$4*F65)+($F$4*G65)+($G$4*H65)</f>
        <v>8.9849999999999994</v>
      </c>
      <c r="J65" s="63">
        <v>0</v>
      </c>
      <c r="K65" s="63">
        <v>0</v>
      </c>
      <c r="L65" s="44">
        <f>(E65+F65+G65+H65)*(C65+D65)</f>
        <v>11.5</v>
      </c>
      <c r="M65" s="65">
        <f>(I65+J65+K65)*(D65+C65)</f>
        <v>413.30999999999995</v>
      </c>
      <c r="N65" s="8">
        <f>+$D$16</f>
        <v>538</v>
      </c>
      <c r="O65" s="8">
        <f>+$E$16</f>
        <v>2</v>
      </c>
      <c r="P65" s="19">
        <f>(((C65+D65)/(N65+O65))*(E65+F65+G65+H65))</f>
        <v>2.1296296296296296E-2</v>
      </c>
      <c r="Q65" s="17">
        <v>2</v>
      </c>
      <c r="R65" s="8"/>
      <c r="S65" s="26"/>
      <c r="T65" s="8"/>
    </row>
    <row r="66" spans="1:20" x14ac:dyDescent="0.2">
      <c r="A66" s="8"/>
      <c r="B66" s="335" t="s">
        <v>139</v>
      </c>
      <c r="C66" s="336"/>
      <c r="D66" s="336"/>
      <c r="E66" s="337"/>
      <c r="F66" s="338"/>
      <c r="G66" s="338"/>
      <c r="H66" s="338"/>
      <c r="I66" s="338"/>
      <c r="J66" s="339"/>
      <c r="K66" s="339"/>
      <c r="L66" s="338"/>
      <c r="M66" s="340"/>
      <c r="N66" s="8"/>
      <c r="O66" s="8"/>
      <c r="P66" s="19"/>
      <c r="Q66" s="17"/>
      <c r="R66" s="8"/>
      <c r="S66" s="26"/>
      <c r="T66" s="8"/>
    </row>
    <row r="67" spans="1:20" x14ac:dyDescent="0.2">
      <c r="A67" s="8"/>
      <c r="B67" s="59" t="s">
        <v>381</v>
      </c>
      <c r="C67" s="60">
        <f>D16</f>
        <v>538</v>
      </c>
      <c r="D67" s="60">
        <f>E16</f>
        <v>2</v>
      </c>
      <c r="E67" s="62">
        <v>0</v>
      </c>
      <c r="F67" s="64">
        <v>0</v>
      </c>
      <c r="G67" s="64">
        <v>0</v>
      </c>
      <c r="H67" s="64">
        <f>1*2</f>
        <v>2</v>
      </c>
      <c r="I67" s="63">
        <f>+($C$4*E67)+($D$4*F67)+($F$4*G67)+($G$4*H67)</f>
        <v>71.88</v>
      </c>
      <c r="J67" s="63">
        <v>0</v>
      </c>
      <c r="K67" s="63">
        <v>0</v>
      </c>
      <c r="L67" s="60">
        <f>(E67+F67+G67+H67)*(C67+D67)</f>
        <v>1080</v>
      </c>
      <c r="M67" s="65">
        <f>(I67+J67+K67)*(D67+C67)</f>
        <v>38815.199999999997</v>
      </c>
      <c r="N67" s="8">
        <f>+$D$16</f>
        <v>538</v>
      </c>
      <c r="O67" s="8">
        <f>+$E$16</f>
        <v>2</v>
      </c>
      <c r="P67" s="19">
        <f>(((C67+D67)/(N67+O67))*(E67+F67+G67+H67))</f>
        <v>2</v>
      </c>
      <c r="Q67" s="17">
        <v>2</v>
      </c>
      <c r="R67" s="8"/>
      <c r="S67" s="26">
        <f>+J67*(C67+D67)</f>
        <v>0</v>
      </c>
      <c r="T67" s="26">
        <f>+K67*(C67+D67)</f>
        <v>0</v>
      </c>
    </row>
    <row r="68" spans="1:20" x14ac:dyDescent="0.2">
      <c r="A68" s="8"/>
      <c r="B68" s="335" t="s">
        <v>388</v>
      </c>
      <c r="C68" s="336"/>
      <c r="D68" s="336"/>
      <c r="E68" s="337"/>
      <c r="F68" s="338"/>
      <c r="G68" s="338"/>
      <c r="H68" s="338"/>
      <c r="I68" s="338"/>
      <c r="J68" s="339"/>
      <c r="K68" s="339"/>
      <c r="L68" s="338"/>
      <c r="M68" s="340"/>
      <c r="N68" s="8"/>
      <c r="O68" s="8"/>
      <c r="P68" s="19"/>
      <c r="Q68" s="17"/>
      <c r="R68" s="8"/>
      <c r="S68" s="26"/>
      <c r="T68" s="8"/>
    </row>
    <row r="69" spans="1:20" x14ac:dyDescent="0.2">
      <c r="A69" s="8"/>
      <c r="B69" s="114" t="s">
        <v>381</v>
      </c>
      <c r="C69" s="94">
        <f>D20</f>
        <v>46</v>
      </c>
      <c r="D69" s="94">
        <f>E20</f>
        <v>0</v>
      </c>
      <c r="E69" s="95">
        <v>0</v>
      </c>
      <c r="F69" s="104">
        <v>0</v>
      </c>
      <c r="G69" s="104">
        <f>0.5*2</f>
        <v>1</v>
      </c>
      <c r="H69" s="104">
        <f>1*2</f>
        <v>2</v>
      </c>
      <c r="I69" s="96">
        <f>+($C$4*E69)+($D$4*F69)+($F$4*G69)+($G$4*H69)</f>
        <v>131.63</v>
      </c>
      <c r="J69" s="96">
        <v>0</v>
      </c>
      <c r="K69" s="96">
        <v>0</v>
      </c>
      <c r="L69" s="127">
        <f>(E69+F69+G69+H69)*(C69+D69)</f>
        <v>138</v>
      </c>
      <c r="M69" s="115">
        <f>(I69+J69+K69)*(D69+C69)</f>
        <v>6054.98</v>
      </c>
      <c r="N69" s="8">
        <f>+$D$16</f>
        <v>538</v>
      </c>
      <c r="O69" s="8">
        <f>+$E$16</f>
        <v>2</v>
      </c>
      <c r="P69" s="19">
        <f>(((C69+D69)/(N69+O69))*(E69+F69+G69+H69))</f>
        <v>0.25555555555555554</v>
      </c>
      <c r="Q69" s="17">
        <v>2</v>
      </c>
      <c r="R69" s="8"/>
      <c r="S69" s="26">
        <f>+J69*(C69+D69)</f>
        <v>0</v>
      </c>
      <c r="T69" s="26">
        <f>+K69*(C69+D69)</f>
        <v>0</v>
      </c>
    </row>
    <row r="70" spans="1:20" x14ac:dyDescent="0.2">
      <c r="A70" s="8"/>
      <c r="B70" s="335" t="s">
        <v>389</v>
      </c>
      <c r="C70" s="336"/>
      <c r="D70" s="336"/>
      <c r="E70" s="337"/>
      <c r="F70" s="338"/>
      <c r="G70" s="338"/>
      <c r="H70" s="338"/>
      <c r="I70" s="338"/>
      <c r="J70" s="339"/>
      <c r="K70" s="339"/>
      <c r="L70" s="338"/>
      <c r="M70" s="340"/>
      <c r="N70" s="8"/>
      <c r="O70" s="8"/>
      <c r="P70" s="19"/>
      <c r="Q70" s="17"/>
      <c r="R70" s="8"/>
      <c r="S70" s="26"/>
      <c r="T70" s="8"/>
    </row>
    <row r="71" spans="1:20" x14ac:dyDescent="0.2">
      <c r="A71" s="8"/>
      <c r="B71" s="114" t="s">
        <v>381</v>
      </c>
      <c r="C71" s="94">
        <f>0.05*D16</f>
        <v>26.900000000000002</v>
      </c>
      <c r="D71" s="94">
        <f>0.05*E16</f>
        <v>0.1</v>
      </c>
      <c r="E71" s="95">
        <v>0</v>
      </c>
      <c r="F71" s="104">
        <v>0</v>
      </c>
      <c r="G71" s="104">
        <v>0</v>
      </c>
      <c r="H71" s="104">
        <f>1*2</f>
        <v>2</v>
      </c>
      <c r="I71" s="96">
        <f>+($C$4*E71)+($D$4*F71)+($F$4*G71)+($G$4*H71)</f>
        <v>71.88</v>
      </c>
      <c r="J71" s="96">
        <v>0</v>
      </c>
      <c r="K71" s="96">
        <v>0</v>
      </c>
      <c r="L71" s="128">
        <f>(E71+F71+G71+H71)*(C71+D71)</f>
        <v>54.000000000000007</v>
      </c>
      <c r="M71" s="115">
        <f>(I71+J71+K71)*(D71+C71)</f>
        <v>1940.7600000000002</v>
      </c>
      <c r="N71" s="8">
        <f>+$D$16</f>
        <v>538</v>
      </c>
      <c r="O71" s="8">
        <f>+$E$16</f>
        <v>2</v>
      </c>
      <c r="P71" s="19">
        <f>(((C71+D71)/(N71+O71))*(E71+F71+G71+H71))</f>
        <v>0.10000000000000002</v>
      </c>
      <c r="Q71" s="17">
        <v>2</v>
      </c>
      <c r="R71" s="8"/>
      <c r="S71" s="26">
        <f>+J71*(C71+D71)</f>
        <v>0</v>
      </c>
      <c r="T71" s="26">
        <f>+K71*(C71+D71)</f>
        <v>0</v>
      </c>
    </row>
    <row r="72" spans="1:20" x14ac:dyDescent="0.2">
      <c r="A72" s="8"/>
      <c r="B72" s="335" t="s">
        <v>390</v>
      </c>
      <c r="C72" s="336"/>
      <c r="D72" s="336"/>
      <c r="E72" s="337"/>
      <c r="F72" s="338"/>
      <c r="G72" s="338"/>
      <c r="H72" s="338"/>
      <c r="I72" s="338"/>
      <c r="J72" s="339"/>
      <c r="K72" s="339"/>
      <c r="L72" s="338"/>
      <c r="M72" s="340"/>
      <c r="N72" s="8"/>
      <c r="O72" s="8"/>
      <c r="P72" s="19"/>
      <c r="Q72" s="17"/>
      <c r="R72" s="8"/>
      <c r="S72" s="26"/>
      <c r="T72" s="8"/>
    </row>
    <row r="73" spans="1:20" x14ac:dyDescent="0.2">
      <c r="A73" s="8"/>
      <c r="B73" s="114" t="s">
        <v>381</v>
      </c>
      <c r="C73" s="94">
        <f>0.95*D16</f>
        <v>511.09999999999997</v>
      </c>
      <c r="D73" s="94">
        <f>0.95*E16</f>
        <v>1.9</v>
      </c>
      <c r="E73" s="95">
        <v>0</v>
      </c>
      <c r="F73" s="104">
        <v>0</v>
      </c>
      <c r="G73" s="104">
        <v>0</v>
      </c>
      <c r="H73" s="104">
        <f>1*2</f>
        <v>2</v>
      </c>
      <c r="I73" s="96">
        <f>+($C$4*E73)+($D$4*F73)+($F$4*G73)+($G$4*H73)</f>
        <v>71.88</v>
      </c>
      <c r="J73" s="96">
        <v>0</v>
      </c>
      <c r="K73" s="96">
        <v>0</v>
      </c>
      <c r="L73" s="129">
        <f>(E73+F73+G73+H73)*(C73+D73)</f>
        <v>1026</v>
      </c>
      <c r="M73" s="115">
        <f>(I73+J73+K73)*(D73+C73)</f>
        <v>36874.439999999995</v>
      </c>
      <c r="N73" s="8">
        <f>+$D$16</f>
        <v>538</v>
      </c>
      <c r="O73" s="8">
        <f>+$E$16</f>
        <v>2</v>
      </c>
      <c r="P73" s="19">
        <f>(((C73+D73)/(N73+O73))*(E73+F73+G73+H73))</f>
        <v>1.9</v>
      </c>
      <c r="Q73" s="17">
        <v>2</v>
      </c>
      <c r="R73" s="8"/>
      <c r="S73" s="26">
        <f>+J73*(C73+D73)</f>
        <v>0</v>
      </c>
      <c r="T73" s="26">
        <f>+K73*(C73+D73)</f>
        <v>0</v>
      </c>
    </row>
    <row r="74" spans="1:20" x14ac:dyDescent="0.2">
      <c r="A74" s="8"/>
      <c r="B74" s="335" t="s">
        <v>140</v>
      </c>
      <c r="C74" s="336"/>
      <c r="D74" s="336"/>
      <c r="E74" s="337"/>
      <c r="F74" s="338"/>
      <c r="G74" s="338"/>
      <c r="H74" s="338"/>
      <c r="I74" s="338"/>
      <c r="J74" s="339"/>
      <c r="K74" s="339"/>
      <c r="L74" s="338"/>
      <c r="M74" s="340"/>
      <c r="N74" s="8"/>
      <c r="O74" s="8"/>
      <c r="P74" s="19"/>
      <c r="Q74" s="17"/>
      <c r="R74" s="8"/>
      <c r="S74" s="26"/>
      <c r="T74" s="26"/>
    </row>
    <row r="75" spans="1:20" x14ac:dyDescent="0.2">
      <c r="A75" s="8"/>
      <c r="B75" s="114" t="s">
        <v>141</v>
      </c>
      <c r="C75" s="94">
        <f>D13</f>
        <v>1076</v>
      </c>
      <c r="D75" s="94">
        <f>E13</f>
        <v>4</v>
      </c>
      <c r="E75" s="95">
        <v>0</v>
      </c>
      <c r="F75" s="104">
        <v>0</v>
      </c>
      <c r="G75" s="104">
        <v>0</v>
      </c>
      <c r="H75" s="104">
        <v>0</v>
      </c>
      <c r="I75" s="96">
        <f>+($C$4*E75)+($D$4*F75)+($F$4*G75)+($G$4*H75)</f>
        <v>0</v>
      </c>
      <c r="J75" s="96">
        <v>0</v>
      </c>
      <c r="K75" s="96">
        <v>0</v>
      </c>
      <c r="L75" s="95">
        <f>(E75+F75+G75+H75)*(C75+D75)</f>
        <v>0</v>
      </c>
      <c r="M75" s="115">
        <f>(I75+J75+K75)*(D75+C75)</f>
        <v>0</v>
      </c>
      <c r="N75" s="8"/>
      <c r="O75" s="8"/>
      <c r="P75" s="19"/>
      <c r="Q75" s="17"/>
      <c r="R75" s="8"/>
      <c r="S75" s="26">
        <f>+J75*(C75+D75)</f>
        <v>0</v>
      </c>
      <c r="T75" s="26">
        <f>+K75*(C75+D75)</f>
        <v>0</v>
      </c>
    </row>
    <row r="76" spans="1:20" ht="10.8" thickBot="1" x14ac:dyDescent="0.25">
      <c r="A76" s="8"/>
      <c r="B76" s="122" t="s">
        <v>12</v>
      </c>
      <c r="C76" s="123" t="s">
        <v>101</v>
      </c>
      <c r="D76" s="123" t="s">
        <v>101</v>
      </c>
      <c r="E76" s="124" t="s">
        <v>101</v>
      </c>
      <c r="F76" s="123" t="s">
        <v>101</v>
      </c>
      <c r="G76" s="123" t="s">
        <v>101</v>
      </c>
      <c r="H76" s="123" t="s">
        <v>101</v>
      </c>
      <c r="I76" s="123" t="s">
        <v>101</v>
      </c>
      <c r="J76" s="123" t="s">
        <v>101</v>
      </c>
      <c r="K76" s="123" t="s">
        <v>101</v>
      </c>
      <c r="L76" s="125">
        <f>SUM(L49:L75)</f>
        <v>83884.149999999994</v>
      </c>
      <c r="M76" s="126">
        <f>SUM(M49:M75)</f>
        <v>3638092.3624999998</v>
      </c>
      <c r="N76" s="8"/>
      <c r="O76" s="8"/>
      <c r="P76" s="29" t="s">
        <v>32</v>
      </c>
      <c r="Q76" s="45" t="s">
        <v>44</v>
      </c>
      <c r="R76" s="18" t="s">
        <v>130</v>
      </c>
      <c r="S76" s="26">
        <f>SUM(S49:S75)</f>
        <v>0</v>
      </c>
      <c r="T76" s="26">
        <f>SUM(T49:T75)</f>
        <v>0</v>
      </c>
    </row>
    <row r="77" spans="1:20" x14ac:dyDescent="0.2">
      <c r="A77" s="8"/>
      <c r="B77" s="8"/>
      <c r="C77" s="17"/>
      <c r="D77" s="17"/>
      <c r="E77" s="20"/>
      <c r="F77" s="8"/>
      <c r="G77" s="8"/>
      <c r="H77" s="8"/>
      <c r="I77" s="8"/>
      <c r="J77" s="8"/>
      <c r="K77" s="8"/>
      <c r="L77" s="8"/>
      <c r="M77" s="8"/>
      <c r="N77" s="8"/>
      <c r="O77" s="8"/>
      <c r="P77" s="46" t="s">
        <v>125</v>
      </c>
      <c r="Q77" s="46" t="s">
        <v>125</v>
      </c>
      <c r="R77" s="46" t="s">
        <v>125</v>
      </c>
      <c r="S77" s="8"/>
      <c r="T77" s="8"/>
    </row>
    <row r="78" spans="1:20" hidden="1" x14ac:dyDescent="0.2">
      <c r="A78" s="8"/>
      <c r="B78" s="8"/>
      <c r="C78" s="17"/>
      <c r="D78" s="17"/>
      <c r="E78" s="8">
        <f>SUM(E49:E73)</f>
        <v>0</v>
      </c>
      <c r="F78" s="8">
        <f>SUM(F49:F73)</f>
        <v>0.25</v>
      </c>
      <c r="G78" s="8">
        <f>SUM(G49:G73)</f>
        <v>48</v>
      </c>
      <c r="H78" s="8">
        <f>SUM(H49:H73)</f>
        <v>105</v>
      </c>
      <c r="I78" s="8">
        <f>+H78+G78</f>
        <v>153</v>
      </c>
      <c r="J78" s="8"/>
      <c r="K78" s="8"/>
      <c r="L78" s="8"/>
      <c r="M78" s="8"/>
      <c r="N78" s="8"/>
      <c r="O78" s="8"/>
      <c r="P78" s="9">
        <f>SUM(P48:P73)</f>
        <v>134.00768518518521</v>
      </c>
      <c r="Q78" s="9">
        <f>DSUM(P48:Q73,1,$O$1:$O$2)</f>
        <v>0</v>
      </c>
      <c r="R78" s="9">
        <f>DSUM(P48:Q73,1,$O$5:$O$6)</f>
        <v>134.00768518518521</v>
      </c>
      <c r="S78" s="8"/>
      <c r="T78" s="8"/>
    </row>
    <row r="79" spans="1:20" hidden="1" x14ac:dyDescent="0.2">
      <c r="A79" s="8"/>
      <c r="B79" s="8"/>
      <c r="C79" s="17"/>
      <c r="D79" s="17" t="s">
        <v>142</v>
      </c>
      <c r="E79" s="20"/>
      <c r="F79" s="8"/>
      <c r="G79" s="8"/>
      <c r="H79" s="8"/>
      <c r="I79" s="8"/>
      <c r="J79" s="8"/>
      <c r="K79" s="8"/>
      <c r="L79" s="8"/>
      <c r="M79" s="8"/>
      <c r="N79" s="8"/>
      <c r="O79" s="8"/>
      <c r="P79" s="19"/>
      <c r="Q79" s="17"/>
      <c r="R79" s="8"/>
      <c r="S79" s="26"/>
      <c r="T79" s="8"/>
    </row>
    <row r="80" spans="1:20" hidden="1" x14ac:dyDescent="0.2">
      <c r="A80" s="8"/>
      <c r="B80" s="8"/>
      <c r="C80" s="8"/>
      <c r="D80" s="8" t="s">
        <v>143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49" t="s">
        <v>131</v>
      </c>
      <c r="S80" s="26"/>
      <c r="T80" s="8"/>
    </row>
    <row r="81" spans="1:20" hidden="1" x14ac:dyDescent="0.2">
      <c r="A81" s="8"/>
      <c r="B81" s="8"/>
      <c r="C81" s="8"/>
      <c r="D81" s="8" t="s">
        <v>144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50" t="s">
        <v>125</v>
      </c>
      <c r="S81" s="26"/>
      <c r="T81" s="8"/>
    </row>
    <row r="82" spans="1:20" hidden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26">
        <f>Q78+R78</f>
        <v>134.00768518518521</v>
      </c>
      <c r="S82" s="26"/>
      <c r="T82" s="8"/>
    </row>
    <row r="83" spans="1:20" hidden="1" x14ac:dyDescent="0.2">
      <c r="A83" s="8"/>
      <c r="B83" s="8">
        <f>599/13</f>
        <v>46.07692307692308</v>
      </c>
      <c r="C83" s="8"/>
      <c r="D83" s="8" t="s">
        <v>145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26"/>
      <c r="T83" s="8"/>
    </row>
    <row r="84" spans="1:20" hidden="1" x14ac:dyDescent="0.2">
      <c r="A84" s="8"/>
      <c r="B84" s="8"/>
      <c r="C84" s="8"/>
      <c r="D84" s="8" t="s">
        <v>146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26"/>
      <c r="T84" s="8"/>
    </row>
    <row r="85" spans="1:20" hidden="1" x14ac:dyDescent="0.2">
      <c r="A85" s="8"/>
      <c r="B85" s="8"/>
      <c r="C85" s="8"/>
      <c r="D85" s="8" t="s">
        <v>147</v>
      </c>
    </row>
    <row r="86" spans="1:20" hidden="1" x14ac:dyDescent="0.2"/>
  </sheetData>
  <phoneticPr fontId="0" type="noConversion"/>
  <pageMargins left="0.4597222222222222" right="0.43958333333333333" top="0.18958333333333333" bottom="0.23958333333333334" header="0" footer="0"/>
  <pageSetup scale="65" orientation="landscape" r:id="rId1"/>
  <headerFooter alignWithMargins="0"/>
  <rowBreaks count="2" manualBreakCount="2">
    <brk id="65" min="1" max="12" man="1"/>
    <brk id="6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3B12-3D7B-4C71-B01E-6FB4A48B11E8}">
  <dimension ref="A1:T87"/>
  <sheetViews>
    <sheetView showOutlineSymbols="0" topLeftCell="B49" zoomScaleNormal="100" zoomScaleSheetLayoutView="100" workbookViewId="0">
      <selection activeCell="W49" sqref="W49"/>
    </sheetView>
  </sheetViews>
  <sheetFormatPr defaultColWidth="9.7265625" defaultRowHeight="10.199999999999999" x14ac:dyDescent="0.2"/>
  <cols>
    <col min="1" max="1" width="25.7265625" style="1" customWidth="1"/>
    <col min="2" max="2" width="9.7265625" style="1" customWidth="1"/>
    <col min="3" max="3" width="9.26953125" style="1" customWidth="1"/>
    <col min="4" max="4" width="9" style="1" customWidth="1"/>
    <col min="5" max="5" width="9.08984375" style="1" customWidth="1"/>
    <col min="6" max="6" width="8.81640625" style="1" customWidth="1"/>
    <col min="7" max="7" width="9" style="1" customWidth="1"/>
    <col min="8" max="8" width="8.7265625" style="1" customWidth="1"/>
    <col min="9" max="12" width="9.7265625" style="1" customWidth="1"/>
    <col min="13" max="13" width="12.7265625" style="1" hidden="1" customWidth="1"/>
    <col min="14" max="14" width="14.7265625" style="1" hidden="1" customWidth="1"/>
    <col min="15" max="15" width="13.7265625" style="1" hidden="1" customWidth="1"/>
    <col min="16" max="18" width="9.7265625" style="1" hidden="1" customWidth="1"/>
    <col min="19" max="19" width="10.7265625" style="1" hidden="1" customWidth="1"/>
    <col min="20" max="20" width="0" style="1" hidden="1" customWidth="1"/>
    <col min="21" max="16384" width="9.7265625" style="1"/>
  </cols>
  <sheetData>
    <row r="1" spans="1:19" hidden="1" x14ac:dyDescent="0.2">
      <c r="A1" s="11" t="s">
        <v>33</v>
      </c>
      <c r="B1" s="15" t="s">
        <v>40</v>
      </c>
      <c r="C1" s="15" t="s">
        <v>46</v>
      </c>
      <c r="D1" s="8"/>
      <c r="E1" s="15" t="s">
        <v>48</v>
      </c>
      <c r="F1" s="15" t="s">
        <v>49</v>
      </c>
      <c r="G1" s="8"/>
      <c r="H1" s="8"/>
      <c r="I1" s="8"/>
      <c r="J1" s="8"/>
      <c r="K1" s="18" t="s">
        <v>50</v>
      </c>
      <c r="L1" s="8"/>
      <c r="M1" s="8"/>
      <c r="N1" s="8"/>
      <c r="O1" s="8"/>
      <c r="P1" s="19"/>
      <c r="Q1" s="8"/>
      <c r="R1" s="8"/>
      <c r="S1" s="8"/>
    </row>
    <row r="2" spans="1:19" hidden="1" x14ac:dyDescent="0.2">
      <c r="A2" s="11" t="s">
        <v>34</v>
      </c>
      <c r="B2" s="8"/>
      <c r="C2" s="12"/>
      <c r="D2" s="8"/>
      <c r="E2" s="12"/>
      <c r="F2" s="12"/>
      <c r="G2" s="8"/>
      <c r="H2" s="8"/>
      <c r="I2" s="8"/>
      <c r="J2" s="8"/>
      <c r="K2" s="8">
        <v>1</v>
      </c>
      <c r="L2" s="8"/>
      <c r="M2" s="8"/>
      <c r="N2" s="8"/>
      <c r="O2" s="8"/>
      <c r="P2" s="19"/>
      <c r="Q2" s="8"/>
      <c r="R2" s="8"/>
      <c r="S2" s="8"/>
    </row>
    <row r="3" spans="1:19" hidden="1" x14ac:dyDescent="0.2">
      <c r="A3" s="11" t="s">
        <v>35</v>
      </c>
      <c r="B3" s="8"/>
      <c r="C3" s="20"/>
      <c r="D3" s="8"/>
      <c r="E3" s="20"/>
      <c r="F3" s="20"/>
      <c r="G3" s="8"/>
      <c r="H3" s="8"/>
      <c r="I3" s="8"/>
      <c r="J3" s="8"/>
      <c r="K3" s="8"/>
      <c r="L3" s="8"/>
      <c r="M3" s="8"/>
      <c r="N3" s="8"/>
      <c r="O3" s="8"/>
      <c r="P3" s="19"/>
      <c r="Q3" s="8"/>
      <c r="R3" s="8"/>
      <c r="S3" s="8"/>
    </row>
    <row r="4" spans="1:19" hidden="1" x14ac:dyDescent="0.2">
      <c r="A4" s="11" t="s">
        <v>36</v>
      </c>
      <c r="B4" s="68">
        <v>135.66</v>
      </c>
      <c r="C4" s="12">
        <v>80.19</v>
      </c>
      <c r="D4" s="8">
        <v>0</v>
      </c>
      <c r="E4" s="12">
        <v>59.75</v>
      </c>
      <c r="F4" s="12">
        <v>35.94</v>
      </c>
      <c r="G4" s="8"/>
      <c r="H4" s="8"/>
      <c r="I4" s="8"/>
      <c r="J4" s="8"/>
      <c r="K4" s="8"/>
      <c r="L4" s="8"/>
      <c r="M4" s="8"/>
      <c r="N4" s="8"/>
      <c r="O4" s="8"/>
      <c r="P4" s="19"/>
      <c r="Q4" s="8"/>
      <c r="R4" s="8"/>
      <c r="S4" s="8"/>
    </row>
    <row r="5" spans="1:19" hidden="1" x14ac:dyDescent="0.2">
      <c r="A5" s="8"/>
      <c r="B5" s="8"/>
      <c r="C5" s="12"/>
      <c r="D5" s="8"/>
      <c r="E5" s="8"/>
      <c r="F5" s="8"/>
      <c r="G5" s="8"/>
      <c r="H5" s="8"/>
      <c r="I5" s="8"/>
      <c r="J5" s="8"/>
      <c r="K5" s="18" t="s">
        <v>50</v>
      </c>
      <c r="L5" s="8"/>
      <c r="M5" s="8"/>
      <c r="N5" s="8"/>
      <c r="O5" s="8"/>
      <c r="P5" s="19"/>
      <c r="Q5" s="8"/>
      <c r="R5" s="8"/>
      <c r="S5" s="8"/>
    </row>
    <row r="6" spans="1:19" hidden="1" x14ac:dyDescent="0.2">
      <c r="A6" s="11" t="s">
        <v>37</v>
      </c>
      <c r="B6" s="8"/>
      <c r="C6" s="15" t="s">
        <v>46</v>
      </c>
      <c r="D6" s="8"/>
      <c r="E6" s="15" t="s">
        <v>48</v>
      </c>
      <c r="F6" s="15" t="s">
        <v>49</v>
      </c>
      <c r="G6" s="8"/>
      <c r="H6" s="8"/>
      <c r="I6" s="8"/>
      <c r="J6" s="8"/>
      <c r="K6" s="8">
        <v>2</v>
      </c>
      <c r="L6" s="8"/>
      <c r="M6" s="8"/>
      <c r="N6" s="8"/>
      <c r="O6" s="8"/>
      <c r="P6" s="19"/>
      <c r="Q6" s="8"/>
      <c r="R6" s="8"/>
      <c r="S6" s="8"/>
    </row>
    <row r="7" spans="1:19" hidden="1" x14ac:dyDescent="0.2">
      <c r="A7" s="11" t="s">
        <v>34</v>
      </c>
      <c r="B7" s="8"/>
      <c r="C7" s="12"/>
      <c r="D7" s="8"/>
      <c r="E7" s="12"/>
      <c r="F7" s="12"/>
      <c r="G7" s="8"/>
      <c r="H7" s="8"/>
      <c r="I7" s="8"/>
      <c r="J7" s="8"/>
      <c r="K7" s="8"/>
      <c r="L7" s="8"/>
      <c r="M7" s="8"/>
      <c r="N7" s="8"/>
      <c r="O7" s="8"/>
      <c r="P7" s="19"/>
      <c r="Q7" s="8"/>
      <c r="R7" s="8"/>
      <c r="S7" s="8"/>
    </row>
    <row r="8" spans="1:19" hidden="1" x14ac:dyDescent="0.2">
      <c r="A8" s="11" t="s">
        <v>35</v>
      </c>
      <c r="B8" s="8"/>
      <c r="C8" s="20"/>
      <c r="D8" s="8"/>
      <c r="E8" s="20"/>
      <c r="F8" s="20"/>
      <c r="G8" s="8"/>
      <c r="H8" s="8"/>
      <c r="I8" s="8"/>
      <c r="J8" s="8"/>
      <c r="K8" s="8"/>
      <c r="L8" s="8"/>
      <c r="M8" s="8"/>
      <c r="N8" s="8"/>
      <c r="O8" s="8"/>
      <c r="P8" s="19"/>
      <c r="Q8" s="8"/>
      <c r="R8" s="8"/>
      <c r="S8" s="8"/>
    </row>
    <row r="9" spans="1:19" hidden="1" x14ac:dyDescent="0.2">
      <c r="A9" s="11" t="s">
        <v>36</v>
      </c>
      <c r="B9" s="68" t="s">
        <v>379</v>
      </c>
      <c r="C9" s="12" t="s">
        <v>379</v>
      </c>
      <c r="D9" s="8"/>
      <c r="E9" s="12" t="s">
        <v>379</v>
      </c>
      <c r="F9" s="12" t="s">
        <v>379</v>
      </c>
      <c r="G9" s="8"/>
      <c r="H9" s="8"/>
      <c r="I9" s="8"/>
      <c r="J9" s="8"/>
      <c r="K9" s="8"/>
      <c r="L9" s="8"/>
      <c r="M9" s="8"/>
      <c r="N9" s="8"/>
      <c r="O9" s="8"/>
      <c r="P9" s="19"/>
      <c r="Q9" s="8"/>
      <c r="R9" s="8"/>
      <c r="S9" s="8"/>
    </row>
    <row r="10" spans="1:19" hidden="1" x14ac:dyDescent="0.2">
      <c r="A10" s="11"/>
      <c r="B10" s="8"/>
      <c r="C10" s="12"/>
      <c r="D10" s="8"/>
      <c r="E10" s="12"/>
      <c r="F10" s="12"/>
      <c r="G10" s="8"/>
      <c r="H10" s="8"/>
      <c r="I10" s="8"/>
      <c r="J10" s="8"/>
      <c r="K10" s="8"/>
      <c r="L10" s="8"/>
      <c r="M10" s="8"/>
      <c r="N10" s="8"/>
      <c r="O10" s="8"/>
      <c r="P10" s="19"/>
      <c r="Q10" s="8"/>
      <c r="R10" s="8"/>
      <c r="S10" s="8"/>
    </row>
    <row r="11" spans="1:19" hidden="1" x14ac:dyDescent="0.2">
      <c r="A11" s="11" t="s">
        <v>13</v>
      </c>
      <c r="B11" s="8"/>
      <c r="C11" s="12"/>
      <c r="D11" s="8" t="s">
        <v>30</v>
      </c>
      <c r="E11" s="12"/>
      <c r="F11" s="12"/>
      <c r="G11" s="8"/>
      <c r="H11" s="8"/>
      <c r="I11" s="8"/>
      <c r="J11" s="8"/>
      <c r="K11" s="8"/>
      <c r="L11" s="8"/>
      <c r="M11" s="8"/>
      <c r="N11" s="8"/>
      <c r="O11" s="8"/>
      <c r="P11" s="19"/>
      <c r="Q11" s="8"/>
      <c r="R11" s="8"/>
      <c r="S11" s="8"/>
    </row>
    <row r="12" spans="1:19" hidden="1" x14ac:dyDescent="0.2">
      <c r="A12" s="11"/>
      <c r="B12" s="8"/>
      <c r="C12" s="14" t="s">
        <v>29</v>
      </c>
      <c r="D12" s="15" t="s">
        <v>31</v>
      </c>
      <c r="E12" s="14" t="s">
        <v>32</v>
      </c>
      <c r="F12" s="12"/>
      <c r="G12" s="8"/>
      <c r="H12" s="8"/>
      <c r="I12" s="8"/>
      <c r="J12" s="8"/>
      <c r="K12" s="8"/>
      <c r="L12" s="8"/>
      <c r="M12" s="8"/>
      <c r="N12" s="8"/>
      <c r="O12" s="8"/>
      <c r="P12" s="19"/>
      <c r="Q12" s="8"/>
      <c r="R12" s="8"/>
      <c r="S12" s="8"/>
    </row>
    <row r="13" spans="1:19" hidden="1" x14ac:dyDescent="0.2">
      <c r="A13" s="11" t="s">
        <v>14</v>
      </c>
      <c r="B13" s="8"/>
      <c r="C13" s="8">
        <v>1076</v>
      </c>
      <c r="D13" s="8">
        <v>4</v>
      </c>
      <c r="E13" s="28">
        <f t="shared" ref="E13:E26" si="0">+C13+D13</f>
        <v>1080</v>
      </c>
      <c r="F13" s="12"/>
      <c r="G13" s="21"/>
      <c r="H13" s="8"/>
      <c r="I13" s="8"/>
      <c r="J13" s="8"/>
      <c r="K13" s="8"/>
      <c r="L13" s="8"/>
      <c r="M13" s="8"/>
      <c r="N13" s="8"/>
      <c r="O13" s="8"/>
      <c r="P13" s="22"/>
      <c r="Q13" s="16"/>
      <c r="R13" s="16"/>
      <c r="S13" s="16"/>
    </row>
    <row r="14" spans="1:19" hidden="1" x14ac:dyDescent="0.2">
      <c r="A14" s="11" t="s">
        <v>15</v>
      </c>
      <c r="B14" s="8"/>
      <c r="C14" s="17">
        <v>323</v>
      </c>
      <c r="D14" s="17">
        <v>1</v>
      </c>
      <c r="E14" s="17">
        <f t="shared" si="0"/>
        <v>324</v>
      </c>
      <c r="F14" s="10">
        <v>0.25</v>
      </c>
      <c r="G14" s="8"/>
      <c r="H14" s="8"/>
      <c r="I14" s="8"/>
      <c r="J14" s="8"/>
      <c r="K14" s="8"/>
      <c r="L14" s="8"/>
      <c r="M14" s="8"/>
      <c r="N14" s="8"/>
      <c r="O14" s="8"/>
      <c r="P14" s="19"/>
      <c r="Q14" s="8"/>
      <c r="R14" s="8"/>
      <c r="S14" s="8"/>
    </row>
    <row r="15" spans="1:19" hidden="1" x14ac:dyDescent="0.2">
      <c r="A15" s="11" t="s">
        <v>16</v>
      </c>
      <c r="B15" s="8"/>
      <c r="C15" s="17">
        <v>215</v>
      </c>
      <c r="D15" s="17">
        <v>1</v>
      </c>
      <c r="E15" s="17">
        <f t="shared" si="0"/>
        <v>216</v>
      </c>
      <c r="F15" s="10">
        <v>0.75</v>
      </c>
      <c r="G15" s="8"/>
      <c r="H15" s="8"/>
      <c r="I15" s="8"/>
      <c r="J15" s="8"/>
      <c r="K15" s="8"/>
      <c r="L15" s="8"/>
      <c r="M15" s="8"/>
      <c r="N15" s="8"/>
      <c r="O15" s="8"/>
      <c r="P15" s="19"/>
      <c r="Q15" s="8"/>
      <c r="R15" s="8"/>
      <c r="S15" s="8"/>
    </row>
    <row r="16" spans="1:19" hidden="1" x14ac:dyDescent="0.2">
      <c r="A16" s="11" t="s">
        <v>17</v>
      </c>
      <c r="B16" s="8"/>
      <c r="C16" s="28">
        <v>538</v>
      </c>
      <c r="D16" s="28">
        <v>2</v>
      </c>
      <c r="E16" s="8">
        <f t="shared" si="0"/>
        <v>540</v>
      </c>
      <c r="F16" s="12"/>
      <c r="G16" s="8"/>
      <c r="H16" s="8"/>
      <c r="I16" s="8"/>
      <c r="J16" s="8"/>
      <c r="K16" s="8"/>
      <c r="L16" s="8"/>
      <c r="M16" s="8"/>
      <c r="N16" s="8"/>
      <c r="O16" s="8"/>
      <c r="P16" s="19"/>
      <c r="Q16" s="8"/>
      <c r="R16" s="8"/>
      <c r="S16" s="8"/>
    </row>
    <row r="17" spans="1:16" hidden="1" x14ac:dyDescent="0.2">
      <c r="A17" s="11" t="s">
        <v>18</v>
      </c>
      <c r="B17" s="8"/>
      <c r="C17" s="28">
        <v>0</v>
      </c>
      <c r="D17" s="28">
        <v>0</v>
      </c>
      <c r="E17" s="28">
        <f t="shared" si="0"/>
        <v>0</v>
      </c>
      <c r="F17" s="12"/>
      <c r="G17" s="8"/>
      <c r="H17" s="8"/>
      <c r="I17" s="8"/>
      <c r="J17" s="8"/>
      <c r="K17" s="8"/>
      <c r="L17" s="8"/>
      <c r="M17" s="8"/>
      <c r="N17" s="8"/>
      <c r="O17" s="8"/>
      <c r="P17" s="19"/>
    </row>
    <row r="18" spans="1:16" hidden="1" x14ac:dyDescent="0.2">
      <c r="A18" s="11" t="s">
        <v>19</v>
      </c>
      <c r="B18" s="8"/>
      <c r="C18" s="8">
        <v>418</v>
      </c>
      <c r="D18" s="8">
        <v>2</v>
      </c>
      <c r="E18" s="8">
        <f t="shared" si="0"/>
        <v>420</v>
      </c>
      <c r="F18" s="12"/>
      <c r="G18" s="8"/>
      <c r="H18" s="8"/>
      <c r="I18" s="8"/>
      <c r="J18" s="8"/>
      <c r="K18" s="8"/>
      <c r="L18" s="8"/>
      <c r="M18" s="8"/>
      <c r="N18" s="8"/>
      <c r="O18" s="8"/>
      <c r="P18" s="19"/>
    </row>
    <row r="19" spans="1:16" hidden="1" x14ac:dyDescent="0.2">
      <c r="A19" s="11" t="s">
        <v>20</v>
      </c>
      <c r="B19" s="8"/>
      <c r="C19" s="28">
        <v>341</v>
      </c>
      <c r="D19" s="28">
        <v>1</v>
      </c>
      <c r="E19" s="28">
        <f t="shared" si="0"/>
        <v>342</v>
      </c>
      <c r="F19" s="12"/>
      <c r="G19" s="8"/>
      <c r="H19" s="8"/>
      <c r="I19" s="8"/>
      <c r="J19" s="8"/>
      <c r="K19" s="8"/>
      <c r="L19" s="8"/>
      <c r="M19" s="8"/>
      <c r="N19" s="8"/>
      <c r="O19" s="8"/>
      <c r="P19" s="19"/>
    </row>
    <row r="20" spans="1:16" hidden="1" x14ac:dyDescent="0.2">
      <c r="A20" s="11" t="s">
        <v>51</v>
      </c>
      <c r="B20" s="8"/>
      <c r="C20" s="28">
        <v>46</v>
      </c>
      <c r="D20" s="28">
        <v>0</v>
      </c>
      <c r="E20" s="28">
        <f t="shared" si="0"/>
        <v>46</v>
      </c>
      <c r="F20" s="12"/>
      <c r="G20" s="8"/>
      <c r="H20" s="8"/>
      <c r="I20" s="8"/>
      <c r="J20" s="8"/>
      <c r="K20" s="8"/>
      <c r="L20" s="8"/>
      <c r="M20" s="8"/>
      <c r="N20" s="8"/>
      <c r="O20" s="8"/>
      <c r="P20" s="19"/>
    </row>
    <row r="21" spans="1:16" hidden="1" x14ac:dyDescent="0.2">
      <c r="A21" s="11" t="s">
        <v>52</v>
      </c>
      <c r="B21" s="8"/>
      <c r="C21" s="28">
        <v>1</v>
      </c>
      <c r="D21" s="28">
        <v>0</v>
      </c>
      <c r="E21" s="28">
        <f t="shared" si="0"/>
        <v>1</v>
      </c>
      <c r="F21" s="12"/>
      <c r="G21" s="8"/>
      <c r="H21" s="8"/>
      <c r="I21" s="8"/>
      <c r="J21" s="8"/>
      <c r="K21" s="8"/>
      <c r="L21" s="8"/>
      <c r="M21" s="8"/>
      <c r="N21" s="8"/>
      <c r="O21" s="8"/>
      <c r="P21" s="19"/>
    </row>
    <row r="22" spans="1:16" hidden="1" x14ac:dyDescent="0.2">
      <c r="A22" s="11" t="s">
        <v>53</v>
      </c>
      <c r="B22" s="8"/>
      <c r="C22" s="28">
        <v>294</v>
      </c>
      <c r="D22" s="28">
        <v>1</v>
      </c>
      <c r="E22" s="28">
        <f t="shared" si="0"/>
        <v>295</v>
      </c>
      <c r="F22" s="12"/>
      <c r="G22" s="8"/>
      <c r="H22" s="8"/>
      <c r="I22" s="8"/>
      <c r="J22" s="8"/>
      <c r="K22" s="8"/>
      <c r="L22" s="8"/>
      <c r="M22" s="8"/>
      <c r="N22" s="8"/>
      <c r="O22" s="8"/>
      <c r="P22" s="19"/>
    </row>
    <row r="23" spans="1:16" hidden="1" x14ac:dyDescent="0.2">
      <c r="A23" s="11" t="s">
        <v>54</v>
      </c>
      <c r="B23" s="8"/>
      <c r="C23" s="28">
        <v>295</v>
      </c>
      <c r="D23" s="28">
        <v>1</v>
      </c>
      <c r="E23" s="28">
        <f t="shared" si="0"/>
        <v>296</v>
      </c>
      <c r="F23" s="12"/>
      <c r="G23" s="8"/>
      <c r="H23" s="8"/>
      <c r="I23" s="8"/>
      <c r="J23" s="8"/>
      <c r="K23" s="8"/>
      <c r="L23" s="8"/>
      <c r="M23" s="8"/>
      <c r="N23" s="8"/>
      <c r="O23" s="8"/>
      <c r="P23" s="19"/>
    </row>
    <row r="24" spans="1:16" hidden="1" x14ac:dyDescent="0.2">
      <c r="A24" s="11" t="s">
        <v>22</v>
      </c>
      <c r="B24" s="8"/>
      <c r="C24" s="17">
        <v>40</v>
      </c>
      <c r="D24" s="17">
        <v>0</v>
      </c>
      <c r="E24" s="17">
        <f t="shared" si="0"/>
        <v>40</v>
      </c>
      <c r="F24" s="12"/>
      <c r="G24" s="8"/>
      <c r="H24" s="8"/>
      <c r="I24" s="8"/>
      <c r="J24" s="8"/>
      <c r="K24" s="8"/>
      <c r="L24" s="8"/>
      <c r="M24" s="8"/>
      <c r="N24" s="8"/>
      <c r="O24" s="8"/>
      <c r="P24" s="19"/>
    </row>
    <row r="25" spans="1:16" hidden="1" x14ac:dyDescent="0.2">
      <c r="A25" s="11" t="s">
        <v>55</v>
      </c>
      <c r="B25" s="8" t="s">
        <v>379</v>
      </c>
      <c r="C25" s="8">
        <v>1</v>
      </c>
      <c r="D25" s="8">
        <v>0</v>
      </c>
      <c r="E25" s="8">
        <f t="shared" si="0"/>
        <v>1</v>
      </c>
      <c r="F25" s="12"/>
      <c r="G25" s="8"/>
      <c r="H25" s="8"/>
      <c r="I25" s="8"/>
      <c r="J25" s="8"/>
      <c r="K25" s="8"/>
      <c r="L25" s="8"/>
      <c r="M25" s="8"/>
      <c r="N25" s="8"/>
      <c r="O25" s="8"/>
      <c r="P25" s="19"/>
    </row>
    <row r="26" spans="1:16" hidden="1" x14ac:dyDescent="0.2">
      <c r="A26" s="11" t="s">
        <v>23</v>
      </c>
      <c r="B26" s="8"/>
      <c r="C26" s="8">
        <v>0</v>
      </c>
      <c r="D26" s="8">
        <v>0</v>
      </c>
      <c r="E26" s="8">
        <f t="shared" si="0"/>
        <v>0</v>
      </c>
      <c r="F26" s="12"/>
      <c r="G26" s="8"/>
      <c r="H26" s="8"/>
      <c r="I26" s="8"/>
      <c r="J26" s="8"/>
      <c r="K26" s="8"/>
      <c r="L26" s="8"/>
      <c r="M26" s="8"/>
      <c r="N26" s="8"/>
      <c r="O26" s="8"/>
      <c r="P26" s="19"/>
    </row>
    <row r="27" spans="1:16" hidden="1" x14ac:dyDescent="0.2">
      <c r="A27" s="11" t="s">
        <v>24</v>
      </c>
      <c r="B27" s="8" t="s">
        <v>379</v>
      </c>
      <c r="C27" s="8">
        <v>1</v>
      </c>
      <c r="D27" s="8">
        <v>0</v>
      </c>
      <c r="E27" s="8">
        <v>1</v>
      </c>
      <c r="F27" s="12"/>
      <c r="G27" s="8"/>
      <c r="H27" s="8"/>
      <c r="I27" s="8"/>
      <c r="J27" s="8"/>
      <c r="K27" s="8"/>
      <c r="L27" s="8"/>
      <c r="M27" s="8"/>
      <c r="N27" s="8"/>
      <c r="O27" s="8"/>
      <c r="P27" s="19"/>
    </row>
    <row r="28" spans="1:16" hidden="1" x14ac:dyDescent="0.2">
      <c r="A28" s="11" t="s">
        <v>25</v>
      </c>
      <c r="B28" s="8"/>
      <c r="C28" s="28">
        <v>7</v>
      </c>
      <c r="D28" s="28">
        <v>0</v>
      </c>
      <c r="E28" s="28">
        <f>+C28+D28</f>
        <v>7</v>
      </c>
      <c r="F28" s="10">
        <v>0.05</v>
      </c>
      <c r="G28" s="8"/>
      <c r="H28" s="8"/>
      <c r="I28" s="8"/>
      <c r="J28" s="8"/>
      <c r="K28" s="8"/>
      <c r="L28" s="8"/>
      <c r="M28" s="8"/>
      <c r="N28" s="8"/>
      <c r="O28" s="8"/>
      <c r="P28" s="19"/>
    </row>
    <row r="29" spans="1:16" hidden="1" x14ac:dyDescent="0.2">
      <c r="A29" s="11" t="s">
        <v>26</v>
      </c>
      <c r="B29" s="8"/>
      <c r="C29" s="28">
        <v>1</v>
      </c>
      <c r="D29" s="28">
        <v>0</v>
      </c>
      <c r="E29" s="28">
        <f>+C29+D29</f>
        <v>1</v>
      </c>
      <c r="F29" s="12"/>
      <c r="G29" s="8"/>
      <c r="H29" s="8"/>
      <c r="I29" s="8"/>
      <c r="J29" s="8"/>
      <c r="K29" s="8"/>
      <c r="L29" s="8"/>
      <c r="M29" s="8"/>
      <c r="N29" s="8"/>
      <c r="O29" s="8"/>
      <c r="P29" s="19"/>
    </row>
    <row r="30" spans="1:16" hidden="1" x14ac:dyDescent="0.2">
      <c r="A30" s="11" t="s">
        <v>56</v>
      </c>
      <c r="B30" s="8"/>
      <c r="C30" s="8">
        <v>512</v>
      </c>
      <c r="D30" s="8">
        <v>2</v>
      </c>
      <c r="E30" s="8">
        <f>+C30+D30</f>
        <v>514</v>
      </c>
      <c r="F30" s="12"/>
      <c r="G30" s="8"/>
      <c r="H30" s="8"/>
      <c r="I30" s="8"/>
      <c r="J30" s="8"/>
      <c r="K30" s="8"/>
      <c r="L30" s="8"/>
      <c r="M30" s="8"/>
      <c r="N30" s="8"/>
      <c r="O30" s="8"/>
      <c r="P30" s="19"/>
    </row>
    <row r="31" spans="1:16" hidden="1" x14ac:dyDescent="0.2">
      <c r="A31" s="11" t="s">
        <v>27</v>
      </c>
      <c r="B31" s="8"/>
      <c r="C31" s="8">
        <v>32</v>
      </c>
      <c r="D31" s="8">
        <v>0</v>
      </c>
      <c r="E31" s="8">
        <f>+C31+D31</f>
        <v>32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19"/>
    </row>
    <row r="32" spans="1:16" hidden="1" x14ac:dyDescent="0.2">
      <c r="A32" s="11" t="s">
        <v>57</v>
      </c>
      <c r="B32" s="8"/>
      <c r="C32" s="8">
        <v>3</v>
      </c>
      <c r="D32" s="8">
        <v>0</v>
      </c>
      <c r="E32" s="8">
        <f>+C32+D32</f>
        <v>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19"/>
    </row>
    <row r="33" spans="1:20" hidden="1" x14ac:dyDescent="0.2">
      <c r="A33" s="11" t="s">
        <v>28</v>
      </c>
      <c r="B33" s="8"/>
      <c r="C33" s="8">
        <v>0</v>
      </c>
      <c r="D33" s="8">
        <v>0</v>
      </c>
      <c r="E33" s="8">
        <f>C33+D33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19"/>
      <c r="Q33" s="8"/>
      <c r="R33" s="8"/>
      <c r="S33" s="8"/>
      <c r="T33" s="8"/>
    </row>
    <row r="34" spans="1:20" hidden="1" x14ac:dyDescent="0.2">
      <c r="A34" s="8"/>
      <c r="B34" s="17"/>
      <c r="C34" s="17"/>
      <c r="D34" s="20"/>
      <c r="E34" s="8"/>
      <c r="F34" s="8"/>
      <c r="G34" s="8"/>
      <c r="H34" s="8"/>
      <c r="I34" s="8"/>
      <c r="J34" s="8"/>
      <c r="K34" s="8"/>
      <c r="L34" s="8"/>
      <c r="M34" s="8"/>
      <c r="N34" s="8"/>
      <c r="O34" s="19"/>
      <c r="P34" s="17"/>
      <c r="Q34" s="8"/>
      <c r="R34" s="8"/>
      <c r="S34" s="8"/>
      <c r="T34" s="8"/>
    </row>
    <row r="35" spans="1:20" ht="17.399999999999999" x14ac:dyDescent="0.3">
      <c r="A35" s="353" t="s">
        <v>148</v>
      </c>
      <c r="B35" s="83"/>
      <c r="C35" s="83"/>
      <c r="D35" s="81"/>
      <c r="E35" s="70"/>
      <c r="F35" s="70"/>
      <c r="G35" s="70"/>
      <c r="H35" s="70"/>
      <c r="I35" s="70"/>
      <c r="J35" s="70"/>
      <c r="K35" s="70"/>
      <c r="L35" s="70"/>
      <c r="M35" s="8"/>
      <c r="N35" s="8"/>
      <c r="O35" s="19"/>
      <c r="P35" s="17"/>
      <c r="Q35" s="8"/>
      <c r="R35" s="8"/>
      <c r="S35" s="8"/>
      <c r="T35" s="8"/>
    </row>
    <row r="36" spans="1:20" ht="17.399999999999999" x14ac:dyDescent="0.3">
      <c r="A36" s="353" t="s">
        <v>58</v>
      </c>
      <c r="B36" s="70"/>
      <c r="C36" s="70"/>
      <c r="D36" s="81"/>
      <c r="E36" s="70"/>
      <c r="F36" s="70"/>
      <c r="G36" s="70"/>
      <c r="H36" s="70"/>
      <c r="I36" s="70"/>
      <c r="J36" s="70"/>
      <c r="K36" s="70"/>
      <c r="L36" s="70"/>
      <c r="M36" s="8"/>
      <c r="N36" s="8"/>
      <c r="O36" s="19"/>
      <c r="P36" s="17"/>
      <c r="Q36" s="8"/>
      <c r="R36" s="8"/>
      <c r="S36" s="8"/>
      <c r="T36" s="8"/>
    </row>
    <row r="37" spans="1:20" ht="17.399999999999999" x14ac:dyDescent="0.3">
      <c r="A37" s="353" t="s">
        <v>149</v>
      </c>
      <c r="B37" s="83"/>
      <c r="C37" s="83"/>
      <c r="D37" s="81"/>
      <c r="E37" s="70"/>
      <c r="F37" s="70"/>
      <c r="G37" s="70"/>
      <c r="H37" s="70"/>
      <c r="I37" s="70"/>
      <c r="J37" s="70"/>
      <c r="K37" s="70"/>
      <c r="L37" s="70"/>
      <c r="M37" s="8"/>
      <c r="N37" s="8"/>
      <c r="O37" s="19"/>
      <c r="P37" s="17"/>
      <c r="Q37" s="8"/>
      <c r="R37" s="8"/>
      <c r="S37" s="8"/>
      <c r="T37" s="8"/>
    </row>
    <row r="38" spans="1:20" x14ac:dyDescent="0.2">
      <c r="A38" s="69"/>
      <c r="B38" s="83"/>
      <c r="C38" s="83"/>
      <c r="D38" s="81"/>
      <c r="E38" s="70"/>
      <c r="F38" s="70"/>
      <c r="G38" s="70"/>
      <c r="H38" s="70"/>
      <c r="I38" s="70"/>
      <c r="J38" s="70"/>
      <c r="K38" s="70"/>
      <c r="L38" s="70"/>
      <c r="M38" s="8"/>
      <c r="N38" s="8"/>
      <c r="O38" s="19"/>
      <c r="P38" s="17"/>
      <c r="Q38" s="8"/>
      <c r="R38" s="8"/>
      <c r="S38" s="8"/>
      <c r="T38" s="8"/>
    </row>
    <row r="39" spans="1:20" x14ac:dyDescent="0.2">
      <c r="A39" s="70"/>
      <c r="B39" s="70"/>
      <c r="C39" s="72"/>
      <c r="D39" s="70"/>
      <c r="E39" s="70"/>
      <c r="F39" s="70"/>
      <c r="G39" s="70"/>
      <c r="H39" s="70"/>
      <c r="I39" s="71"/>
      <c r="J39" s="71"/>
      <c r="K39" s="70"/>
      <c r="L39" s="70"/>
      <c r="M39" s="8"/>
      <c r="N39" s="8"/>
      <c r="O39" s="19"/>
      <c r="P39" s="17"/>
      <c r="Q39" s="8"/>
      <c r="R39" s="8"/>
      <c r="S39" s="8"/>
      <c r="T39" s="8"/>
    </row>
    <row r="40" spans="1:20" x14ac:dyDescent="0.2">
      <c r="A40" s="70"/>
      <c r="B40" s="69" t="s">
        <v>100</v>
      </c>
      <c r="C40" s="72"/>
      <c r="D40" s="70"/>
      <c r="E40" s="70"/>
      <c r="F40" s="70"/>
      <c r="G40" s="70"/>
      <c r="H40" s="70"/>
      <c r="I40" s="71"/>
      <c r="J40" s="71"/>
      <c r="K40" s="70"/>
      <c r="L40" s="70"/>
      <c r="M40" s="8"/>
      <c r="N40" s="8"/>
      <c r="O40" s="19"/>
      <c r="P40" s="17"/>
      <c r="Q40" s="8"/>
      <c r="R40" s="8"/>
      <c r="S40" s="8"/>
      <c r="T40" s="8"/>
    </row>
    <row r="41" spans="1:20" x14ac:dyDescent="0.2">
      <c r="A41" s="70"/>
      <c r="B41" s="69" t="s">
        <v>33</v>
      </c>
      <c r="C41" s="69"/>
      <c r="D41" s="69" t="s">
        <v>172</v>
      </c>
      <c r="E41" s="69"/>
      <c r="F41" s="73"/>
      <c r="G41" s="73"/>
      <c r="H41" s="73"/>
      <c r="I41" s="73"/>
      <c r="J41" s="73"/>
      <c r="K41" s="69" t="s">
        <v>112</v>
      </c>
      <c r="L41" s="73"/>
      <c r="M41" s="15" t="s">
        <v>115</v>
      </c>
      <c r="N41" s="15" t="s">
        <v>115</v>
      </c>
      <c r="O41" s="15" t="s">
        <v>123</v>
      </c>
      <c r="P41" s="29" t="s">
        <v>126</v>
      </c>
      <c r="Q41" s="8"/>
      <c r="R41" s="8"/>
      <c r="S41" s="8"/>
      <c r="T41" s="8"/>
    </row>
    <row r="42" spans="1:20" x14ac:dyDescent="0.2">
      <c r="A42" s="70"/>
      <c r="B42" s="86"/>
      <c r="C42" s="87"/>
      <c r="D42" s="86"/>
      <c r="E42" s="88"/>
      <c r="F42" s="88"/>
      <c r="G42" s="88"/>
      <c r="H42" s="89"/>
      <c r="I42" s="90"/>
      <c r="J42" s="91"/>
      <c r="K42" s="92"/>
      <c r="L42" s="130"/>
      <c r="M42" s="15"/>
      <c r="N42" s="15"/>
      <c r="O42" s="15"/>
      <c r="P42" s="29"/>
      <c r="Q42" s="8"/>
      <c r="R42" s="8"/>
      <c r="S42" s="8"/>
      <c r="T42" s="8"/>
    </row>
    <row r="43" spans="1:20" x14ac:dyDescent="0.2">
      <c r="A43" s="70"/>
      <c r="B43" s="70"/>
      <c r="C43" s="70"/>
      <c r="D43" s="73" t="s">
        <v>40</v>
      </c>
      <c r="E43" s="73" t="s">
        <v>46</v>
      </c>
      <c r="F43" s="73" t="s">
        <v>48</v>
      </c>
      <c r="G43" s="73" t="s">
        <v>49</v>
      </c>
      <c r="H43" s="73" t="s">
        <v>106</v>
      </c>
      <c r="I43" s="74" t="s">
        <v>109</v>
      </c>
      <c r="J43" s="74"/>
      <c r="K43" s="73" t="s">
        <v>32</v>
      </c>
      <c r="L43" s="73" t="s">
        <v>32</v>
      </c>
      <c r="M43" s="15" t="s">
        <v>29</v>
      </c>
      <c r="N43" s="15" t="s">
        <v>122</v>
      </c>
      <c r="O43" s="15" t="s">
        <v>43</v>
      </c>
      <c r="P43" s="29" t="s">
        <v>127</v>
      </c>
      <c r="Q43" s="8"/>
      <c r="R43" s="8"/>
      <c r="S43" s="8"/>
      <c r="T43" s="8"/>
    </row>
    <row r="44" spans="1:20" x14ac:dyDescent="0.2">
      <c r="A44" s="70"/>
      <c r="B44" s="70"/>
      <c r="C44" s="73" t="s">
        <v>103</v>
      </c>
      <c r="D44" s="248">
        <f>B4</f>
        <v>135.66</v>
      </c>
      <c r="E44" s="74">
        <f>C4</f>
        <v>80.19</v>
      </c>
      <c r="F44" s="74">
        <f>E4</f>
        <v>59.75</v>
      </c>
      <c r="G44" s="74">
        <f>F4</f>
        <v>35.94</v>
      </c>
      <c r="H44" s="73" t="s">
        <v>107</v>
      </c>
      <c r="I44" s="74" t="s">
        <v>110</v>
      </c>
      <c r="J44" s="74" t="s">
        <v>111</v>
      </c>
      <c r="K44" s="73" t="s">
        <v>41</v>
      </c>
      <c r="L44" s="73" t="s">
        <v>47</v>
      </c>
      <c r="M44" s="15" t="s">
        <v>116</v>
      </c>
      <c r="N44" s="15" t="s">
        <v>116</v>
      </c>
      <c r="O44" s="15" t="s">
        <v>124</v>
      </c>
      <c r="P44" s="29" t="s">
        <v>128</v>
      </c>
      <c r="Q44" s="8"/>
      <c r="R44" s="8"/>
      <c r="S44" s="8"/>
      <c r="T44" s="8"/>
    </row>
    <row r="45" spans="1:20" x14ac:dyDescent="0.2">
      <c r="A45" s="69" t="s">
        <v>60</v>
      </c>
      <c r="B45" s="73" t="s">
        <v>29</v>
      </c>
      <c r="C45" s="73" t="s">
        <v>31</v>
      </c>
      <c r="D45" s="73" t="s">
        <v>439</v>
      </c>
      <c r="E45" s="73" t="s">
        <v>439</v>
      </c>
      <c r="F45" s="73" t="s">
        <v>439</v>
      </c>
      <c r="G45" s="73" t="s">
        <v>439</v>
      </c>
      <c r="H45" s="73" t="s">
        <v>108</v>
      </c>
      <c r="I45" s="74" t="s">
        <v>107</v>
      </c>
      <c r="J45" s="74" t="s">
        <v>107</v>
      </c>
      <c r="K45" s="73" t="s">
        <v>42</v>
      </c>
      <c r="L45" s="73" t="s">
        <v>42</v>
      </c>
      <c r="M45" s="15" t="s">
        <v>33</v>
      </c>
      <c r="N45" s="15" t="s">
        <v>33</v>
      </c>
      <c r="O45" s="15" t="s">
        <v>45</v>
      </c>
      <c r="P45" s="29" t="s">
        <v>129</v>
      </c>
      <c r="Q45" s="8"/>
      <c r="R45" s="8"/>
      <c r="S45" s="26" t="s">
        <v>132</v>
      </c>
      <c r="T45" s="26" t="s">
        <v>111</v>
      </c>
    </row>
    <row r="46" spans="1:20" ht="1.05" customHeight="1" x14ac:dyDescent="0.2">
      <c r="A46" s="78"/>
      <c r="B46" s="82"/>
      <c r="C46" s="82"/>
      <c r="D46" s="79"/>
      <c r="E46" s="78"/>
      <c r="F46" s="78"/>
      <c r="G46" s="78"/>
      <c r="H46" s="78"/>
      <c r="I46" s="78"/>
      <c r="J46" s="78"/>
      <c r="K46" s="78"/>
      <c r="L46" s="78"/>
      <c r="M46" s="8"/>
      <c r="N46" s="8"/>
      <c r="O46" s="19"/>
      <c r="P46" s="17"/>
      <c r="Q46" s="8"/>
      <c r="R46" s="8"/>
      <c r="S46" s="26"/>
      <c r="T46" s="26"/>
    </row>
    <row r="47" spans="1:20" x14ac:dyDescent="0.2">
      <c r="A47" s="335" t="s">
        <v>150</v>
      </c>
      <c r="B47" s="336"/>
      <c r="C47" s="336"/>
      <c r="D47" s="337"/>
      <c r="E47" s="338"/>
      <c r="F47" s="338"/>
      <c r="G47" s="338"/>
      <c r="H47" s="338"/>
      <c r="I47" s="339"/>
      <c r="J47" s="339"/>
      <c r="K47" s="338"/>
      <c r="L47" s="340"/>
      <c r="M47" s="8"/>
      <c r="N47" s="8"/>
      <c r="O47" s="29" t="s">
        <v>173</v>
      </c>
      <c r="P47" s="45" t="s">
        <v>174</v>
      </c>
      <c r="Q47" s="8"/>
      <c r="R47" s="8"/>
      <c r="S47" s="26"/>
      <c r="T47" s="26"/>
    </row>
    <row r="48" spans="1:20" x14ac:dyDescent="0.2">
      <c r="A48" s="114" t="s">
        <v>61</v>
      </c>
      <c r="B48" s="101">
        <v>7</v>
      </c>
      <c r="C48" s="94">
        <f>$D$26</f>
        <v>0</v>
      </c>
      <c r="D48" s="95">
        <v>0</v>
      </c>
      <c r="E48" s="104">
        <v>0.25</v>
      </c>
      <c r="F48" s="104">
        <v>0.75</v>
      </c>
      <c r="G48" s="104">
        <v>0</v>
      </c>
      <c r="H48" s="96">
        <f>+($B$4*D48)+($C$4*E48)+($E$4*F48)+($F$4*G48)</f>
        <v>64.86</v>
      </c>
      <c r="I48" s="96">
        <v>0</v>
      </c>
      <c r="J48" s="96">
        <v>0</v>
      </c>
      <c r="K48" s="95">
        <f>(D48+E48+F48+G48)*(C48)</f>
        <v>0</v>
      </c>
      <c r="L48" s="115">
        <f>(H48+I48+J48)*(C48)</f>
        <v>0</v>
      </c>
      <c r="M48" s="8">
        <f>+$C$13</f>
        <v>1076</v>
      </c>
      <c r="N48" s="8">
        <f>+$D$13</f>
        <v>4</v>
      </c>
      <c r="O48" s="19">
        <f>((C48)/(M48+N48))*(D48+E48+F48+G48)</f>
        <v>0</v>
      </c>
      <c r="P48" s="17">
        <v>2</v>
      </c>
      <c r="Q48" s="8"/>
      <c r="R48" s="8"/>
      <c r="S48" s="26">
        <f>+I48*(C48)</f>
        <v>0</v>
      </c>
      <c r="T48" s="26">
        <f>+J48*(C48)</f>
        <v>0</v>
      </c>
    </row>
    <row r="49" spans="1:20" x14ac:dyDescent="0.2">
      <c r="A49" s="54" t="s">
        <v>151</v>
      </c>
      <c r="B49" s="3"/>
      <c r="C49" s="31"/>
      <c r="D49" s="32"/>
      <c r="E49" s="55"/>
      <c r="F49" s="55"/>
      <c r="G49" s="55"/>
      <c r="H49" s="55"/>
      <c r="I49" s="55"/>
      <c r="J49" s="55"/>
      <c r="K49" s="55"/>
      <c r="L49" s="58"/>
      <c r="M49" s="8"/>
      <c r="N49" s="8"/>
      <c r="O49" s="19"/>
      <c r="P49" s="17"/>
      <c r="Q49" s="8"/>
      <c r="R49" s="8"/>
      <c r="S49" s="8"/>
      <c r="T49" s="8"/>
    </row>
    <row r="50" spans="1:20" x14ac:dyDescent="0.2">
      <c r="A50" s="59" t="s">
        <v>152</v>
      </c>
      <c r="B50" s="61">
        <v>7</v>
      </c>
      <c r="C50" s="60">
        <f>$D$26</f>
        <v>0</v>
      </c>
      <c r="D50" s="62">
        <v>0</v>
      </c>
      <c r="E50" s="64">
        <v>0</v>
      </c>
      <c r="F50" s="64">
        <v>12</v>
      </c>
      <c r="G50" s="64">
        <v>3</v>
      </c>
      <c r="H50" s="63">
        <f>+($B$4*D50)+($C$4*E50)+($E$4*F50)+($F$4*G50)</f>
        <v>824.81999999999994</v>
      </c>
      <c r="I50" s="63">
        <v>0</v>
      </c>
      <c r="J50" s="63">
        <v>0</v>
      </c>
      <c r="K50" s="62">
        <f>(D50+E50+F50+G50)*(C50)</f>
        <v>0</v>
      </c>
      <c r="L50" s="65">
        <f>(H50+I50+J50)*(C50)</f>
        <v>0</v>
      </c>
      <c r="M50" s="8">
        <f>+$C$13</f>
        <v>1076</v>
      </c>
      <c r="N50" s="8">
        <f>+$D$13</f>
        <v>4</v>
      </c>
      <c r="O50" s="19">
        <f>((C50)/(M50+N50))*(D50+E50+F50+G50)</f>
        <v>0</v>
      </c>
      <c r="P50" s="17">
        <v>2</v>
      </c>
      <c r="Q50" s="8"/>
      <c r="R50" s="8"/>
      <c r="S50" s="26">
        <f>+I50*(C50)</f>
        <v>0</v>
      </c>
      <c r="T50" s="26">
        <f>+J50*(C50)</f>
        <v>0</v>
      </c>
    </row>
    <row r="51" spans="1:20" x14ac:dyDescent="0.2">
      <c r="A51" s="114" t="s">
        <v>153</v>
      </c>
      <c r="B51" s="101">
        <v>7</v>
      </c>
      <c r="C51" s="94">
        <f>$D$26</f>
        <v>0</v>
      </c>
      <c r="D51" s="95">
        <v>0</v>
      </c>
      <c r="E51" s="104">
        <v>1</v>
      </c>
      <c r="F51" s="104">
        <v>60</v>
      </c>
      <c r="G51" s="104">
        <v>4</v>
      </c>
      <c r="H51" s="96">
        <f>+($B$4*D51)+($C$4*E51)+($E$4*F51)+($F$4*G51)</f>
        <v>3808.95</v>
      </c>
      <c r="I51" s="96">
        <v>0</v>
      </c>
      <c r="J51" s="96">
        <v>0</v>
      </c>
      <c r="K51" s="95">
        <f>(D51+E51+F51+G51)*(C51)</f>
        <v>0</v>
      </c>
      <c r="L51" s="115">
        <f>(H51+I51+J51)*(C51)</f>
        <v>0</v>
      </c>
      <c r="M51" s="8">
        <f>+$C$13</f>
        <v>1076</v>
      </c>
      <c r="N51" s="8">
        <f>+$D$13</f>
        <v>4</v>
      </c>
      <c r="O51" s="19">
        <f>((C51)/(M51+N51))*(D51+E51+F51+G51)</f>
        <v>0</v>
      </c>
      <c r="P51" s="17">
        <v>2</v>
      </c>
      <c r="Q51" s="8"/>
      <c r="R51" s="8"/>
      <c r="S51" s="26">
        <f>+I51*(C51)</f>
        <v>0</v>
      </c>
      <c r="T51" s="26">
        <f>+J51*(C51)</f>
        <v>0</v>
      </c>
    </row>
    <row r="52" spans="1:20" x14ac:dyDescent="0.2">
      <c r="A52" s="114" t="s">
        <v>154</v>
      </c>
      <c r="B52" s="102">
        <v>7</v>
      </c>
      <c r="C52" s="94">
        <f>$D$26</f>
        <v>0</v>
      </c>
      <c r="D52" s="95">
        <v>0</v>
      </c>
      <c r="E52" s="104">
        <v>0</v>
      </c>
      <c r="F52" s="104">
        <v>0</v>
      </c>
      <c r="G52" s="104">
        <v>0.5</v>
      </c>
      <c r="H52" s="96">
        <f>+($B$4*D52)+($C$4*E52)+($E$4*F52)+($F$4*G52)</f>
        <v>17.97</v>
      </c>
      <c r="I52" s="96">
        <v>0</v>
      </c>
      <c r="J52" s="96">
        <v>9.85</v>
      </c>
      <c r="K52" s="95">
        <f>(D52+E52+F52+G52)*(B52+C52)</f>
        <v>3.5</v>
      </c>
      <c r="L52" s="115">
        <f>(H52+I52+J52)*(B52+C52)</f>
        <v>194.74</v>
      </c>
      <c r="M52" s="8">
        <f>+$C$13</f>
        <v>1076</v>
      </c>
      <c r="N52" s="8">
        <f>+$D$13</f>
        <v>4</v>
      </c>
      <c r="O52" s="19">
        <f>((B52+C52)/(M52+N52))*(D52+E52+F52+G52)</f>
        <v>3.2407407407407406E-3</v>
      </c>
      <c r="P52" s="17">
        <v>1</v>
      </c>
      <c r="Q52" s="8"/>
      <c r="R52" s="8"/>
      <c r="S52" s="26">
        <f>+I52*(B52+C52)</f>
        <v>0</v>
      </c>
      <c r="T52" s="26">
        <f>+J52*(B52+C52)</f>
        <v>68.95</v>
      </c>
    </row>
    <row r="53" spans="1:20" x14ac:dyDescent="0.2">
      <c r="A53" s="114" t="s">
        <v>155</v>
      </c>
      <c r="B53" s="101">
        <v>7</v>
      </c>
      <c r="C53" s="94">
        <v>0</v>
      </c>
      <c r="D53" s="95">
        <v>0</v>
      </c>
      <c r="E53" s="104">
        <v>0</v>
      </c>
      <c r="F53" s="104">
        <v>0</v>
      </c>
      <c r="G53" s="104">
        <v>1</v>
      </c>
      <c r="H53" s="96">
        <f>+($B$4*D53)+($C$4*E53)+($E$4*F53)+($F$4*G53)</f>
        <v>35.94</v>
      </c>
      <c r="I53" s="96">
        <v>0</v>
      </c>
      <c r="J53" s="96">
        <v>0</v>
      </c>
      <c r="K53" s="95">
        <f>(D53+E53+F53+G53)*(B53+C53)</f>
        <v>7</v>
      </c>
      <c r="L53" s="115">
        <f>(H53+I53+J53)*(B53+C53)</f>
        <v>251.57999999999998</v>
      </c>
      <c r="M53" s="8">
        <f>+$C$13</f>
        <v>1076</v>
      </c>
      <c r="N53" s="8">
        <f>+$D$13</f>
        <v>4</v>
      </c>
      <c r="O53" s="19">
        <f>((B53+C53)/(M53+N53))*(D53+E53+F53+G53)</f>
        <v>6.4814814814814813E-3</v>
      </c>
      <c r="P53" s="17">
        <v>2</v>
      </c>
      <c r="Q53" s="8"/>
      <c r="R53" s="8"/>
      <c r="S53" s="26">
        <f>+I53*(B53+C53)</f>
        <v>0</v>
      </c>
      <c r="T53" s="26">
        <f>+J53*(B53+C53)</f>
        <v>0</v>
      </c>
    </row>
    <row r="54" spans="1:20" ht="1.05" customHeight="1" x14ac:dyDescent="0.2">
      <c r="A54" s="116"/>
      <c r="B54" s="98"/>
      <c r="C54" s="98"/>
      <c r="D54" s="99"/>
      <c r="E54" s="97"/>
      <c r="F54" s="97"/>
      <c r="G54" s="97"/>
      <c r="H54" s="97"/>
      <c r="I54" s="97"/>
      <c r="J54" s="97"/>
      <c r="K54" s="97"/>
      <c r="L54" s="119"/>
      <c r="M54" s="8"/>
      <c r="N54" s="8"/>
      <c r="O54" s="19"/>
      <c r="P54" s="17"/>
      <c r="Q54" s="8"/>
      <c r="R54" s="8"/>
      <c r="S54" s="8"/>
      <c r="T54" s="8"/>
    </row>
    <row r="55" spans="1:20" x14ac:dyDescent="0.2">
      <c r="A55" s="114" t="s">
        <v>64</v>
      </c>
      <c r="B55" s="101">
        <v>0</v>
      </c>
      <c r="C55" s="101">
        <v>0</v>
      </c>
      <c r="D55" s="104">
        <f t="shared" ref="D55:L55" si="1">SUM(D48:D53)</f>
        <v>0</v>
      </c>
      <c r="E55" s="104">
        <f t="shared" si="1"/>
        <v>1.25</v>
      </c>
      <c r="F55" s="104">
        <f t="shared" si="1"/>
        <v>72.75</v>
      </c>
      <c r="G55" s="104">
        <f t="shared" si="1"/>
        <v>8.5</v>
      </c>
      <c r="H55" s="96">
        <f t="shared" si="1"/>
        <v>4752.54</v>
      </c>
      <c r="I55" s="96">
        <f t="shared" si="1"/>
        <v>0</v>
      </c>
      <c r="J55" s="96">
        <f t="shared" si="1"/>
        <v>9.85</v>
      </c>
      <c r="K55" s="104">
        <f t="shared" si="1"/>
        <v>10.5</v>
      </c>
      <c r="L55" s="115">
        <f t="shared" si="1"/>
        <v>446.32</v>
      </c>
      <c r="M55" s="8"/>
      <c r="N55" s="8"/>
      <c r="O55" s="19"/>
      <c r="P55" s="17"/>
      <c r="Q55" s="8"/>
      <c r="R55" s="8"/>
      <c r="S55" s="8"/>
      <c r="T55" s="8"/>
    </row>
    <row r="56" spans="1:20" ht="1.05" customHeight="1" x14ac:dyDescent="0.2">
      <c r="A56" s="116"/>
      <c r="B56" s="98"/>
      <c r="C56" s="98"/>
      <c r="D56" s="99"/>
      <c r="E56" s="97"/>
      <c r="F56" s="97"/>
      <c r="G56" s="97"/>
      <c r="H56" s="97"/>
      <c r="I56" s="97"/>
      <c r="J56" s="97"/>
      <c r="K56" s="97"/>
      <c r="L56" s="119"/>
      <c r="M56" s="8"/>
      <c r="N56" s="8"/>
      <c r="O56" s="19"/>
      <c r="P56" s="17"/>
      <c r="Q56" s="8"/>
      <c r="R56" s="8"/>
      <c r="S56" s="8"/>
      <c r="T56" s="8"/>
    </row>
    <row r="57" spans="1:20" x14ac:dyDescent="0.2">
      <c r="A57" s="335" t="s">
        <v>391</v>
      </c>
      <c r="B57" s="336"/>
      <c r="C57" s="336"/>
      <c r="D57" s="337"/>
      <c r="E57" s="338"/>
      <c r="F57" s="338"/>
      <c r="G57" s="338"/>
      <c r="H57" s="338"/>
      <c r="I57" s="339"/>
      <c r="J57" s="339"/>
      <c r="K57" s="338"/>
      <c r="L57" s="340"/>
      <c r="M57" s="8"/>
      <c r="N57" s="8"/>
      <c r="O57" s="19"/>
      <c r="P57" s="17"/>
      <c r="Q57" s="8"/>
      <c r="R57" s="8"/>
      <c r="S57" s="8"/>
      <c r="T57" s="8"/>
    </row>
    <row r="58" spans="1:20" x14ac:dyDescent="0.2">
      <c r="A58" s="54" t="s">
        <v>156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8"/>
      <c r="M58" s="8"/>
      <c r="N58" s="8"/>
      <c r="O58" s="19"/>
      <c r="P58" s="17"/>
      <c r="Q58" s="8"/>
      <c r="R58" s="8"/>
      <c r="S58" s="8"/>
      <c r="T58" s="8"/>
    </row>
    <row r="59" spans="1:20" x14ac:dyDescent="0.2">
      <c r="A59" s="59" t="s">
        <v>157</v>
      </c>
      <c r="B59" s="60">
        <f>0.01*$C$13</f>
        <v>10.76</v>
      </c>
      <c r="C59" s="60">
        <f>0.01*$D$13</f>
        <v>0.04</v>
      </c>
      <c r="D59" s="62">
        <v>0</v>
      </c>
      <c r="E59" s="64">
        <v>0.5</v>
      </c>
      <c r="F59" s="64">
        <v>0</v>
      </c>
      <c r="G59" s="64">
        <v>0</v>
      </c>
      <c r="H59" s="63">
        <f>+($B$4*D59)+($C$4*E59)+($E$4*F59)+($F$4*G59)</f>
        <v>40.094999999999999</v>
      </c>
      <c r="I59" s="63">
        <v>0</v>
      </c>
      <c r="J59" s="63">
        <v>0</v>
      </c>
      <c r="K59" s="62">
        <f>(D59+E59+F59+G59)*(B59+C59)</f>
        <v>5.3999999999999995</v>
      </c>
      <c r="L59" s="65">
        <f>(H59+I59+J59)*(C59+B59)</f>
        <v>433.02599999999995</v>
      </c>
      <c r="M59" s="8">
        <f>+$C$13</f>
        <v>1076</v>
      </c>
      <c r="N59" s="8">
        <f>+$D$13</f>
        <v>4</v>
      </c>
      <c r="O59" s="19">
        <f>(((B59+C59)/(M59+N59))*(D59+E59+F59+G59))</f>
        <v>4.9999999999999992E-3</v>
      </c>
      <c r="P59" s="17">
        <v>1</v>
      </c>
      <c r="Q59" s="8"/>
      <c r="R59" s="8"/>
      <c r="S59" s="26">
        <f>+I59*(B59+C59)</f>
        <v>0</v>
      </c>
      <c r="T59" s="26">
        <f>+J59*(B59+C59)</f>
        <v>0</v>
      </c>
    </row>
    <row r="60" spans="1:20" x14ac:dyDescent="0.2">
      <c r="A60" s="54" t="s">
        <v>158</v>
      </c>
      <c r="B60" s="31"/>
      <c r="C60" s="31"/>
      <c r="D60" s="32"/>
      <c r="E60" s="32"/>
      <c r="F60" s="32"/>
      <c r="G60" s="32"/>
      <c r="H60" s="32"/>
      <c r="I60" s="32"/>
      <c r="J60" s="32"/>
      <c r="K60" s="32"/>
      <c r="L60" s="58"/>
      <c r="M60" s="8"/>
      <c r="N60" s="8"/>
      <c r="O60" s="19"/>
      <c r="P60" s="17"/>
      <c r="Q60" s="8"/>
      <c r="R60" s="8"/>
      <c r="S60" s="8"/>
      <c r="T60" s="8"/>
    </row>
    <row r="61" spans="1:20" x14ac:dyDescent="0.2">
      <c r="A61" s="59" t="s">
        <v>159</v>
      </c>
      <c r="B61" s="60">
        <f>0.01*$C$13</f>
        <v>10.76</v>
      </c>
      <c r="C61" s="60">
        <f>0.01*$D$13</f>
        <v>0.04</v>
      </c>
      <c r="D61" s="62">
        <v>0</v>
      </c>
      <c r="E61" s="62">
        <v>0</v>
      </c>
      <c r="F61" s="62">
        <v>2.5</v>
      </c>
      <c r="G61" s="62">
        <v>0.5</v>
      </c>
      <c r="H61" s="63">
        <f>+($B$4*D61)+($C$4*E61)+($E$4*F61)+($F$4*G61)</f>
        <v>167.345</v>
      </c>
      <c r="I61" s="63">
        <v>0</v>
      </c>
      <c r="J61" s="63">
        <v>0</v>
      </c>
      <c r="K61" s="62">
        <f>(D61+E61+F61+G61)*(B61+C61)</f>
        <v>32.4</v>
      </c>
      <c r="L61" s="65">
        <f>(H61+I61+J61)*(C61+B61)</f>
        <v>1807.3259999999998</v>
      </c>
      <c r="M61" s="8">
        <f>+$C$13</f>
        <v>1076</v>
      </c>
      <c r="N61" s="8">
        <f>+$D$13</f>
        <v>4</v>
      </c>
      <c r="O61" s="19">
        <f>(((B61+C61)/(M61+N61))*(D61+E61+F61+G61))</f>
        <v>2.9999999999999995E-2</v>
      </c>
      <c r="P61" s="17">
        <v>1</v>
      </c>
      <c r="Q61" s="8"/>
      <c r="R61" s="8"/>
      <c r="S61" s="26">
        <f>+I61*(B61+C61)</f>
        <v>0</v>
      </c>
      <c r="T61" s="26">
        <f>+J61*(B61+C61)</f>
        <v>0</v>
      </c>
    </row>
    <row r="62" spans="1:20" x14ac:dyDescent="0.2">
      <c r="A62" s="54" t="s">
        <v>160</v>
      </c>
      <c r="B62" s="31"/>
      <c r="C62" s="31"/>
      <c r="D62" s="55"/>
      <c r="E62" s="55"/>
      <c r="F62" s="55"/>
      <c r="G62" s="55"/>
      <c r="H62" s="55"/>
      <c r="I62" s="55"/>
      <c r="J62" s="55"/>
      <c r="K62" s="55"/>
      <c r="L62" s="55"/>
      <c r="M62" s="8"/>
      <c r="N62" s="8"/>
      <c r="O62" s="19"/>
      <c r="P62" s="17"/>
      <c r="Q62" s="8"/>
      <c r="R62" s="8"/>
      <c r="S62" s="8"/>
      <c r="T62" s="8"/>
    </row>
    <row r="63" spans="1:20" x14ac:dyDescent="0.2">
      <c r="A63" s="59" t="s">
        <v>161</v>
      </c>
      <c r="B63" s="60">
        <f>0.01*B61</f>
        <v>0.1076</v>
      </c>
      <c r="C63" s="60">
        <f>0.01*C61</f>
        <v>4.0000000000000002E-4</v>
      </c>
      <c r="D63" s="62">
        <v>0</v>
      </c>
      <c r="E63" s="64">
        <v>1</v>
      </c>
      <c r="F63" s="64">
        <v>0</v>
      </c>
      <c r="G63" s="64">
        <v>0</v>
      </c>
      <c r="H63" s="63">
        <f>+($B$4*D63)+($C$4*E63)+($E$4*F63)+($F$4*G63)</f>
        <v>80.19</v>
      </c>
      <c r="I63" s="63">
        <v>0</v>
      </c>
      <c r="J63" s="63">
        <v>0</v>
      </c>
      <c r="K63" s="62">
        <f>(D63+E63+F63+G63)*(B63+C63)</f>
        <v>0.108</v>
      </c>
      <c r="L63" s="63">
        <f>(H63+I63+J63)*(C63+B63)</f>
        <v>8.66052</v>
      </c>
      <c r="M63" s="8">
        <f>+$C$13</f>
        <v>1076</v>
      </c>
      <c r="N63" s="8">
        <f>+$D$13</f>
        <v>4</v>
      </c>
      <c r="O63" s="19">
        <f>(((B63+C63)/(M63+N63))*(D63+E63+F63+G63))</f>
        <v>1E-4</v>
      </c>
      <c r="P63" s="17">
        <v>1</v>
      </c>
      <c r="Q63" s="8"/>
      <c r="R63" s="8"/>
      <c r="S63" s="26">
        <f>+I63*(B63+C63)</f>
        <v>0</v>
      </c>
      <c r="T63" s="26">
        <f>+J63*(B63+C63)</f>
        <v>0</v>
      </c>
    </row>
    <row r="64" spans="1:20" x14ac:dyDescent="0.2">
      <c r="A64" s="54" t="s">
        <v>162</v>
      </c>
      <c r="B64" s="31"/>
      <c r="C64" s="31"/>
      <c r="D64" s="55"/>
      <c r="E64" s="55"/>
      <c r="F64" s="55"/>
      <c r="G64" s="55"/>
      <c r="H64" s="55"/>
      <c r="I64" s="55"/>
      <c r="J64" s="55"/>
      <c r="K64" s="32"/>
      <c r="L64" s="58"/>
      <c r="M64" s="8"/>
      <c r="N64" s="8"/>
      <c r="O64" s="19"/>
      <c r="P64" s="17"/>
      <c r="Q64" s="8"/>
      <c r="R64" s="8"/>
      <c r="S64" s="8"/>
      <c r="T64" s="8"/>
    </row>
    <row r="65" spans="1:20" x14ac:dyDescent="0.2">
      <c r="A65" s="59" t="s">
        <v>163</v>
      </c>
      <c r="B65" s="60">
        <f>0.01*$C$13</f>
        <v>10.76</v>
      </c>
      <c r="C65" s="60">
        <f>0.01*$D$13</f>
        <v>0.04</v>
      </c>
      <c r="D65" s="62">
        <v>0</v>
      </c>
      <c r="E65" s="64">
        <v>1</v>
      </c>
      <c r="F65" s="64">
        <v>0</v>
      </c>
      <c r="G65" s="64">
        <v>0</v>
      </c>
      <c r="H65" s="63">
        <f>+($B$4*D65)+($C$4*E65)+($E$4*F65)+($F$4*G65)</f>
        <v>80.19</v>
      </c>
      <c r="I65" s="63">
        <v>0</v>
      </c>
      <c r="J65" s="63">
        <v>9.85</v>
      </c>
      <c r="K65" s="62">
        <f>(D65+E65+F65+G65)*(B65+C65)</f>
        <v>10.799999999999999</v>
      </c>
      <c r="L65" s="65">
        <f>(H65+I65+J65)*(C65+B65)</f>
        <v>972.43199999999979</v>
      </c>
      <c r="M65" s="8">
        <f>+$C$13</f>
        <v>1076</v>
      </c>
      <c r="N65" s="8">
        <f>+$D$13</f>
        <v>4</v>
      </c>
      <c r="O65" s="19">
        <f>(((B65+C65)/(M65+N65))*(D65+E65+F65+G65))</f>
        <v>9.9999999999999985E-3</v>
      </c>
      <c r="P65" s="17">
        <v>1</v>
      </c>
      <c r="Q65" s="8"/>
      <c r="R65" s="8"/>
      <c r="S65" s="26">
        <f>+I65*(B65+C65)</f>
        <v>0</v>
      </c>
      <c r="T65" s="26">
        <f>+J65*(B65+C65)</f>
        <v>106.37999999999998</v>
      </c>
    </row>
    <row r="66" spans="1:20" ht="1.05" customHeight="1" x14ac:dyDescent="0.2">
      <c r="A66" s="116"/>
      <c r="B66" s="105"/>
      <c r="C66" s="105"/>
      <c r="D66" s="105"/>
      <c r="E66" s="105"/>
      <c r="F66" s="105"/>
      <c r="G66" s="105"/>
      <c r="H66" s="105"/>
      <c r="I66" s="105"/>
      <c r="J66" s="105"/>
      <c r="K66" s="97"/>
      <c r="L66" s="119"/>
      <c r="M66" s="8"/>
      <c r="N66" s="8"/>
      <c r="O66" s="19"/>
      <c r="P66" s="17"/>
      <c r="Q66" s="8"/>
      <c r="R66" s="8"/>
      <c r="S66" s="8"/>
      <c r="T66" s="8"/>
    </row>
    <row r="67" spans="1:20" x14ac:dyDescent="0.2">
      <c r="A67" s="114" t="s">
        <v>64</v>
      </c>
      <c r="B67" s="103" t="s">
        <v>101</v>
      </c>
      <c r="C67" s="103" t="s">
        <v>101</v>
      </c>
      <c r="D67" s="107" t="s">
        <v>101</v>
      </c>
      <c r="E67" s="107" t="s">
        <v>101</v>
      </c>
      <c r="F67" s="107" t="s">
        <v>101</v>
      </c>
      <c r="G67" s="107" t="s">
        <v>101</v>
      </c>
      <c r="H67" s="107" t="s">
        <v>101</v>
      </c>
      <c r="I67" s="103" t="s">
        <v>101</v>
      </c>
      <c r="J67" s="103" t="s">
        <v>101</v>
      </c>
      <c r="K67" s="104">
        <f>SUM(K59:K65)</f>
        <v>48.707999999999991</v>
      </c>
      <c r="L67" s="115">
        <f>SUM(L59:L65)</f>
        <v>3221.4445199999996</v>
      </c>
      <c r="M67" s="8"/>
      <c r="N67" s="8"/>
      <c r="O67" s="19"/>
      <c r="P67" s="17"/>
      <c r="Q67" s="8"/>
      <c r="R67" s="8"/>
      <c r="S67" s="8"/>
      <c r="T67" s="8"/>
    </row>
    <row r="68" spans="1:20" ht="1.05" customHeight="1" x14ac:dyDescent="0.2">
      <c r="A68" s="116"/>
      <c r="B68" s="97"/>
      <c r="C68" s="97"/>
      <c r="D68" s="99"/>
      <c r="E68" s="99"/>
      <c r="F68" s="99"/>
      <c r="G68" s="99"/>
      <c r="H68" s="99"/>
      <c r="I68" s="99"/>
      <c r="J68" s="99"/>
      <c r="K68" s="99"/>
      <c r="L68" s="119"/>
      <c r="M68" s="8"/>
      <c r="N68" s="8"/>
      <c r="O68" s="19"/>
      <c r="P68" s="17"/>
      <c r="Q68" s="8"/>
      <c r="R68" s="8"/>
      <c r="S68" s="8"/>
      <c r="T68" s="8"/>
    </row>
    <row r="69" spans="1:20" x14ac:dyDescent="0.2">
      <c r="A69" s="335" t="s">
        <v>392</v>
      </c>
      <c r="B69" s="336"/>
      <c r="C69" s="336"/>
      <c r="D69" s="337"/>
      <c r="E69" s="338"/>
      <c r="F69" s="338"/>
      <c r="G69" s="338"/>
      <c r="H69" s="338"/>
      <c r="I69" s="339"/>
      <c r="J69" s="339"/>
      <c r="K69" s="338"/>
      <c r="L69" s="340"/>
      <c r="M69" s="8"/>
      <c r="N69" s="8"/>
      <c r="O69" s="19"/>
      <c r="P69" s="17"/>
      <c r="Q69" s="8"/>
      <c r="R69" s="8"/>
      <c r="S69" s="8"/>
      <c r="T69" s="8"/>
    </row>
    <row r="70" spans="1:20" x14ac:dyDescent="0.2">
      <c r="A70" s="54" t="s">
        <v>164</v>
      </c>
      <c r="B70" s="31"/>
      <c r="C70" s="31"/>
      <c r="D70" s="32"/>
      <c r="E70" s="55"/>
      <c r="F70" s="55"/>
      <c r="G70" s="55"/>
      <c r="H70" s="55"/>
      <c r="I70" s="55"/>
      <c r="J70" s="55"/>
      <c r="K70" s="55"/>
      <c r="L70" s="58"/>
      <c r="M70" s="8"/>
      <c r="N70" s="8"/>
      <c r="O70" s="19"/>
      <c r="P70" s="17"/>
      <c r="Q70" s="8"/>
      <c r="R70" s="8"/>
      <c r="S70" s="8"/>
      <c r="T70" s="8"/>
    </row>
    <row r="71" spans="1:20" x14ac:dyDescent="0.2">
      <c r="A71" s="4" t="s">
        <v>165</v>
      </c>
      <c r="B71" s="5"/>
      <c r="C71" s="5"/>
      <c r="D71" s="6"/>
      <c r="E71" s="7"/>
      <c r="F71" s="7"/>
      <c r="G71" s="7"/>
      <c r="H71" s="7"/>
      <c r="I71" s="7"/>
      <c r="J71" s="7"/>
      <c r="K71" s="7"/>
      <c r="L71" s="140"/>
      <c r="M71" s="8"/>
      <c r="N71" s="8"/>
      <c r="O71" s="19"/>
      <c r="P71" s="17"/>
      <c r="Q71" s="8"/>
      <c r="R71" s="8"/>
      <c r="S71" s="8"/>
      <c r="T71" s="8"/>
    </row>
    <row r="72" spans="1:20" x14ac:dyDescent="0.2">
      <c r="A72" s="59" t="s">
        <v>166</v>
      </c>
      <c r="B72" s="60">
        <f>0.01*$C$13</f>
        <v>10.76</v>
      </c>
      <c r="C72" s="60">
        <f>0.01*$D$13</f>
        <v>0.04</v>
      </c>
      <c r="D72" s="62">
        <v>0</v>
      </c>
      <c r="E72" s="64">
        <v>0</v>
      </c>
      <c r="F72" s="64">
        <v>2.5</v>
      </c>
      <c r="G72" s="64">
        <v>0.5</v>
      </c>
      <c r="H72" s="63">
        <f>+($B$4*D72)+($C$4*E72)+($E$4*F72)+($F$4*G72)</f>
        <v>167.345</v>
      </c>
      <c r="I72" s="63">
        <v>0</v>
      </c>
      <c r="J72" s="63">
        <v>0</v>
      </c>
      <c r="K72" s="62">
        <f>(D72+E72+F72+G72)*(B72+C72)</f>
        <v>32.4</v>
      </c>
      <c r="L72" s="65">
        <f>(H72+I72+J72)*(C72+B72)</f>
        <v>1807.3259999999998</v>
      </c>
      <c r="M72" s="8">
        <f>+$C$13</f>
        <v>1076</v>
      </c>
      <c r="N72" s="8">
        <f>+$D$13</f>
        <v>4</v>
      </c>
      <c r="O72" s="19">
        <f>(((B72+C72)/(M72+N72))*(D72+E72+F72+G72))</f>
        <v>2.9999999999999995E-2</v>
      </c>
      <c r="P72" s="17">
        <v>1</v>
      </c>
      <c r="Q72" s="8"/>
      <c r="R72" s="8"/>
      <c r="S72" s="26">
        <f>+I72*(B72+C72)</f>
        <v>0</v>
      </c>
      <c r="T72" s="26">
        <f>+J72*(B72+C72)</f>
        <v>0</v>
      </c>
    </row>
    <row r="73" spans="1:20" x14ac:dyDescent="0.2">
      <c r="A73" s="114" t="s">
        <v>167</v>
      </c>
      <c r="B73" s="94">
        <f>0.01*$C$13</f>
        <v>10.76</v>
      </c>
      <c r="C73" s="94">
        <f>0.01*$D$13</f>
        <v>0.04</v>
      </c>
      <c r="D73" s="95">
        <v>0</v>
      </c>
      <c r="E73" s="104">
        <v>0.25</v>
      </c>
      <c r="F73" s="104">
        <v>1.5</v>
      </c>
      <c r="G73" s="104">
        <v>0.25</v>
      </c>
      <c r="H73" s="96">
        <f>+($B$4*D73)+($C$4*E73)+($E$4*F73)+($F$4*G73)</f>
        <v>118.6575</v>
      </c>
      <c r="I73" s="96">
        <v>0</v>
      </c>
      <c r="J73" s="96">
        <v>0.73</v>
      </c>
      <c r="K73" s="95">
        <f>(D73+E73+F73+G73)*(B73+C73)</f>
        <v>21.599999999999998</v>
      </c>
      <c r="L73" s="115">
        <f>(H73+I73+J73)*(C73+B73)</f>
        <v>1289.385</v>
      </c>
      <c r="M73" s="8">
        <f>+$C$13</f>
        <v>1076</v>
      </c>
      <c r="N73" s="8">
        <f>+$D$13</f>
        <v>4</v>
      </c>
      <c r="O73" s="19">
        <f>(((B73+C73)/(M73+N73))*(D73+E73+F73+G73))</f>
        <v>1.9999999999999997E-2</v>
      </c>
      <c r="P73" s="17">
        <v>1</v>
      </c>
      <c r="Q73" s="8"/>
      <c r="R73" s="8"/>
      <c r="S73" s="26">
        <f>+I73*(B73+C73)</f>
        <v>0</v>
      </c>
      <c r="T73" s="26">
        <f>+J73*(B73+C73)</f>
        <v>7.8839999999999995</v>
      </c>
    </row>
    <row r="74" spans="1:20" ht="1.05" customHeight="1" x14ac:dyDescent="0.2">
      <c r="A74" s="116"/>
      <c r="B74" s="98"/>
      <c r="C74" s="98"/>
      <c r="D74" s="99"/>
      <c r="E74" s="97"/>
      <c r="F74" s="97"/>
      <c r="G74" s="97"/>
      <c r="H74" s="97"/>
      <c r="I74" s="97"/>
      <c r="J74" s="97"/>
      <c r="K74" s="97"/>
      <c r="L74" s="119"/>
      <c r="M74" s="8"/>
      <c r="N74" s="8"/>
      <c r="O74" s="19"/>
      <c r="P74" s="17"/>
      <c r="Q74" s="8"/>
      <c r="R74" s="8"/>
      <c r="S74" s="8"/>
      <c r="T74" s="8"/>
    </row>
    <row r="75" spans="1:20" x14ac:dyDescent="0.2">
      <c r="A75" s="114" t="s">
        <v>64</v>
      </c>
      <c r="B75" s="101">
        <f>B73</f>
        <v>10.76</v>
      </c>
      <c r="C75" s="101">
        <f>C73</f>
        <v>0.04</v>
      </c>
      <c r="D75" s="131">
        <f>D72+D73</f>
        <v>0</v>
      </c>
      <c r="E75" s="131">
        <f>E72+E73</f>
        <v>0.25</v>
      </c>
      <c r="F75" s="131">
        <f>F72+F73</f>
        <v>4</v>
      </c>
      <c r="G75" s="131">
        <f>G72+G73</f>
        <v>0.75</v>
      </c>
      <c r="H75" s="96">
        <f>SUM(H72:H73)</f>
        <v>286.0025</v>
      </c>
      <c r="I75" s="96">
        <f>SUM(I72:I73)</f>
        <v>0</v>
      </c>
      <c r="J75" s="96">
        <f>SUM(J72:J73)</f>
        <v>0.73</v>
      </c>
      <c r="K75" s="104">
        <f>SUM(K72:K73)</f>
        <v>54</v>
      </c>
      <c r="L75" s="115">
        <f>SUM(L72:L73)</f>
        <v>3096.7109999999998</v>
      </c>
      <c r="M75" s="8"/>
      <c r="N75" s="8"/>
      <c r="O75" s="19"/>
      <c r="P75" s="17"/>
      <c r="Q75" s="8"/>
      <c r="R75" s="8"/>
      <c r="S75" s="8"/>
      <c r="T75" s="8"/>
    </row>
    <row r="76" spans="1:20" ht="1.05" customHeight="1" x14ac:dyDescent="0.2">
      <c r="A76" s="116"/>
      <c r="B76" s="98"/>
      <c r="C76" s="98"/>
      <c r="D76" s="99"/>
      <c r="E76" s="97"/>
      <c r="F76" s="97"/>
      <c r="G76" s="97"/>
      <c r="H76" s="97"/>
      <c r="I76" s="97"/>
      <c r="J76" s="97"/>
      <c r="K76" s="97"/>
      <c r="L76" s="119"/>
      <c r="M76" s="8"/>
      <c r="N76" s="8"/>
      <c r="O76" s="19"/>
      <c r="P76" s="17"/>
      <c r="Q76" s="8"/>
      <c r="R76" s="8"/>
      <c r="S76" s="8"/>
      <c r="T76" s="8"/>
    </row>
    <row r="77" spans="1:20" x14ac:dyDescent="0.2">
      <c r="A77" s="335" t="s">
        <v>168</v>
      </c>
      <c r="B77" s="336"/>
      <c r="C77" s="336"/>
      <c r="D77" s="337"/>
      <c r="E77" s="338"/>
      <c r="F77" s="338"/>
      <c r="G77" s="338"/>
      <c r="H77" s="338"/>
      <c r="I77" s="339"/>
      <c r="J77" s="339"/>
      <c r="K77" s="338"/>
      <c r="L77" s="340"/>
      <c r="M77" s="8"/>
      <c r="N77" s="8"/>
      <c r="O77" s="19"/>
      <c r="P77" s="17"/>
      <c r="Q77" s="8"/>
      <c r="R77" s="8"/>
      <c r="S77" s="8"/>
      <c r="T77" s="8"/>
    </row>
    <row r="78" spans="1:20" x14ac:dyDescent="0.2">
      <c r="A78" s="114" t="s">
        <v>61</v>
      </c>
      <c r="B78" s="94">
        <f>0.01*$C$13</f>
        <v>10.76</v>
      </c>
      <c r="C78" s="94">
        <f>0.01*$D$13</f>
        <v>0.04</v>
      </c>
      <c r="D78" s="95">
        <v>0</v>
      </c>
      <c r="E78" s="95">
        <v>0.25</v>
      </c>
      <c r="F78" s="95">
        <v>0.75</v>
      </c>
      <c r="G78" s="95">
        <v>0</v>
      </c>
      <c r="H78" s="96">
        <f>+($B$4*D78)+($C$4*E78)+($E$4*F78)+($F$4*G78)</f>
        <v>64.86</v>
      </c>
      <c r="I78" s="96">
        <v>0</v>
      </c>
      <c r="J78" s="96">
        <v>0</v>
      </c>
      <c r="K78" s="95">
        <f>(D78+E78+F78+G78)*(B78+C78)</f>
        <v>10.799999999999999</v>
      </c>
      <c r="L78" s="115">
        <f>(H78+I78+J78)*(C78+B78)</f>
        <v>700.48799999999994</v>
      </c>
      <c r="M78" s="8">
        <f>+$C$13</f>
        <v>1076</v>
      </c>
      <c r="N78" s="8">
        <f>+$D$13</f>
        <v>4</v>
      </c>
      <c r="O78" s="19">
        <f>(((B78+C78)/(M78+N78))*(D78+E78+F78+G78))</f>
        <v>9.9999999999999985E-3</v>
      </c>
      <c r="P78" s="17">
        <v>1</v>
      </c>
      <c r="Q78" s="8"/>
      <c r="R78" s="8"/>
      <c r="S78" s="26">
        <f>+I78*(B78+C78)</f>
        <v>0</v>
      </c>
      <c r="T78" s="26">
        <f>+J78*(B78+C78)</f>
        <v>0</v>
      </c>
    </row>
    <row r="79" spans="1:20" x14ac:dyDescent="0.2">
      <c r="A79" s="54" t="s">
        <v>169</v>
      </c>
      <c r="B79" s="55"/>
      <c r="C79" s="55"/>
      <c r="D79" s="32"/>
      <c r="E79" s="55"/>
      <c r="F79" s="55"/>
      <c r="G79" s="55"/>
      <c r="H79" s="55"/>
      <c r="I79" s="55"/>
      <c r="J79" s="55"/>
      <c r="K79" s="55"/>
      <c r="L79" s="58"/>
      <c r="M79" s="8"/>
      <c r="N79" s="8"/>
      <c r="O79" s="19"/>
      <c r="P79" s="17"/>
      <c r="Q79" s="8"/>
      <c r="R79" s="8"/>
      <c r="S79" s="8"/>
      <c r="T79" s="8"/>
    </row>
    <row r="80" spans="1:20" x14ac:dyDescent="0.2">
      <c r="A80" s="59" t="s">
        <v>170</v>
      </c>
      <c r="B80" s="60">
        <f>0.01*$C$13</f>
        <v>10.76</v>
      </c>
      <c r="C80" s="60">
        <f>0.01*$D$13</f>
        <v>0.04</v>
      </c>
      <c r="D80" s="62">
        <v>0</v>
      </c>
      <c r="E80" s="64">
        <v>0</v>
      </c>
      <c r="F80" s="64">
        <v>8</v>
      </c>
      <c r="G80" s="64">
        <v>0.5</v>
      </c>
      <c r="H80" s="63">
        <f>+($B$4*D80)+($C$4*E80)+($E$4*F80)+($F$4*G80)</f>
        <v>495.97</v>
      </c>
      <c r="I80" s="63">
        <v>0</v>
      </c>
      <c r="J80" s="63">
        <v>0</v>
      </c>
      <c r="K80" s="62">
        <f>(D80+E80+F80+G80)*(B80+C80)</f>
        <v>91.8</v>
      </c>
      <c r="L80" s="65">
        <f>(H80+I80+J80)*(C80+B80)</f>
        <v>5356.4759999999997</v>
      </c>
      <c r="M80" s="8">
        <f>+$C$13</f>
        <v>1076</v>
      </c>
      <c r="N80" s="8">
        <f>+$D$13</f>
        <v>4</v>
      </c>
      <c r="O80" s="19">
        <f>(((B80+C80)/(M80+N80))*(D80+E80+F80+G80))</f>
        <v>8.4999999999999992E-2</v>
      </c>
      <c r="P80" s="17">
        <v>1</v>
      </c>
      <c r="Q80" s="8"/>
      <c r="R80" s="8"/>
      <c r="S80" s="26">
        <f>+I80*(B80+C80)</f>
        <v>0</v>
      </c>
      <c r="T80" s="26">
        <f>+J80*(B80+C80)</f>
        <v>0</v>
      </c>
    </row>
    <row r="81" spans="1:20" x14ac:dyDescent="0.2">
      <c r="A81" s="114" t="s">
        <v>171</v>
      </c>
      <c r="B81" s="94">
        <f>0.01*$C$13</f>
        <v>10.76</v>
      </c>
      <c r="C81" s="94">
        <f>0.01*$D$13</f>
        <v>0.04</v>
      </c>
      <c r="D81" s="95">
        <v>0</v>
      </c>
      <c r="E81" s="104">
        <v>0.25</v>
      </c>
      <c r="F81" s="104">
        <v>4</v>
      </c>
      <c r="G81" s="104">
        <v>0.5</v>
      </c>
      <c r="H81" s="96">
        <f>+($B$4*D81)+($C$4*E81)+($E$4*F81)+($F$4*G81)</f>
        <v>277.01750000000004</v>
      </c>
      <c r="I81" s="96">
        <v>0</v>
      </c>
      <c r="J81" s="96">
        <v>9.85</v>
      </c>
      <c r="K81" s="95">
        <f>(D81+E81+F81+G81)*(B81+C81)</f>
        <v>51.3</v>
      </c>
      <c r="L81" s="115">
        <f>(H81+I81+J81)*(C81+B81)</f>
        <v>3098.1690000000003</v>
      </c>
      <c r="M81" s="8">
        <f>+$C$13</f>
        <v>1076</v>
      </c>
      <c r="N81" s="8">
        <f>+$D$13</f>
        <v>4</v>
      </c>
      <c r="O81" s="19">
        <f>(((B81+C81)/(M81+N81))*(D81+E81+F81+G81))</f>
        <v>4.7499999999999994E-2</v>
      </c>
      <c r="P81" s="17">
        <v>1</v>
      </c>
      <c r="Q81" s="8"/>
      <c r="R81" s="8"/>
      <c r="S81" s="26">
        <f>+I81*(B81+C81)</f>
        <v>0</v>
      </c>
      <c r="T81" s="26">
        <f>+J81*(B81+C81)</f>
        <v>106.37999999999998</v>
      </c>
    </row>
    <row r="82" spans="1:20" ht="1.05" customHeight="1" x14ac:dyDescent="0.2">
      <c r="A82" s="116"/>
      <c r="B82" s="98"/>
      <c r="C82" s="98"/>
      <c r="D82" s="99"/>
      <c r="E82" s="106"/>
      <c r="F82" s="106"/>
      <c r="G82" s="106"/>
      <c r="H82" s="106"/>
      <c r="I82" s="106"/>
      <c r="J82" s="106"/>
      <c r="K82" s="106"/>
      <c r="L82" s="117"/>
      <c r="M82" s="8"/>
      <c r="N82" s="8"/>
      <c r="O82" s="19"/>
      <c r="P82" s="17"/>
      <c r="Q82" s="8"/>
      <c r="R82" s="8"/>
      <c r="S82" s="8"/>
      <c r="T82" s="8"/>
    </row>
    <row r="83" spans="1:20" x14ac:dyDescent="0.2">
      <c r="A83" s="114" t="s">
        <v>64</v>
      </c>
      <c r="B83" s="101">
        <f>B81</f>
        <v>10.76</v>
      </c>
      <c r="C83" s="101">
        <f>C81</f>
        <v>0.04</v>
      </c>
      <c r="D83" s="131">
        <f t="shared" ref="D83:L83" si="2">SUM(D78:D81)</f>
        <v>0</v>
      </c>
      <c r="E83" s="131">
        <f t="shared" si="2"/>
        <v>0.5</v>
      </c>
      <c r="F83" s="131">
        <f t="shared" si="2"/>
        <v>12.75</v>
      </c>
      <c r="G83" s="131">
        <f t="shared" si="2"/>
        <v>1</v>
      </c>
      <c r="H83" s="96">
        <f t="shared" si="2"/>
        <v>837.84750000000008</v>
      </c>
      <c r="I83" s="96">
        <f t="shared" si="2"/>
        <v>0</v>
      </c>
      <c r="J83" s="96">
        <f t="shared" si="2"/>
        <v>9.85</v>
      </c>
      <c r="K83" s="104">
        <f t="shared" si="2"/>
        <v>153.89999999999998</v>
      </c>
      <c r="L83" s="115">
        <f t="shared" si="2"/>
        <v>9155.1329999999998</v>
      </c>
      <c r="M83" s="8"/>
      <c r="N83" s="8"/>
      <c r="O83" s="19"/>
      <c r="P83" s="17"/>
      <c r="Q83" s="8"/>
      <c r="R83" s="8"/>
      <c r="S83" s="8"/>
      <c r="T83" s="8"/>
    </row>
    <row r="84" spans="1:20" ht="1.05" customHeight="1" x14ac:dyDescent="0.2">
      <c r="A84" s="116"/>
      <c r="B84" s="108"/>
      <c r="C84" s="108"/>
      <c r="D84" s="132"/>
      <c r="E84" s="105"/>
      <c r="F84" s="105"/>
      <c r="G84" s="105"/>
      <c r="H84" s="105"/>
      <c r="I84" s="105"/>
      <c r="J84" s="105"/>
      <c r="K84" s="97"/>
      <c r="L84" s="119"/>
      <c r="M84" s="8"/>
      <c r="N84" s="8"/>
      <c r="O84" s="19"/>
      <c r="P84" s="17"/>
      <c r="Q84" s="8"/>
      <c r="R84" s="8"/>
      <c r="S84" s="8"/>
      <c r="T84" s="8"/>
    </row>
    <row r="85" spans="1:20" ht="10.8" thickBot="1" x14ac:dyDescent="0.25">
      <c r="A85" s="122" t="s">
        <v>12</v>
      </c>
      <c r="B85" s="123" t="s">
        <v>101</v>
      </c>
      <c r="C85" s="123" t="s">
        <v>101</v>
      </c>
      <c r="D85" s="124" t="s">
        <v>101</v>
      </c>
      <c r="E85" s="123" t="s">
        <v>101</v>
      </c>
      <c r="F85" s="123" t="s">
        <v>101</v>
      </c>
      <c r="G85" s="133" t="s">
        <v>101</v>
      </c>
      <c r="H85" s="123" t="s">
        <v>101</v>
      </c>
      <c r="I85" s="123" t="s">
        <v>101</v>
      </c>
      <c r="J85" s="123" t="s">
        <v>101</v>
      </c>
      <c r="K85" s="125">
        <f>K55+K67+K83+K75</f>
        <v>267.10799999999995</v>
      </c>
      <c r="L85" s="126">
        <f>L55+L67+L83+L75</f>
        <v>15919.608519999998</v>
      </c>
      <c r="M85" s="8"/>
      <c r="N85" s="8"/>
      <c r="O85" s="29" t="s">
        <v>32</v>
      </c>
      <c r="P85" s="45" t="s">
        <v>44</v>
      </c>
      <c r="Q85" s="18" t="s">
        <v>130</v>
      </c>
      <c r="R85" s="18" t="s">
        <v>131</v>
      </c>
      <c r="S85" s="8"/>
      <c r="T85" s="8"/>
    </row>
    <row r="86" spans="1:20" x14ac:dyDescent="0.2">
      <c r="A86" s="8"/>
      <c r="B86" s="17"/>
      <c r="C86" s="17"/>
      <c r="D86" s="20"/>
      <c r="E86" s="8"/>
      <c r="F86" s="8"/>
      <c r="G86" s="8"/>
      <c r="H86" s="8"/>
      <c r="I86" s="8"/>
      <c r="J86" s="8"/>
      <c r="K86" s="8"/>
      <c r="L86" s="8"/>
      <c r="M86" s="8"/>
      <c r="N86" s="8"/>
      <c r="O86" s="46" t="s">
        <v>125</v>
      </c>
      <c r="P86" s="46" t="s">
        <v>125</v>
      </c>
      <c r="Q86" s="46" t="s">
        <v>125</v>
      </c>
      <c r="R86" s="46" t="s">
        <v>125</v>
      </c>
      <c r="S86" s="8"/>
      <c r="T86" s="8"/>
    </row>
    <row r="87" spans="1:20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9">
        <f>SUM(O48:O81)</f>
        <v>0.24732222222222217</v>
      </c>
      <c r="P87" s="9">
        <f>DSUM(O47:P81,1,$K$1:$K$2)</f>
        <v>0.24084074074074069</v>
      </c>
      <c r="Q87" s="9">
        <f>DSUM(O47:P81,1,$K$5:$K$6)</f>
        <v>6.4814814814814813E-3</v>
      </c>
      <c r="R87" s="9">
        <f>P87+Q87</f>
        <v>0.24732222222222217</v>
      </c>
      <c r="S87" s="26">
        <f>SUM(S48:S81)</f>
        <v>0</v>
      </c>
      <c r="T87" s="26">
        <f>SUM(T48:T81)</f>
        <v>289.59399999999994</v>
      </c>
    </row>
  </sheetData>
  <phoneticPr fontId="0" type="noConversion"/>
  <pageMargins left="0.4597222222222222" right="0.43958333333333333" top="0.18958333333333333" bottom="0.23958333333333334" header="0" footer="0"/>
  <pageSetup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9D199-7109-4BE2-B114-DE2D2C614B83}">
  <dimension ref="A1:T146"/>
  <sheetViews>
    <sheetView tabSelected="1" showOutlineSymbols="0" topLeftCell="A105" zoomScaleNormal="100" zoomScaleSheetLayoutView="100" workbookViewId="0">
      <selection activeCell="W52" sqref="W52"/>
    </sheetView>
  </sheetViews>
  <sheetFormatPr defaultColWidth="9.7265625" defaultRowHeight="10.199999999999999" x14ac:dyDescent="0.2"/>
  <cols>
    <col min="1" max="1" width="26.26953125" style="1" customWidth="1"/>
    <col min="2" max="2" width="9" style="1" customWidth="1"/>
    <col min="3" max="3" width="8.453125" style="1" customWidth="1"/>
    <col min="4" max="4" width="9.26953125" style="1" customWidth="1"/>
    <col min="5" max="6" width="9" style="1" customWidth="1"/>
    <col min="7" max="8" width="9.26953125" style="1" customWidth="1"/>
    <col min="9" max="9" width="9" style="1" customWidth="1"/>
    <col min="10" max="11" width="8.81640625" style="1" customWidth="1"/>
    <col min="12" max="12" width="9" style="1" customWidth="1"/>
    <col min="13" max="13" width="13.7265625" style="1" hidden="1" customWidth="1"/>
    <col min="14" max="14" width="14.7265625" style="1" hidden="1" customWidth="1"/>
    <col min="15" max="15" width="12.7265625" style="1" hidden="1" customWidth="1"/>
    <col min="16" max="19" width="9.7265625" style="1" hidden="1" customWidth="1"/>
    <col min="20" max="20" width="12.7265625" style="1" hidden="1" customWidth="1"/>
    <col min="21" max="16384" width="9.7265625" style="1"/>
  </cols>
  <sheetData>
    <row r="1" spans="1:19" hidden="1" x14ac:dyDescent="0.2">
      <c r="A1" s="11" t="s">
        <v>33</v>
      </c>
      <c r="B1" s="15" t="s">
        <v>40</v>
      </c>
      <c r="C1" s="15" t="s">
        <v>46</v>
      </c>
      <c r="D1" s="8"/>
      <c r="E1" s="15" t="s">
        <v>48</v>
      </c>
      <c r="F1" s="15" t="s">
        <v>49</v>
      </c>
      <c r="G1" s="8"/>
      <c r="H1" s="8"/>
      <c r="I1" s="8"/>
      <c r="J1" s="8"/>
      <c r="K1" s="18" t="s">
        <v>50</v>
      </c>
      <c r="L1" s="8"/>
      <c r="M1" s="8"/>
      <c r="N1" s="8"/>
      <c r="O1" s="8"/>
      <c r="P1" s="19"/>
      <c r="Q1" s="8"/>
      <c r="R1" s="8"/>
      <c r="S1" s="8"/>
    </row>
    <row r="2" spans="1:19" hidden="1" x14ac:dyDescent="0.2">
      <c r="A2" s="11" t="s">
        <v>34</v>
      </c>
      <c r="B2" s="8"/>
      <c r="C2" s="12"/>
      <c r="D2" s="8"/>
      <c r="E2" s="12"/>
      <c r="F2" s="12"/>
      <c r="G2" s="8"/>
      <c r="H2" s="8"/>
      <c r="I2" s="8"/>
      <c r="J2" s="8"/>
      <c r="K2" s="8">
        <v>1</v>
      </c>
      <c r="L2" s="8"/>
      <c r="M2" s="8"/>
      <c r="N2" s="8"/>
      <c r="O2" s="8"/>
      <c r="P2" s="19"/>
      <c r="Q2" s="8"/>
      <c r="R2" s="8"/>
      <c r="S2" s="8"/>
    </row>
    <row r="3" spans="1:19" hidden="1" x14ac:dyDescent="0.2">
      <c r="A3" s="11" t="s">
        <v>35</v>
      </c>
      <c r="B3" s="8"/>
      <c r="C3" s="20"/>
      <c r="D3" s="8"/>
      <c r="E3" s="20"/>
      <c r="F3" s="20"/>
      <c r="G3" s="8"/>
      <c r="H3" s="8"/>
      <c r="I3" s="8"/>
      <c r="J3" s="8"/>
      <c r="K3" s="8"/>
      <c r="L3" s="8"/>
      <c r="M3" s="8"/>
      <c r="N3" s="8"/>
      <c r="O3" s="8"/>
      <c r="P3" s="19"/>
      <c r="Q3" s="8"/>
      <c r="R3" s="8"/>
      <c r="S3" s="8"/>
    </row>
    <row r="4" spans="1:19" hidden="1" x14ac:dyDescent="0.2">
      <c r="A4" s="11" t="s">
        <v>36</v>
      </c>
      <c r="B4" s="68">
        <v>135.66</v>
      </c>
      <c r="C4" s="12">
        <v>80.19</v>
      </c>
      <c r="D4" s="8">
        <v>0</v>
      </c>
      <c r="E4" s="12">
        <v>59.75</v>
      </c>
      <c r="F4" s="12">
        <v>35.94</v>
      </c>
      <c r="G4" s="8"/>
      <c r="H4" s="8"/>
      <c r="I4" s="8"/>
      <c r="J4" s="8"/>
      <c r="K4" s="8"/>
      <c r="L4" s="8"/>
      <c r="M4" s="8"/>
      <c r="N4" s="8"/>
      <c r="O4" s="8"/>
      <c r="P4" s="19"/>
      <c r="Q4" s="8"/>
      <c r="R4" s="8"/>
      <c r="S4" s="8"/>
    </row>
    <row r="5" spans="1:19" hidden="1" x14ac:dyDescent="0.2">
      <c r="A5" s="8"/>
      <c r="B5" s="8"/>
      <c r="C5" s="12"/>
      <c r="D5" s="8"/>
      <c r="E5" s="8"/>
      <c r="F5" s="8"/>
      <c r="G5" s="8"/>
      <c r="H5" s="8"/>
      <c r="I5" s="8"/>
      <c r="J5" s="8"/>
      <c r="K5" s="18" t="s">
        <v>50</v>
      </c>
      <c r="L5" s="8"/>
      <c r="M5" s="8"/>
      <c r="N5" s="8"/>
      <c r="O5" s="8"/>
      <c r="P5" s="19"/>
      <c r="Q5" s="8"/>
      <c r="R5" s="8"/>
      <c r="S5" s="8"/>
    </row>
    <row r="6" spans="1:19" hidden="1" x14ac:dyDescent="0.2">
      <c r="A6" s="11" t="s">
        <v>37</v>
      </c>
      <c r="B6" s="8"/>
      <c r="C6" s="15" t="s">
        <v>46</v>
      </c>
      <c r="D6" s="8"/>
      <c r="E6" s="15" t="s">
        <v>48</v>
      </c>
      <c r="F6" s="15" t="s">
        <v>49</v>
      </c>
      <c r="G6" s="8"/>
      <c r="H6" s="8"/>
      <c r="I6" s="8"/>
      <c r="J6" s="8"/>
      <c r="K6" s="8">
        <v>2</v>
      </c>
      <c r="L6" s="8"/>
      <c r="M6" s="8"/>
      <c r="N6" s="8"/>
      <c r="O6" s="8"/>
      <c r="P6" s="19"/>
      <c r="Q6" s="8"/>
      <c r="R6" s="8"/>
      <c r="S6" s="8"/>
    </row>
    <row r="7" spans="1:19" hidden="1" x14ac:dyDescent="0.2">
      <c r="A7" s="11" t="s">
        <v>34</v>
      </c>
      <c r="B7" s="8"/>
      <c r="C7" s="12"/>
      <c r="D7" s="8"/>
      <c r="E7" s="12"/>
      <c r="F7" s="12"/>
      <c r="G7" s="12"/>
      <c r="H7" s="8"/>
      <c r="I7" s="8"/>
      <c r="J7" s="8"/>
      <c r="K7" s="8"/>
      <c r="L7" s="8"/>
      <c r="M7" s="8"/>
      <c r="N7" s="8"/>
      <c r="O7" s="8"/>
      <c r="P7" s="19"/>
      <c r="Q7" s="8"/>
      <c r="R7" s="8"/>
      <c r="S7" s="8"/>
    </row>
    <row r="8" spans="1:19" hidden="1" x14ac:dyDescent="0.2">
      <c r="A8" s="11" t="s">
        <v>35</v>
      </c>
      <c r="B8" s="8"/>
      <c r="C8" s="20"/>
      <c r="D8" s="8"/>
      <c r="E8" s="20"/>
      <c r="F8" s="20"/>
      <c r="G8" s="12"/>
      <c r="H8" s="8"/>
      <c r="I8" s="8"/>
      <c r="J8" s="8"/>
      <c r="K8" s="8"/>
      <c r="L8" s="8"/>
      <c r="M8" s="8"/>
      <c r="N8" s="8"/>
      <c r="O8" s="8"/>
      <c r="P8" s="19"/>
      <c r="Q8" s="8"/>
      <c r="R8" s="8"/>
      <c r="S8" s="8"/>
    </row>
    <row r="9" spans="1:19" hidden="1" x14ac:dyDescent="0.2">
      <c r="A9" s="11" t="s">
        <v>36</v>
      </c>
      <c r="B9" s="68" t="s">
        <v>379</v>
      </c>
      <c r="C9" s="12" t="s">
        <v>379</v>
      </c>
      <c r="D9" s="8"/>
      <c r="E9" s="12" t="s">
        <v>379</v>
      </c>
      <c r="F9" s="12" t="s">
        <v>379</v>
      </c>
      <c r="G9" s="12"/>
      <c r="H9" s="8"/>
      <c r="I9" s="8"/>
      <c r="J9" s="8"/>
      <c r="K9" s="8"/>
      <c r="L9" s="8"/>
      <c r="M9" s="8"/>
      <c r="N9" s="8"/>
      <c r="O9" s="8"/>
      <c r="P9" s="19"/>
      <c r="Q9" s="8"/>
      <c r="R9" s="8"/>
      <c r="S9" s="8"/>
    </row>
    <row r="10" spans="1:19" hidden="1" x14ac:dyDescent="0.2">
      <c r="A10" s="11"/>
      <c r="B10" s="8"/>
      <c r="C10" s="12"/>
      <c r="D10" s="8"/>
      <c r="E10" s="12"/>
      <c r="F10" s="12"/>
      <c r="G10" s="8"/>
      <c r="H10" s="8"/>
      <c r="I10" s="8"/>
      <c r="J10" s="8"/>
      <c r="K10" s="8"/>
      <c r="L10" s="8"/>
      <c r="M10" s="8"/>
      <c r="N10" s="8"/>
      <c r="O10" s="8"/>
      <c r="P10" s="19"/>
      <c r="Q10" s="8"/>
      <c r="R10" s="8"/>
      <c r="S10" s="8"/>
    </row>
    <row r="11" spans="1:19" hidden="1" x14ac:dyDescent="0.2">
      <c r="A11" s="11" t="s">
        <v>13</v>
      </c>
      <c r="B11" s="8"/>
      <c r="C11" s="12"/>
      <c r="D11" s="8" t="s">
        <v>30</v>
      </c>
      <c r="E11" s="12"/>
      <c r="F11" s="12"/>
      <c r="G11" s="8"/>
      <c r="H11" s="8"/>
      <c r="I11" s="8"/>
      <c r="J11" s="8"/>
      <c r="K11" s="8"/>
      <c r="L11" s="8"/>
      <c r="M11" s="8"/>
      <c r="N11" s="8"/>
      <c r="O11" s="8"/>
      <c r="P11" s="19"/>
      <c r="Q11" s="8"/>
      <c r="R11" s="8"/>
      <c r="S11" s="8"/>
    </row>
    <row r="12" spans="1:19" hidden="1" x14ac:dyDescent="0.2">
      <c r="A12" s="11"/>
      <c r="B12" s="8"/>
      <c r="C12" s="14" t="s">
        <v>29</v>
      </c>
      <c r="D12" s="15" t="s">
        <v>31</v>
      </c>
      <c r="E12" s="14" t="s">
        <v>32</v>
      </c>
      <c r="F12" s="12"/>
      <c r="G12" s="8"/>
      <c r="H12" s="8"/>
      <c r="I12" s="8"/>
      <c r="J12" s="8"/>
      <c r="K12" s="8"/>
      <c r="L12" s="8"/>
      <c r="M12" s="8"/>
      <c r="N12" s="8"/>
      <c r="O12" s="8"/>
      <c r="P12" s="19"/>
      <c r="Q12" s="8"/>
      <c r="R12" s="8"/>
      <c r="S12" s="8"/>
    </row>
    <row r="13" spans="1:19" hidden="1" x14ac:dyDescent="0.2">
      <c r="A13" s="11" t="s">
        <v>14</v>
      </c>
      <c r="B13" s="8"/>
      <c r="C13" s="8">
        <v>1076</v>
      </c>
      <c r="D13" s="8">
        <v>4</v>
      </c>
      <c r="E13" s="28">
        <f t="shared" ref="E13:E25" si="0">+C13+D13</f>
        <v>1080</v>
      </c>
      <c r="F13" s="12"/>
      <c r="G13" s="21"/>
      <c r="H13" s="8"/>
      <c r="I13" s="8"/>
      <c r="J13" s="8"/>
      <c r="K13" s="8"/>
      <c r="L13" s="8"/>
      <c r="M13" s="8"/>
      <c r="N13" s="8"/>
      <c r="O13" s="8"/>
      <c r="P13" s="22"/>
      <c r="Q13" s="16"/>
      <c r="R13" s="16"/>
      <c r="S13" s="16"/>
    </row>
    <row r="14" spans="1:19" hidden="1" x14ac:dyDescent="0.2">
      <c r="A14" s="11" t="s">
        <v>15</v>
      </c>
      <c r="B14" s="8"/>
      <c r="C14" s="17">
        <v>323</v>
      </c>
      <c r="D14" s="17">
        <v>1</v>
      </c>
      <c r="E14" s="17">
        <f t="shared" si="0"/>
        <v>324</v>
      </c>
      <c r="F14" s="10">
        <v>0.25</v>
      </c>
      <c r="G14" s="8"/>
      <c r="H14" s="8"/>
      <c r="I14" s="8"/>
      <c r="J14" s="8"/>
      <c r="K14" s="8"/>
      <c r="L14" s="8"/>
      <c r="M14" s="8"/>
      <c r="N14" s="8"/>
      <c r="O14" s="8"/>
      <c r="P14" s="19"/>
      <c r="Q14" s="8"/>
      <c r="R14" s="8"/>
      <c r="S14" s="8"/>
    </row>
    <row r="15" spans="1:19" hidden="1" x14ac:dyDescent="0.2">
      <c r="A15" s="11" t="s">
        <v>16</v>
      </c>
      <c r="B15" s="8"/>
      <c r="C15" s="17">
        <v>215</v>
      </c>
      <c r="D15" s="17">
        <v>1</v>
      </c>
      <c r="E15" s="17">
        <f t="shared" si="0"/>
        <v>216</v>
      </c>
      <c r="F15" s="10">
        <v>0.75</v>
      </c>
      <c r="G15" s="8"/>
      <c r="H15" s="8"/>
      <c r="I15" s="8"/>
      <c r="J15" s="8"/>
      <c r="K15" s="8"/>
      <c r="L15" s="8"/>
      <c r="M15" s="8"/>
      <c r="N15" s="8"/>
      <c r="O15" s="8"/>
      <c r="P15" s="19"/>
      <c r="Q15" s="8"/>
      <c r="R15" s="8"/>
      <c r="S15" s="8"/>
    </row>
    <row r="16" spans="1:19" hidden="1" x14ac:dyDescent="0.2">
      <c r="A16" s="11" t="s">
        <v>17</v>
      </c>
      <c r="B16" s="8"/>
      <c r="C16" s="28">
        <v>538</v>
      </c>
      <c r="D16" s="28">
        <v>2</v>
      </c>
      <c r="E16" s="8">
        <f t="shared" si="0"/>
        <v>540</v>
      </c>
      <c r="F16" s="12"/>
      <c r="G16" s="8"/>
      <c r="H16" s="8"/>
      <c r="I16" s="8"/>
      <c r="J16" s="8"/>
      <c r="K16" s="8"/>
      <c r="L16" s="8"/>
      <c r="M16" s="8"/>
      <c r="N16" s="8"/>
      <c r="O16" s="8"/>
      <c r="P16" s="19"/>
      <c r="Q16" s="8"/>
      <c r="R16" s="8"/>
      <c r="S16" s="8"/>
    </row>
    <row r="17" spans="1:16" hidden="1" x14ac:dyDescent="0.2">
      <c r="A17" s="11" t="s">
        <v>18</v>
      </c>
      <c r="B17" s="8"/>
      <c r="C17" s="28">
        <v>0</v>
      </c>
      <c r="D17" s="28">
        <v>0</v>
      </c>
      <c r="E17" s="28">
        <f t="shared" si="0"/>
        <v>0</v>
      </c>
      <c r="F17" s="12"/>
      <c r="G17" s="8"/>
      <c r="H17" s="8"/>
      <c r="I17" s="8"/>
      <c r="J17" s="8"/>
      <c r="K17" s="8"/>
      <c r="L17" s="8"/>
      <c r="M17" s="8"/>
      <c r="N17" s="8"/>
      <c r="O17" s="8"/>
      <c r="P17" s="19"/>
    </row>
    <row r="18" spans="1:16" hidden="1" x14ac:dyDescent="0.2">
      <c r="A18" s="11" t="s">
        <v>19</v>
      </c>
      <c r="B18" s="8"/>
      <c r="C18" s="8">
        <v>418</v>
      </c>
      <c r="D18" s="8">
        <v>2</v>
      </c>
      <c r="E18" s="8">
        <f t="shared" si="0"/>
        <v>420</v>
      </c>
      <c r="F18" s="12"/>
      <c r="G18" s="8"/>
      <c r="H18" s="8"/>
      <c r="I18" s="8"/>
      <c r="J18" s="8"/>
      <c r="K18" s="8"/>
      <c r="L18" s="8"/>
      <c r="M18" s="8"/>
      <c r="N18" s="8"/>
      <c r="O18" s="8"/>
      <c r="P18" s="19"/>
    </row>
    <row r="19" spans="1:16" hidden="1" x14ac:dyDescent="0.2">
      <c r="A19" s="11" t="s">
        <v>20</v>
      </c>
      <c r="B19" s="8"/>
      <c r="C19" s="28">
        <v>341</v>
      </c>
      <c r="D19" s="28">
        <v>1</v>
      </c>
      <c r="E19" s="28">
        <f t="shared" si="0"/>
        <v>342</v>
      </c>
      <c r="F19" s="12"/>
      <c r="G19" s="8"/>
      <c r="H19" s="8"/>
      <c r="I19" s="8"/>
      <c r="J19" s="8"/>
      <c r="K19" s="8"/>
      <c r="L19" s="8"/>
      <c r="M19" s="8"/>
      <c r="N19" s="8"/>
      <c r="O19" s="8"/>
      <c r="P19" s="19"/>
    </row>
    <row r="20" spans="1:16" hidden="1" x14ac:dyDescent="0.2">
      <c r="A20" s="11" t="s">
        <v>51</v>
      </c>
      <c r="B20" s="8"/>
      <c r="C20" s="28">
        <v>46</v>
      </c>
      <c r="D20" s="28">
        <v>0</v>
      </c>
      <c r="E20" s="28">
        <f t="shared" si="0"/>
        <v>46</v>
      </c>
      <c r="F20" s="12"/>
      <c r="G20" s="8"/>
      <c r="H20" s="8"/>
      <c r="I20" s="8"/>
      <c r="J20" s="8"/>
      <c r="K20" s="8"/>
      <c r="L20" s="8"/>
      <c r="M20" s="8"/>
      <c r="N20" s="8"/>
      <c r="O20" s="8"/>
      <c r="P20" s="19"/>
    </row>
    <row r="21" spans="1:16" hidden="1" x14ac:dyDescent="0.2">
      <c r="A21" s="11" t="s">
        <v>52</v>
      </c>
      <c r="B21" s="8"/>
      <c r="C21" s="28">
        <v>1</v>
      </c>
      <c r="D21" s="28">
        <v>0</v>
      </c>
      <c r="E21" s="28">
        <f t="shared" si="0"/>
        <v>1</v>
      </c>
      <c r="F21" s="12"/>
      <c r="G21" s="8"/>
      <c r="H21" s="8"/>
      <c r="I21" s="8"/>
      <c r="J21" s="8"/>
      <c r="K21" s="8"/>
      <c r="L21" s="8"/>
      <c r="M21" s="8"/>
      <c r="N21" s="8"/>
      <c r="O21" s="8"/>
      <c r="P21" s="19"/>
    </row>
    <row r="22" spans="1:16" hidden="1" x14ac:dyDescent="0.2">
      <c r="A22" s="11" t="s">
        <v>53</v>
      </c>
      <c r="B22" s="8"/>
      <c r="C22" s="28">
        <v>294</v>
      </c>
      <c r="D22" s="28">
        <v>1</v>
      </c>
      <c r="E22" s="28">
        <f t="shared" si="0"/>
        <v>295</v>
      </c>
      <c r="F22" s="12"/>
      <c r="G22" s="8"/>
      <c r="H22" s="8"/>
      <c r="I22" s="8"/>
      <c r="J22" s="8"/>
      <c r="K22" s="8"/>
      <c r="L22" s="8"/>
      <c r="M22" s="8"/>
      <c r="N22" s="8"/>
      <c r="O22" s="8"/>
      <c r="P22" s="19"/>
    </row>
    <row r="23" spans="1:16" hidden="1" x14ac:dyDescent="0.2">
      <c r="A23" s="11" t="s">
        <v>54</v>
      </c>
      <c r="B23" s="8"/>
      <c r="C23" s="28">
        <v>295</v>
      </c>
      <c r="D23" s="28">
        <v>1</v>
      </c>
      <c r="E23" s="28">
        <f t="shared" si="0"/>
        <v>296</v>
      </c>
      <c r="F23" s="12"/>
      <c r="G23" s="8"/>
      <c r="H23" s="8"/>
      <c r="I23" s="8"/>
      <c r="J23" s="8"/>
      <c r="K23" s="8"/>
      <c r="L23" s="8"/>
      <c r="M23" s="8"/>
      <c r="N23" s="8"/>
      <c r="O23" s="8"/>
      <c r="P23" s="19"/>
    </row>
    <row r="24" spans="1:16" hidden="1" x14ac:dyDescent="0.2">
      <c r="A24" s="11" t="s">
        <v>22</v>
      </c>
      <c r="B24" s="8"/>
      <c r="C24" s="17">
        <v>40</v>
      </c>
      <c r="D24" s="17">
        <v>0</v>
      </c>
      <c r="E24" s="17">
        <f t="shared" si="0"/>
        <v>40</v>
      </c>
      <c r="F24" s="12"/>
      <c r="G24" s="8"/>
      <c r="H24" s="8"/>
      <c r="I24" s="8"/>
      <c r="J24" s="8"/>
      <c r="K24" s="8"/>
      <c r="L24" s="8"/>
      <c r="M24" s="8"/>
      <c r="N24" s="8"/>
      <c r="O24" s="8"/>
      <c r="P24" s="19"/>
    </row>
    <row r="25" spans="1:16" hidden="1" x14ac:dyDescent="0.2">
      <c r="A25" s="11" t="s">
        <v>55</v>
      </c>
      <c r="B25" s="8" t="s">
        <v>379</v>
      </c>
      <c r="C25" s="8">
        <v>1</v>
      </c>
      <c r="D25" s="8">
        <v>0</v>
      </c>
      <c r="E25" s="8">
        <f t="shared" si="0"/>
        <v>1</v>
      </c>
      <c r="F25" s="12"/>
      <c r="G25" s="8"/>
      <c r="H25" s="8"/>
      <c r="I25" s="8"/>
      <c r="J25" s="8"/>
      <c r="K25" s="8"/>
      <c r="L25" s="8"/>
      <c r="M25" s="8"/>
      <c r="N25" s="8"/>
      <c r="O25" s="8"/>
      <c r="P25" s="19"/>
    </row>
    <row r="26" spans="1:16" hidden="1" x14ac:dyDescent="0.2">
      <c r="A26" s="11" t="s">
        <v>23</v>
      </c>
      <c r="B26" s="8"/>
      <c r="C26" s="8">
        <v>0</v>
      </c>
      <c r="D26" s="8">
        <v>0</v>
      </c>
      <c r="E26" s="8">
        <v>0</v>
      </c>
      <c r="F26" s="12"/>
      <c r="G26" s="8"/>
      <c r="H26" s="8"/>
      <c r="I26" s="8"/>
      <c r="J26" s="8"/>
      <c r="K26" s="8"/>
      <c r="L26" s="8"/>
      <c r="M26" s="8"/>
      <c r="N26" s="8"/>
      <c r="O26" s="8"/>
      <c r="P26" s="19"/>
    </row>
    <row r="27" spans="1:16" hidden="1" x14ac:dyDescent="0.2">
      <c r="A27" s="11" t="s">
        <v>24</v>
      </c>
      <c r="B27" s="8" t="s">
        <v>379</v>
      </c>
      <c r="C27" s="8">
        <v>1</v>
      </c>
      <c r="D27" s="8">
        <v>0</v>
      </c>
      <c r="E27" s="8">
        <v>1</v>
      </c>
      <c r="F27" s="12"/>
      <c r="G27" s="8"/>
      <c r="H27" s="8"/>
      <c r="I27" s="8"/>
      <c r="J27" s="8"/>
      <c r="K27" s="8"/>
      <c r="L27" s="8"/>
      <c r="M27" s="8"/>
      <c r="N27" s="8"/>
      <c r="O27" s="8"/>
      <c r="P27" s="19"/>
    </row>
    <row r="28" spans="1:16" hidden="1" x14ac:dyDescent="0.2">
      <c r="A28" s="11" t="s">
        <v>25</v>
      </c>
      <c r="B28" s="8"/>
      <c r="C28" s="28">
        <v>7</v>
      </c>
      <c r="D28" s="28">
        <v>0</v>
      </c>
      <c r="E28" s="28">
        <f>+C28+D28</f>
        <v>7</v>
      </c>
      <c r="F28" s="10">
        <v>0.05</v>
      </c>
      <c r="G28" s="8"/>
      <c r="H28" s="8"/>
      <c r="I28" s="8"/>
      <c r="J28" s="8"/>
      <c r="K28" s="8"/>
      <c r="L28" s="8"/>
      <c r="M28" s="8"/>
      <c r="N28" s="8"/>
      <c r="O28" s="8"/>
      <c r="P28" s="19"/>
    </row>
    <row r="29" spans="1:16" hidden="1" x14ac:dyDescent="0.2">
      <c r="A29" s="11" t="s">
        <v>26</v>
      </c>
      <c r="B29" s="8"/>
      <c r="C29" s="28">
        <v>1</v>
      </c>
      <c r="D29" s="28">
        <v>0</v>
      </c>
      <c r="E29" s="28">
        <f>+C29+D29</f>
        <v>1</v>
      </c>
      <c r="F29" s="12"/>
      <c r="G29" s="8"/>
      <c r="H29" s="8"/>
      <c r="I29" s="8"/>
      <c r="J29" s="8"/>
      <c r="K29" s="8"/>
      <c r="L29" s="8"/>
      <c r="M29" s="8"/>
      <c r="N29" s="8"/>
      <c r="O29" s="8"/>
      <c r="P29" s="19"/>
    </row>
    <row r="30" spans="1:16" hidden="1" x14ac:dyDescent="0.2">
      <c r="A30" s="11" t="s">
        <v>56</v>
      </c>
      <c r="B30" s="8"/>
      <c r="C30" s="8">
        <v>512</v>
      </c>
      <c r="D30" s="8">
        <v>2</v>
      </c>
      <c r="E30" s="8">
        <f>+C30+D30</f>
        <v>514</v>
      </c>
      <c r="F30" s="12"/>
      <c r="G30" s="8"/>
      <c r="H30" s="8"/>
      <c r="I30" s="8"/>
      <c r="J30" s="8"/>
      <c r="K30" s="8"/>
      <c r="L30" s="8"/>
      <c r="M30" s="8"/>
      <c r="N30" s="8"/>
      <c r="O30" s="8"/>
      <c r="P30" s="19"/>
    </row>
    <row r="31" spans="1:16" ht="11.1" hidden="1" customHeight="1" x14ac:dyDescent="0.2">
      <c r="A31" s="11" t="s">
        <v>27</v>
      </c>
      <c r="B31" s="8"/>
      <c r="C31" s="8">
        <v>32</v>
      </c>
      <c r="D31" s="8">
        <v>0</v>
      </c>
      <c r="E31" s="8">
        <f>+C31+D31</f>
        <v>32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19"/>
    </row>
    <row r="32" spans="1:16" hidden="1" x14ac:dyDescent="0.2">
      <c r="A32" s="11" t="s">
        <v>57</v>
      </c>
      <c r="B32" s="8"/>
      <c r="C32" s="8">
        <v>3</v>
      </c>
      <c r="D32" s="8">
        <v>0</v>
      </c>
      <c r="E32" s="8">
        <f>+C32+D32</f>
        <v>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19"/>
    </row>
    <row r="33" spans="1:20" hidden="1" x14ac:dyDescent="0.2">
      <c r="A33" s="11" t="s">
        <v>28</v>
      </c>
      <c r="B33" s="8"/>
      <c r="C33" s="8">
        <v>0</v>
      </c>
      <c r="D33" s="8">
        <v>0</v>
      </c>
      <c r="E33" s="8">
        <f>C33+D33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19"/>
      <c r="Q33" s="8"/>
      <c r="R33" s="8"/>
      <c r="S33" s="8"/>
      <c r="T33" s="8"/>
    </row>
    <row r="34" spans="1:20" hidden="1" x14ac:dyDescent="0.2">
      <c r="A34" s="1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9"/>
      <c r="Q34" s="8"/>
      <c r="R34" s="8"/>
      <c r="S34" s="8"/>
      <c r="T34" s="8"/>
    </row>
    <row r="35" spans="1:20" hidden="1" x14ac:dyDescent="0.2">
      <c r="A35" s="1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9"/>
      <c r="Q35" s="8"/>
      <c r="R35" s="8"/>
      <c r="S35" s="8"/>
      <c r="T35" s="8"/>
    </row>
    <row r="36" spans="1:20" ht="17.399999999999999" x14ac:dyDescent="0.3">
      <c r="A36" s="353" t="s">
        <v>445</v>
      </c>
      <c r="B36" s="83"/>
      <c r="C36" s="83"/>
      <c r="D36" s="81"/>
      <c r="E36" s="70"/>
      <c r="F36" s="70"/>
      <c r="G36" s="70"/>
      <c r="H36" s="70"/>
      <c r="I36" s="70"/>
      <c r="J36" s="70"/>
      <c r="K36" s="70"/>
      <c r="L36" s="70"/>
      <c r="M36" s="8"/>
      <c r="N36" s="8"/>
      <c r="O36" s="9" t="e">
        <v>#VALUE!</v>
      </c>
      <c r="P36" s="9" t="e">
        <v>#VALUE!</v>
      </c>
      <c r="Q36" s="9" t="e">
        <v>#VALUE!</v>
      </c>
      <c r="R36" s="9" t="e">
        <f>P36+Q36</f>
        <v>#VALUE!</v>
      </c>
      <c r="S36" s="8"/>
      <c r="T36" s="8"/>
    </row>
    <row r="37" spans="1:20" ht="17.399999999999999" x14ac:dyDescent="0.3">
      <c r="A37" s="353" t="s">
        <v>58</v>
      </c>
      <c r="B37" s="70"/>
      <c r="C37" s="70"/>
      <c r="D37" s="81"/>
      <c r="E37" s="70"/>
      <c r="F37" s="70"/>
      <c r="G37" s="70"/>
      <c r="H37" s="70"/>
      <c r="I37" s="70"/>
      <c r="J37" s="70"/>
      <c r="K37" s="70"/>
      <c r="L37" s="70"/>
      <c r="M37" s="8"/>
      <c r="N37" s="8"/>
      <c r="O37" s="19"/>
      <c r="P37" s="17"/>
      <c r="Q37" s="8"/>
      <c r="R37" s="8"/>
      <c r="S37" s="8"/>
      <c r="T37" s="8"/>
    </row>
    <row r="38" spans="1:20" ht="17.399999999999999" x14ac:dyDescent="0.3">
      <c r="A38" s="353" t="s">
        <v>175</v>
      </c>
      <c r="B38" s="83"/>
      <c r="C38" s="83"/>
      <c r="D38" s="81"/>
      <c r="E38" s="70"/>
      <c r="F38" s="70"/>
      <c r="G38" s="70"/>
      <c r="H38" s="70"/>
      <c r="I38" s="70"/>
      <c r="J38" s="70"/>
      <c r="K38" s="70"/>
      <c r="L38" s="70"/>
      <c r="M38" s="8"/>
      <c r="N38" s="8"/>
      <c r="O38" s="19"/>
      <c r="P38" s="17"/>
      <c r="Q38" s="8"/>
      <c r="R38" s="8"/>
      <c r="S38" s="8"/>
      <c r="T38" s="8"/>
    </row>
    <row r="39" spans="1:20" x14ac:dyDescent="0.2">
      <c r="A39" s="70"/>
      <c r="B39" s="83"/>
      <c r="C39" s="83"/>
      <c r="D39" s="81"/>
      <c r="E39" s="70"/>
      <c r="F39" s="70"/>
      <c r="G39" s="70"/>
      <c r="H39" s="70"/>
      <c r="I39" s="70"/>
      <c r="J39" s="70"/>
      <c r="K39" s="70"/>
      <c r="L39" s="70"/>
      <c r="M39" s="8"/>
      <c r="N39" s="8"/>
      <c r="O39" s="19"/>
      <c r="P39" s="17"/>
      <c r="Q39" s="8"/>
      <c r="R39" s="8"/>
      <c r="S39" s="8"/>
      <c r="T39" s="8"/>
    </row>
    <row r="40" spans="1:20" x14ac:dyDescent="0.2">
      <c r="A40" s="70"/>
      <c r="B40" s="70"/>
      <c r="C40" s="72"/>
      <c r="D40" s="70"/>
      <c r="E40" s="70"/>
      <c r="F40" s="70"/>
      <c r="G40" s="70"/>
      <c r="H40" s="70"/>
      <c r="I40" s="71"/>
      <c r="J40" s="71"/>
      <c r="K40" s="70"/>
      <c r="L40" s="70"/>
      <c r="M40" s="8"/>
      <c r="N40" s="8"/>
      <c r="O40" s="19"/>
      <c r="P40" s="17"/>
      <c r="Q40" s="8"/>
      <c r="R40" s="8"/>
      <c r="S40" s="8"/>
      <c r="T40" s="8"/>
    </row>
    <row r="41" spans="1:20" x14ac:dyDescent="0.2">
      <c r="A41" s="70"/>
      <c r="B41" s="69" t="s">
        <v>100</v>
      </c>
      <c r="C41" s="69"/>
      <c r="D41" s="69"/>
      <c r="E41" s="69"/>
      <c r="F41" s="69"/>
      <c r="G41" s="69"/>
      <c r="H41" s="69"/>
      <c r="I41" s="134"/>
      <c r="J41" s="134"/>
      <c r="K41" s="69"/>
      <c r="L41" s="69"/>
      <c r="M41" s="8"/>
      <c r="N41" s="8"/>
      <c r="O41" s="19"/>
      <c r="P41" s="17"/>
      <c r="Q41" s="8"/>
      <c r="R41" s="8"/>
      <c r="S41" s="8"/>
      <c r="T41" s="8"/>
    </row>
    <row r="42" spans="1:20" x14ac:dyDescent="0.2">
      <c r="A42" s="70"/>
      <c r="B42" s="69" t="s">
        <v>33</v>
      </c>
      <c r="C42" s="69"/>
      <c r="D42" s="69" t="s">
        <v>104</v>
      </c>
      <c r="E42" s="69"/>
      <c r="F42" s="69"/>
      <c r="G42" s="69"/>
      <c r="H42" s="69"/>
      <c r="I42" s="69"/>
      <c r="J42" s="69"/>
      <c r="K42" s="69" t="s">
        <v>112</v>
      </c>
      <c r="L42" s="69"/>
      <c r="M42" s="15" t="s">
        <v>115</v>
      </c>
      <c r="N42" s="15" t="s">
        <v>115</v>
      </c>
      <c r="O42" s="15" t="s">
        <v>123</v>
      </c>
      <c r="P42" s="29" t="s">
        <v>126</v>
      </c>
      <c r="Q42" s="8"/>
      <c r="R42" s="8"/>
      <c r="S42" s="8"/>
      <c r="T42" s="8"/>
    </row>
    <row r="43" spans="1:20" x14ac:dyDescent="0.2">
      <c r="A43" s="70"/>
      <c r="B43" s="86"/>
      <c r="C43" s="87"/>
      <c r="D43" s="86"/>
      <c r="E43" s="88"/>
      <c r="F43" s="88"/>
      <c r="G43" s="88"/>
      <c r="H43" s="89"/>
      <c r="I43" s="90"/>
      <c r="J43" s="91"/>
      <c r="K43" s="92"/>
      <c r="L43" s="130"/>
      <c r="M43" s="15"/>
      <c r="N43" s="15"/>
      <c r="O43" s="15"/>
      <c r="P43" s="29"/>
      <c r="Q43" s="8"/>
      <c r="R43" s="8"/>
      <c r="S43" s="8"/>
      <c r="T43" s="8"/>
    </row>
    <row r="44" spans="1:20" x14ac:dyDescent="0.2">
      <c r="A44" s="70"/>
      <c r="B44" s="70"/>
      <c r="C44" s="70"/>
      <c r="D44" s="73" t="s">
        <v>40</v>
      </c>
      <c r="E44" s="73" t="s">
        <v>46</v>
      </c>
      <c r="F44" s="73" t="s">
        <v>48</v>
      </c>
      <c r="G44" s="73" t="s">
        <v>49</v>
      </c>
      <c r="H44" s="73" t="s">
        <v>106</v>
      </c>
      <c r="I44" s="74" t="s">
        <v>109</v>
      </c>
      <c r="J44" s="74"/>
      <c r="K44" s="73" t="s">
        <v>32</v>
      </c>
      <c r="L44" s="73" t="s">
        <v>32</v>
      </c>
      <c r="M44" s="15" t="s">
        <v>29</v>
      </c>
      <c r="N44" s="15" t="s">
        <v>122</v>
      </c>
      <c r="O44" s="15" t="s">
        <v>43</v>
      </c>
      <c r="P44" s="29" t="s">
        <v>127</v>
      </c>
      <c r="Q44" s="8"/>
      <c r="R44" s="8"/>
      <c r="S44" s="8"/>
      <c r="T44" s="8"/>
    </row>
    <row r="45" spans="1:20" x14ac:dyDescent="0.2">
      <c r="A45" s="70"/>
      <c r="B45" s="70"/>
      <c r="C45" s="73" t="s">
        <v>103</v>
      </c>
      <c r="D45" s="248">
        <f>B4</f>
        <v>135.66</v>
      </c>
      <c r="E45" s="74">
        <f>C4</f>
        <v>80.19</v>
      </c>
      <c r="F45" s="74">
        <f>E4</f>
        <v>59.75</v>
      </c>
      <c r="G45" s="74">
        <f>F4</f>
        <v>35.94</v>
      </c>
      <c r="H45" s="73" t="s">
        <v>107</v>
      </c>
      <c r="I45" s="74" t="s">
        <v>110</v>
      </c>
      <c r="J45" s="74" t="s">
        <v>111</v>
      </c>
      <c r="K45" s="73" t="s">
        <v>41</v>
      </c>
      <c r="L45" s="73" t="s">
        <v>47</v>
      </c>
      <c r="M45" s="15" t="s">
        <v>116</v>
      </c>
      <c r="N45" s="15" t="s">
        <v>116</v>
      </c>
      <c r="O45" s="15" t="s">
        <v>124</v>
      </c>
      <c r="P45" s="29" t="s">
        <v>128</v>
      </c>
      <c r="Q45" s="8"/>
      <c r="R45" s="8"/>
      <c r="S45" s="8"/>
      <c r="T45" s="8"/>
    </row>
    <row r="46" spans="1:20" x14ac:dyDescent="0.2">
      <c r="A46" s="69" t="s">
        <v>60</v>
      </c>
      <c r="B46" s="73" t="s">
        <v>29</v>
      </c>
      <c r="C46" s="73" t="s">
        <v>31</v>
      </c>
      <c r="D46" s="73" t="s">
        <v>439</v>
      </c>
      <c r="E46" s="73" t="s">
        <v>439</v>
      </c>
      <c r="F46" s="73" t="s">
        <v>439</v>
      </c>
      <c r="G46" s="73" t="s">
        <v>439</v>
      </c>
      <c r="H46" s="73" t="s">
        <v>108</v>
      </c>
      <c r="I46" s="74" t="s">
        <v>107</v>
      </c>
      <c r="J46" s="74" t="s">
        <v>107</v>
      </c>
      <c r="K46" s="73" t="s">
        <v>42</v>
      </c>
      <c r="L46" s="73" t="s">
        <v>42</v>
      </c>
      <c r="M46" s="15" t="s">
        <v>33</v>
      </c>
      <c r="N46" s="15" t="s">
        <v>33</v>
      </c>
      <c r="O46" s="15" t="s">
        <v>45</v>
      </c>
      <c r="P46" s="29" t="s">
        <v>129</v>
      </c>
      <c r="Q46" s="8"/>
      <c r="R46" s="8"/>
      <c r="S46" s="26" t="s">
        <v>132</v>
      </c>
      <c r="T46" s="26" t="s">
        <v>111</v>
      </c>
    </row>
    <row r="47" spans="1:20" ht="1.05" customHeight="1" x14ac:dyDescent="0.2">
      <c r="A47" s="78"/>
      <c r="B47" s="82"/>
      <c r="C47" s="82"/>
      <c r="D47" s="79"/>
      <c r="E47" s="78"/>
      <c r="F47" s="78"/>
      <c r="G47" s="78"/>
      <c r="H47" s="78"/>
      <c r="I47" s="78"/>
      <c r="J47" s="78"/>
      <c r="K47" s="78"/>
      <c r="L47" s="78"/>
      <c r="M47" s="8"/>
      <c r="N47" s="8"/>
      <c r="O47" s="19"/>
      <c r="P47" s="17"/>
      <c r="Q47" s="8"/>
      <c r="R47" s="8"/>
      <c r="S47" s="26"/>
      <c r="T47" s="26"/>
    </row>
    <row r="48" spans="1:20" x14ac:dyDescent="0.2">
      <c r="A48" s="335" t="s">
        <v>176</v>
      </c>
      <c r="B48" s="336"/>
      <c r="C48" s="336"/>
      <c r="D48" s="337"/>
      <c r="E48" s="338"/>
      <c r="F48" s="338"/>
      <c r="G48" s="338"/>
      <c r="H48" s="338"/>
      <c r="I48" s="339"/>
      <c r="J48" s="339"/>
      <c r="K48" s="338"/>
      <c r="L48" s="340"/>
      <c r="M48" s="8"/>
      <c r="N48" s="8"/>
      <c r="O48" s="29" t="s">
        <v>173</v>
      </c>
      <c r="P48" s="45" t="s">
        <v>174</v>
      </c>
      <c r="Q48" s="8"/>
      <c r="R48" s="8"/>
      <c r="S48" s="26"/>
      <c r="T48" s="26"/>
    </row>
    <row r="49" spans="1:20" x14ac:dyDescent="0.2">
      <c r="A49" s="114" t="s">
        <v>61</v>
      </c>
      <c r="B49" s="101" t="s">
        <v>102</v>
      </c>
      <c r="C49" s="94">
        <v>0</v>
      </c>
      <c r="D49" s="95">
        <v>0</v>
      </c>
      <c r="E49" s="104">
        <v>0.5</v>
      </c>
      <c r="F49" s="104">
        <v>3</v>
      </c>
      <c r="G49" s="104">
        <v>0</v>
      </c>
      <c r="H49" s="96">
        <f t="shared" ref="H49:H54" si="1">+($B$4*D49)+($C$4*E49)+($E$4*F49)+($F$4*G49)</f>
        <v>219.345</v>
      </c>
      <c r="I49" s="96">
        <v>0</v>
      </c>
      <c r="J49" s="96">
        <v>0</v>
      </c>
      <c r="K49" s="95">
        <f t="shared" ref="K49:K54" si="2">(D49+E49+F49+G49)*(C49)</f>
        <v>0</v>
      </c>
      <c r="L49" s="115">
        <f t="shared" ref="L49:L54" si="3">(H49+I49+J49)*(C49)</f>
        <v>0</v>
      </c>
      <c r="M49" s="8">
        <f>+$C$13</f>
        <v>1076</v>
      </c>
      <c r="N49" s="8">
        <f>+$D$13</f>
        <v>4</v>
      </c>
      <c r="O49" s="19">
        <f t="shared" ref="O49:O54" si="4">(((C49)/(M49+N49))*(D49+E49+F49+G49))</f>
        <v>0</v>
      </c>
      <c r="P49" s="17">
        <v>1</v>
      </c>
      <c r="Q49" s="8"/>
      <c r="R49" s="8"/>
      <c r="S49" s="26">
        <f t="shared" ref="S49:S54" si="5">+I49*(C49)</f>
        <v>0</v>
      </c>
      <c r="T49" s="26">
        <f t="shared" ref="T49:T54" si="6">+J49*(C49)</f>
        <v>0</v>
      </c>
    </row>
    <row r="50" spans="1:20" x14ac:dyDescent="0.2">
      <c r="A50" s="114" t="s">
        <v>177</v>
      </c>
      <c r="B50" s="101" t="s">
        <v>102</v>
      </c>
      <c r="C50" s="94">
        <f>$D$26</f>
        <v>0</v>
      </c>
      <c r="D50" s="95">
        <v>0</v>
      </c>
      <c r="E50" s="104">
        <v>0</v>
      </c>
      <c r="F50" s="104">
        <v>8</v>
      </c>
      <c r="G50" s="104">
        <v>0</v>
      </c>
      <c r="H50" s="96">
        <f t="shared" si="1"/>
        <v>478</v>
      </c>
      <c r="I50" s="96">
        <v>0</v>
      </c>
      <c r="J50" s="96">
        <v>0</v>
      </c>
      <c r="K50" s="95">
        <f t="shared" si="2"/>
        <v>0</v>
      </c>
      <c r="L50" s="115">
        <f t="shared" si="3"/>
        <v>0</v>
      </c>
      <c r="M50" s="8">
        <f>+$C$16</f>
        <v>538</v>
      </c>
      <c r="N50" s="8">
        <f>+$D$16</f>
        <v>2</v>
      </c>
      <c r="O50" s="19">
        <f t="shared" si="4"/>
        <v>0</v>
      </c>
      <c r="P50" s="17">
        <v>1</v>
      </c>
      <c r="Q50" s="8"/>
      <c r="R50" s="8"/>
      <c r="S50" s="26">
        <f t="shared" si="5"/>
        <v>0</v>
      </c>
      <c r="T50" s="26">
        <f t="shared" si="6"/>
        <v>0</v>
      </c>
    </row>
    <row r="51" spans="1:20" x14ac:dyDescent="0.2">
      <c r="A51" s="114" t="s">
        <v>178</v>
      </c>
      <c r="B51" s="101" t="s">
        <v>102</v>
      </c>
      <c r="C51" s="94">
        <f>$D$26</f>
        <v>0</v>
      </c>
      <c r="D51" s="95">
        <v>0</v>
      </c>
      <c r="E51" s="104">
        <v>0</v>
      </c>
      <c r="F51" s="104">
        <v>2</v>
      </c>
      <c r="G51" s="104">
        <v>0.5</v>
      </c>
      <c r="H51" s="96">
        <f t="shared" si="1"/>
        <v>137.47</v>
      </c>
      <c r="I51" s="96">
        <v>0</v>
      </c>
      <c r="J51" s="96">
        <v>0</v>
      </c>
      <c r="K51" s="95">
        <f t="shared" si="2"/>
        <v>0</v>
      </c>
      <c r="L51" s="115">
        <f t="shared" si="3"/>
        <v>0</v>
      </c>
      <c r="M51" s="8">
        <f>+$C$16</f>
        <v>538</v>
      </c>
      <c r="N51" s="8">
        <f>+$D$16</f>
        <v>2</v>
      </c>
      <c r="O51" s="19">
        <f t="shared" si="4"/>
        <v>0</v>
      </c>
      <c r="P51" s="17">
        <v>1</v>
      </c>
      <c r="Q51" s="8"/>
      <c r="R51" s="8"/>
      <c r="S51" s="26">
        <f t="shared" si="5"/>
        <v>0</v>
      </c>
      <c r="T51" s="26">
        <f t="shared" si="6"/>
        <v>0</v>
      </c>
    </row>
    <row r="52" spans="1:20" x14ac:dyDescent="0.2">
      <c r="A52" s="114" t="s">
        <v>179</v>
      </c>
      <c r="B52" s="101" t="s">
        <v>102</v>
      </c>
      <c r="C52" s="94">
        <f>$D$26</f>
        <v>0</v>
      </c>
      <c r="D52" s="95">
        <v>0</v>
      </c>
      <c r="E52" s="104">
        <v>1</v>
      </c>
      <c r="F52" s="104">
        <v>20</v>
      </c>
      <c r="G52" s="104">
        <v>3</v>
      </c>
      <c r="H52" s="96">
        <f t="shared" si="1"/>
        <v>1383.01</v>
      </c>
      <c r="I52" s="96">
        <v>0</v>
      </c>
      <c r="J52" s="96">
        <v>0</v>
      </c>
      <c r="K52" s="95">
        <f t="shared" si="2"/>
        <v>0</v>
      </c>
      <c r="L52" s="115">
        <f t="shared" si="3"/>
        <v>0</v>
      </c>
      <c r="M52" s="8">
        <f>+$C$16</f>
        <v>538</v>
      </c>
      <c r="N52" s="8">
        <f>+$D$16</f>
        <v>2</v>
      </c>
      <c r="O52" s="19">
        <f t="shared" si="4"/>
        <v>0</v>
      </c>
      <c r="P52" s="17">
        <v>1</v>
      </c>
      <c r="Q52" s="8"/>
      <c r="R52" s="8"/>
      <c r="S52" s="26">
        <f t="shared" si="5"/>
        <v>0</v>
      </c>
      <c r="T52" s="26">
        <f t="shared" si="6"/>
        <v>0</v>
      </c>
    </row>
    <row r="53" spans="1:20" x14ac:dyDescent="0.2">
      <c r="A53" s="114" t="s">
        <v>180</v>
      </c>
      <c r="B53" s="101" t="s">
        <v>102</v>
      </c>
      <c r="C53" s="94">
        <f>$D$26</f>
        <v>0</v>
      </c>
      <c r="D53" s="95">
        <v>0</v>
      </c>
      <c r="E53" s="104">
        <v>0.25</v>
      </c>
      <c r="F53" s="104">
        <v>0.25</v>
      </c>
      <c r="G53" s="104">
        <v>0</v>
      </c>
      <c r="H53" s="96">
        <f t="shared" si="1"/>
        <v>34.984999999999999</v>
      </c>
      <c r="I53" s="96">
        <v>0</v>
      </c>
      <c r="J53" s="96">
        <v>0</v>
      </c>
      <c r="K53" s="95">
        <f t="shared" si="2"/>
        <v>0</v>
      </c>
      <c r="L53" s="115">
        <f t="shared" si="3"/>
        <v>0</v>
      </c>
      <c r="M53" s="8">
        <f>+$C$16</f>
        <v>538</v>
      </c>
      <c r="N53" s="8">
        <f>+$D$16</f>
        <v>2</v>
      </c>
      <c r="O53" s="19">
        <f t="shared" si="4"/>
        <v>0</v>
      </c>
      <c r="P53" s="17">
        <v>1</v>
      </c>
      <c r="Q53" s="8"/>
      <c r="R53" s="8"/>
      <c r="S53" s="26">
        <f t="shared" si="5"/>
        <v>0</v>
      </c>
      <c r="T53" s="26">
        <f t="shared" si="6"/>
        <v>0</v>
      </c>
    </row>
    <row r="54" spans="1:20" x14ac:dyDescent="0.2">
      <c r="A54" s="114" t="s">
        <v>181</v>
      </c>
      <c r="B54" s="101" t="s">
        <v>102</v>
      </c>
      <c r="C54" s="94">
        <f>$D$26</f>
        <v>0</v>
      </c>
      <c r="D54" s="95">
        <v>0</v>
      </c>
      <c r="E54" s="104">
        <v>0.5</v>
      </c>
      <c r="F54" s="104">
        <v>1</v>
      </c>
      <c r="G54" s="104">
        <v>0.5</v>
      </c>
      <c r="H54" s="96">
        <f t="shared" si="1"/>
        <v>117.815</v>
      </c>
      <c r="I54" s="96">
        <v>0</v>
      </c>
      <c r="J54" s="96">
        <v>0</v>
      </c>
      <c r="K54" s="95">
        <f t="shared" si="2"/>
        <v>0</v>
      </c>
      <c r="L54" s="115">
        <f t="shared" si="3"/>
        <v>0</v>
      </c>
      <c r="M54" s="8">
        <f>+$C$16</f>
        <v>538</v>
      </c>
      <c r="N54" s="8">
        <f>+$D$16</f>
        <v>2</v>
      </c>
      <c r="O54" s="19">
        <f t="shared" si="4"/>
        <v>0</v>
      </c>
      <c r="P54" s="17">
        <v>1</v>
      </c>
      <c r="Q54" s="8"/>
      <c r="R54" s="8"/>
      <c r="S54" s="26">
        <f t="shared" si="5"/>
        <v>0</v>
      </c>
      <c r="T54" s="26">
        <f t="shared" si="6"/>
        <v>0</v>
      </c>
    </row>
    <row r="55" spans="1:20" ht="1.05" customHeight="1" x14ac:dyDescent="0.2">
      <c r="A55" s="116"/>
      <c r="B55" s="108"/>
      <c r="C55" s="98"/>
      <c r="D55" s="99"/>
      <c r="E55" s="97"/>
      <c r="F55" s="97"/>
      <c r="G55" s="97"/>
      <c r="H55" s="97"/>
      <c r="I55" s="97"/>
      <c r="J55" s="97"/>
      <c r="K55" s="97"/>
      <c r="L55" s="119"/>
      <c r="M55" s="8"/>
      <c r="N55" s="8"/>
      <c r="O55" s="19"/>
      <c r="P55" s="17"/>
      <c r="Q55" s="8"/>
      <c r="R55" s="8"/>
      <c r="S55" s="8"/>
      <c r="T55" s="8"/>
    </row>
    <row r="56" spans="1:20" x14ac:dyDescent="0.2">
      <c r="A56" s="114" t="s">
        <v>64</v>
      </c>
      <c r="B56" s="101" t="s">
        <v>102</v>
      </c>
      <c r="C56" s="101">
        <v>0</v>
      </c>
      <c r="D56" s="104">
        <f t="shared" ref="D56:L56" si="7">SUM(D49:D54)</f>
        <v>0</v>
      </c>
      <c r="E56" s="104">
        <f t="shared" si="7"/>
        <v>2.25</v>
      </c>
      <c r="F56" s="104">
        <f t="shared" si="7"/>
        <v>34.25</v>
      </c>
      <c r="G56" s="104">
        <f t="shared" si="7"/>
        <v>4</v>
      </c>
      <c r="H56" s="96">
        <f t="shared" si="7"/>
        <v>2370.625</v>
      </c>
      <c r="I56" s="96">
        <f t="shared" si="7"/>
        <v>0</v>
      </c>
      <c r="J56" s="96">
        <f t="shared" si="7"/>
        <v>0</v>
      </c>
      <c r="K56" s="104">
        <f t="shared" si="7"/>
        <v>0</v>
      </c>
      <c r="L56" s="115">
        <f t="shared" si="7"/>
        <v>0</v>
      </c>
      <c r="M56" s="8"/>
      <c r="N56" s="8"/>
      <c r="O56" s="19"/>
      <c r="P56" s="17"/>
      <c r="Q56" s="8"/>
      <c r="R56" s="8"/>
      <c r="S56" s="8"/>
      <c r="T56" s="8"/>
    </row>
    <row r="57" spans="1:20" ht="1.05" customHeight="1" x14ac:dyDescent="0.2">
      <c r="A57" s="116"/>
      <c r="B57" s="108"/>
      <c r="C57" s="98"/>
      <c r="D57" s="99"/>
      <c r="E57" s="97"/>
      <c r="F57" s="97"/>
      <c r="G57" s="97"/>
      <c r="H57" s="97"/>
      <c r="I57" s="97"/>
      <c r="J57" s="97"/>
      <c r="K57" s="97"/>
      <c r="L57" s="119"/>
      <c r="M57" s="8"/>
      <c r="N57" s="8"/>
      <c r="O57" s="19"/>
      <c r="P57" s="17"/>
      <c r="Q57" s="8"/>
      <c r="R57" s="8"/>
      <c r="S57" s="8"/>
      <c r="T57" s="8"/>
    </row>
    <row r="58" spans="1:20" x14ac:dyDescent="0.2">
      <c r="A58" s="335" t="s">
        <v>393</v>
      </c>
      <c r="B58" s="336"/>
      <c r="C58" s="336"/>
      <c r="D58" s="337"/>
      <c r="E58" s="338"/>
      <c r="F58" s="338"/>
      <c r="G58" s="338"/>
      <c r="H58" s="338"/>
      <c r="I58" s="339"/>
      <c r="J58" s="339"/>
      <c r="K58" s="338"/>
      <c r="L58" s="340"/>
      <c r="M58" s="8"/>
      <c r="N58" s="8"/>
      <c r="O58" s="19"/>
      <c r="P58" s="17"/>
      <c r="Q58" s="8"/>
      <c r="R58" s="8"/>
      <c r="S58" s="8"/>
      <c r="T58" s="8"/>
    </row>
    <row r="59" spans="1:20" x14ac:dyDescent="0.2">
      <c r="A59" s="114" t="s">
        <v>182</v>
      </c>
      <c r="B59" s="101" t="s">
        <v>102</v>
      </c>
      <c r="C59" s="94">
        <f>0.05*($D$16+$D$17)</f>
        <v>0.1</v>
      </c>
      <c r="D59" s="95">
        <v>0</v>
      </c>
      <c r="E59" s="104">
        <v>0.25</v>
      </c>
      <c r="F59" s="104">
        <v>1</v>
      </c>
      <c r="G59" s="104">
        <v>0.25</v>
      </c>
      <c r="H59" s="96">
        <f>+($B$4*D59)+($C$4*E59)+($E$4*F59)+($F$4*G59)</f>
        <v>88.782499999999999</v>
      </c>
      <c r="I59" s="96">
        <v>0</v>
      </c>
      <c r="J59" s="96">
        <v>0.73</v>
      </c>
      <c r="K59" s="95">
        <f>(D59+E59+F59+G59)*(C59)</f>
        <v>0.15000000000000002</v>
      </c>
      <c r="L59" s="115">
        <f>(H59+I59+J59)*(C59)</f>
        <v>8.9512499999999999</v>
      </c>
      <c r="M59" s="8">
        <f>+$C$16</f>
        <v>538</v>
      </c>
      <c r="N59" s="8">
        <f>+$D$16</f>
        <v>2</v>
      </c>
      <c r="O59" s="19">
        <f>(((C59)/(M59+N59))*(D59+E59+F59+G59))</f>
        <v>2.7777777777777783E-4</v>
      </c>
      <c r="P59" s="17">
        <v>1</v>
      </c>
      <c r="Q59" s="8"/>
      <c r="R59" s="8"/>
      <c r="S59" s="26">
        <f>+I59*(C59)</f>
        <v>0</v>
      </c>
      <c r="T59" s="26">
        <f>+J59*(C59)</f>
        <v>7.2999999999999995E-2</v>
      </c>
    </row>
    <row r="60" spans="1:20" x14ac:dyDescent="0.2">
      <c r="A60" s="114" t="s">
        <v>183</v>
      </c>
      <c r="B60" s="101" t="s">
        <v>102</v>
      </c>
      <c r="C60" s="94">
        <f>0.05*($D$16+$D$17)</f>
        <v>0.1</v>
      </c>
      <c r="D60" s="95">
        <v>0</v>
      </c>
      <c r="E60" s="104">
        <v>0</v>
      </c>
      <c r="F60" s="104">
        <v>8</v>
      </c>
      <c r="G60" s="104">
        <v>1</v>
      </c>
      <c r="H60" s="96">
        <f>+($B$4*D60)+($C$4*E60)+($E$4*F60)+($F$4*G60)</f>
        <v>513.94000000000005</v>
      </c>
      <c r="I60" s="96">
        <v>0</v>
      </c>
      <c r="J60" s="96">
        <v>9.85</v>
      </c>
      <c r="K60" s="95">
        <f>(D60+E60+F60+G60)*(C60)</f>
        <v>0.9</v>
      </c>
      <c r="L60" s="115">
        <f>(H60+I60+J60)*(C60)</f>
        <v>52.379000000000012</v>
      </c>
      <c r="M60" s="8">
        <f>+$C$16</f>
        <v>538</v>
      </c>
      <c r="N60" s="8">
        <f>+$D$16</f>
        <v>2</v>
      </c>
      <c r="O60" s="19">
        <f>(((C60)/(M60+N60))*(D60+E60+F60+G60))</f>
        <v>1.6666666666666668E-3</v>
      </c>
      <c r="P60" s="17">
        <v>1</v>
      </c>
      <c r="Q60" s="8"/>
      <c r="R60" s="8"/>
      <c r="S60" s="26">
        <f>+I60*(C60)</f>
        <v>0</v>
      </c>
      <c r="T60" s="26">
        <f>+J60*(C60)</f>
        <v>0.98499999999999999</v>
      </c>
    </row>
    <row r="61" spans="1:20" ht="1.05" customHeight="1" x14ac:dyDescent="0.2">
      <c r="A61" s="116"/>
      <c r="B61" s="108"/>
      <c r="C61" s="98"/>
      <c r="D61" s="99"/>
      <c r="E61" s="97"/>
      <c r="F61" s="97"/>
      <c r="G61" s="97"/>
      <c r="H61" s="97"/>
      <c r="I61" s="97"/>
      <c r="J61" s="97"/>
      <c r="K61" s="97"/>
      <c r="L61" s="119"/>
      <c r="M61" s="8"/>
      <c r="N61" s="8"/>
      <c r="O61" s="19"/>
      <c r="P61" s="17"/>
      <c r="Q61" s="8"/>
      <c r="R61" s="8"/>
      <c r="S61" s="8"/>
      <c r="T61" s="8"/>
    </row>
    <row r="62" spans="1:20" x14ac:dyDescent="0.2">
      <c r="A62" s="114" t="s">
        <v>64</v>
      </c>
      <c r="B62" s="101" t="s">
        <v>102</v>
      </c>
      <c r="C62" s="94">
        <f>0.05*($D$16+$D$17)</f>
        <v>0.1</v>
      </c>
      <c r="D62" s="95">
        <v>0</v>
      </c>
      <c r="E62" s="104">
        <f t="shared" ref="E62:L62" si="8">SUM(E59:E60)</f>
        <v>0.25</v>
      </c>
      <c r="F62" s="104">
        <f t="shared" si="8"/>
        <v>9</v>
      </c>
      <c r="G62" s="104">
        <f t="shared" si="8"/>
        <v>1.25</v>
      </c>
      <c r="H62" s="96">
        <f t="shared" si="8"/>
        <v>602.72250000000008</v>
      </c>
      <c r="I62" s="96">
        <f t="shared" si="8"/>
        <v>0</v>
      </c>
      <c r="J62" s="96">
        <f t="shared" si="8"/>
        <v>10.58</v>
      </c>
      <c r="K62" s="104">
        <f t="shared" si="8"/>
        <v>1.05</v>
      </c>
      <c r="L62" s="115">
        <f t="shared" si="8"/>
        <v>61.330250000000014</v>
      </c>
      <c r="M62" s="8"/>
      <c r="N62" s="8"/>
      <c r="O62" s="19"/>
      <c r="P62" s="17"/>
      <c r="Q62" s="8"/>
      <c r="R62" s="8"/>
      <c r="S62" s="8"/>
      <c r="T62" s="8"/>
    </row>
    <row r="63" spans="1:20" ht="1.05" customHeight="1" x14ac:dyDescent="0.2">
      <c r="A63" s="116"/>
      <c r="B63" s="98"/>
      <c r="C63" s="98"/>
      <c r="D63" s="99"/>
      <c r="E63" s="97"/>
      <c r="F63" s="97"/>
      <c r="G63" s="97"/>
      <c r="H63" s="97"/>
      <c r="I63" s="97"/>
      <c r="J63" s="97"/>
      <c r="K63" s="97"/>
      <c r="L63" s="119"/>
      <c r="M63" s="8"/>
      <c r="N63" s="8"/>
      <c r="O63" s="19"/>
      <c r="P63" s="17"/>
      <c r="Q63" s="8"/>
      <c r="R63" s="8"/>
      <c r="S63" s="8"/>
      <c r="T63" s="8"/>
    </row>
    <row r="64" spans="1:20" x14ac:dyDescent="0.2">
      <c r="A64" s="335" t="s">
        <v>394</v>
      </c>
      <c r="B64" s="336"/>
      <c r="C64" s="336"/>
      <c r="D64" s="337"/>
      <c r="E64" s="338"/>
      <c r="F64" s="338"/>
      <c r="G64" s="338"/>
      <c r="H64" s="338"/>
      <c r="I64" s="339"/>
      <c r="J64" s="339"/>
      <c r="K64" s="338"/>
      <c r="L64" s="340"/>
      <c r="M64" s="8"/>
      <c r="N64" s="8"/>
      <c r="O64" s="19"/>
      <c r="P64" s="17"/>
      <c r="Q64" s="8"/>
      <c r="R64" s="8"/>
      <c r="S64" s="8"/>
      <c r="T64" s="8"/>
    </row>
    <row r="65" spans="1:20" x14ac:dyDescent="0.2">
      <c r="A65" s="114" t="s">
        <v>184</v>
      </c>
      <c r="B65" s="94">
        <f>C28</f>
        <v>7</v>
      </c>
      <c r="C65" s="94">
        <f>D28</f>
        <v>0</v>
      </c>
      <c r="D65" s="95">
        <v>0</v>
      </c>
      <c r="E65" s="104">
        <v>0.25</v>
      </c>
      <c r="F65" s="104">
        <v>0.5</v>
      </c>
      <c r="G65" s="104">
        <v>0.25</v>
      </c>
      <c r="H65" s="96">
        <f>+($B$4*D65)+($C$4*E65)+($E$4*F65)+($F$4*G65)</f>
        <v>58.907499999999999</v>
      </c>
      <c r="I65" s="96">
        <v>0</v>
      </c>
      <c r="J65" s="96">
        <v>0.73</v>
      </c>
      <c r="K65" s="95">
        <f>(D65+E65+F65+G65)*(B65+C65)</f>
        <v>7</v>
      </c>
      <c r="L65" s="115">
        <f>(H65+I65+J65)*(C65+B65)</f>
        <v>417.46249999999998</v>
      </c>
      <c r="M65" s="8">
        <f>+$C$16</f>
        <v>538</v>
      </c>
      <c r="N65" s="8">
        <f>+$D$16</f>
        <v>2</v>
      </c>
      <c r="O65" s="19">
        <f>(((B65+C65)/(M65+N65))*(D65+E65+F65+G65))</f>
        <v>1.2962962962962963E-2</v>
      </c>
      <c r="P65" s="17">
        <v>1</v>
      </c>
      <c r="Q65" s="8"/>
      <c r="R65" s="8"/>
      <c r="S65" s="26">
        <f>+I65*(B65+C65)</f>
        <v>0</v>
      </c>
      <c r="T65" s="26">
        <f>+J65*(B65+C65)</f>
        <v>5.1099999999999994</v>
      </c>
    </row>
    <row r="66" spans="1:20" x14ac:dyDescent="0.2">
      <c r="A66" s="114" t="s">
        <v>185</v>
      </c>
      <c r="B66" s="94">
        <f>C28</f>
        <v>7</v>
      </c>
      <c r="C66" s="94">
        <f>D28</f>
        <v>0</v>
      </c>
      <c r="D66" s="95">
        <v>0</v>
      </c>
      <c r="E66" s="104">
        <v>0</v>
      </c>
      <c r="F66" s="104">
        <v>0</v>
      </c>
      <c r="G66" s="104">
        <v>1</v>
      </c>
      <c r="H66" s="96">
        <f>+($B$4*D66)+($C$4*E66)+($E$4*F66)+($F$4*G66)</f>
        <v>35.94</v>
      </c>
      <c r="I66" s="96">
        <v>0</v>
      </c>
      <c r="J66" s="96">
        <v>9.85</v>
      </c>
      <c r="K66" s="95">
        <f>(D66+E66+F66+G66)*(B66+C66)</f>
        <v>7</v>
      </c>
      <c r="L66" s="115">
        <f>(H66+I66+J66)*(C66+B66)</f>
        <v>320.52999999999997</v>
      </c>
      <c r="M66" s="8">
        <f>+$C$16</f>
        <v>538</v>
      </c>
      <c r="N66" s="8">
        <f>+$D$16</f>
        <v>2</v>
      </c>
      <c r="O66" s="19">
        <f>(((B66+C66)/(M66+N66))*(D66+E66+F66+G66))</f>
        <v>1.2962962962962963E-2</v>
      </c>
      <c r="P66" s="17">
        <v>1</v>
      </c>
      <c r="Q66" s="8"/>
      <c r="R66" s="8"/>
      <c r="S66" s="26">
        <f>+I66*(B66+C66)</f>
        <v>0</v>
      </c>
      <c r="T66" s="26">
        <f>+J66*(B66+C66)</f>
        <v>68.95</v>
      </c>
    </row>
    <row r="67" spans="1:20" ht="1.05" customHeight="1" x14ac:dyDescent="0.2">
      <c r="A67" s="116"/>
      <c r="B67" s="98"/>
      <c r="C67" s="98"/>
      <c r="D67" s="99"/>
      <c r="E67" s="97"/>
      <c r="F67" s="97"/>
      <c r="G67" s="97"/>
      <c r="H67" s="97"/>
      <c r="I67" s="97"/>
      <c r="J67" s="97"/>
      <c r="K67" s="97"/>
      <c r="L67" s="119"/>
      <c r="M67" s="8"/>
      <c r="N67" s="8"/>
      <c r="O67" s="19"/>
      <c r="P67" s="17"/>
      <c r="Q67" s="8"/>
      <c r="R67" s="8"/>
      <c r="S67" s="8"/>
      <c r="T67" s="8"/>
    </row>
    <row r="68" spans="1:20" x14ac:dyDescent="0.2">
      <c r="A68" s="114" t="s">
        <v>64</v>
      </c>
      <c r="B68" s="101">
        <f>B66</f>
        <v>7</v>
      </c>
      <c r="C68" s="94">
        <f>C66</f>
        <v>0</v>
      </c>
      <c r="D68" s="95">
        <v>0</v>
      </c>
      <c r="E68" s="104">
        <f t="shared" ref="E68:L68" si="9">SUM(E65:E66)</f>
        <v>0.25</v>
      </c>
      <c r="F68" s="104">
        <f t="shared" si="9"/>
        <v>0.5</v>
      </c>
      <c r="G68" s="104">
        <f t="shared" si="9"/>
        <v>1.25</v>
      </c>
      <c r="H68" s="96">
        <f t="shared" si="9"/>
        <v>94.847499999999997</v>
      </c>
      <c r="I68" s="96">
        <f t="shared" si="9"/>
        <v>0</v>
      </c>
      <c r="J68" s="96">
        <f t="shared" si="9"/>
        <v>10.58</v>
      </c>
      <c r="K68" s="104">
        <f t="shared" si="9"/>
        <v>14</v>
      </c>
      <c r="L68" s="115">
        <f t="shared" si="9"/>
        <v>737.99249999999995</v>
      </c>
      <c r="M68" s="8"/>
      <c r="N68" s="8"/>
      <c r="O68" s="19"/>
      <c r="P68" s="17"/>
      <c r="Q68" s="8"/>
      <c r="R68" s="8"/>
      <c r="S68" s="8"/>
      <c r="T68" s="8"/>
    </row>
    <row r="69" spans="1:20" ht="1.05" customHeight="1" x14ac:dyDescent="0.2">
      <c r="A69" s="116"/>
      <c r="B69" s="98"/>
      <c r="C69" s="98"/>
      <c r="D69" s="99"/>
      <c r="E69" s="97"/>
      <c r="F69" s="97"/>
      <c r="G69" s="97"/>
      <c r="H69" s="97"/>
      <c r="I69" s="97"/>
      <c r="J69" s="97"/>
      <c r="K69" s="97"/>
      <c r="L69" s="119"/>
      <c r="M69" s="8"/>
      <c r="N69" s="8"/>
      <c r="O69" s="19"/>
      <c r="P69" s="17"/>
      <c r="Q69" s="8"/>
      <c r="R69" s="8"/>
      <c r="S69" s="8"/>
      <c r="T69" s="8"/>
    </row>
    <row r="70" spans="1:20" x14ac:dyDescent="0.2">
      <c r="A70" s="335" t="s">
        <v>395</v>
      </c>
      <c r="B70" s="336"/>
      <c r="C70" s="336"/>
      <c r="D70" s="337"/>
      <c r="E70" s="338"/>
      <c r="F70" s="338"/>
      <c r="G70" s="338"/>
      <c r="H70" s="338"/>
      <c r="I70" s="339"/>
      <c r="J70" s="339"/>
      <c r="K70" s="338"/>
      <c r="L70" s="340"/>
      <c r="M70" s="8"/>
      <c r="N70" s="8"/>
      <c r="O70" s="19"/>
      <c r="P70" s="17"/>
      <c r="Q70" s="8"/>
      <c r="R70" s="8"/>
      <c r="S70" s="8"/>
      <c r="T70" s="8"/>
    </row>
    <row r="71" spans="1:20" x14ac:dyDescent="0.2">
      <c r="A71" s="54" t="s">
        <v>186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8"/>
      <c r="M71" s="8"/>
      <c r="N71" s="8"/>
      <c r="O71" s="19"/>
      <c r="P71" s="17"/>
      <c r="Q71" s="8"/>
      <c r="R71" s="8"/>
      <c r="S71" s="8"/>
      <c r="T71" s="8"/>
    </row>
    <row r="72" spans="1:20" x14ac:dyDescent="0.2">
      <c r="A72" s="4" t="s">
        <v>187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140"/>
      <c r="M72" s="8"/>
      <c r="N72" s="8"/>
      <c r="O72" s="19"/>
      <c r="P72" s="17"/>
      <c r="Q72" s="8"/>
      <c r="R72" s="8"/>
      <c r="S72" s="8"/>
      <c r="T72" s="8"/>
    </row>
    <row r="73" spans="1:20" x14ac:dyDescent="0.2">
      <c r="A73" s="59" t="s">
        <v>188</v>
      </c>
      <c r="B73" s="34">
        <f>0.2*$C$28</f>
        <v>1.4000000000000001</v>
      </c>
      <c r="C73" s="60">
        <f>0.2*$D$28</f>
        <v>0</v>
      </c>
      <c r="D73" s="62">
        <v>0</v>
      </c>
      <c r="E73" s="64">
        <v>4</v>
      </c>
      <c r="F73" s="64">
        <v>80</v>
      </c>
      <c r="G73" s="64">
        <v>1</v>
      </c>
      <c r="H73" s="63">
        <f>+($B$4*D73)+($C$4*E73)+($E$4*F73)+($F$4*G73)</f>
        <v>5136.7</v>
      </c>
      <c r="I73" s="63">
        <v>0</v>
      </c>
      <c r="J73" s="63">
        <v>9.85</v>
      </c>
      <c r="K73" s="62">
        <f>(D73+E73+F73+G73)*(B73+C73)</f>
        <v>119.00000000000001</v>
      </c>
      <c r="L73" s="65">
        <f>(H73+I73+J73)*(C73+B73)</f>
        <v>7205.170000000001</v>
      </c>
      <c r="M73" s="8">
        <f>+$C$28</f>
        <v>7</v>
      </c>
      <c r="N73" s="8">
        <f>+$D$28</f>
        <v>0</v>
      </c>
      <c r="O73" s="19">
        <f>(((B73+C73)/(M73+N73))*(D73+E73+F73+G73))</f>
        <v>17</v>
      </c>
      <c r="P73" s="17">
        <v>1</v>
      </c>
      <c r="Q73" s="8"/>
      <c r="R73" s="8"/>
      <c r="S73" s="26">
        <f>+I73*(B73+C73)</f>
        <v>0</v>
      </c>
      <c r="T73" s="26">
        <f>+J73*(B73+C73)</f>
        <v>13.790000000000001</v>
      </c>
    </row>
    <row r="74" spans="1:20" x14ac:dyDescent="0.2">
      <c r="A74" s="54" t="s">
        <v>186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8"/>
      <c r="M74" s="8"/>
      <c r="N74" s="8"/>
      <c r="O74" s="19"/>
      <c r="P74" s="17"/>
      <c r="Q74" s="8"/>
      <c r="R74" s="8"/>
      <c r="S74" s="8"/>
      <c r="T74" s="8"/>
    </row>
    <row r="75" spans="1:20" x14ac:dyDescent="0.2">
      <c r="A75" s="59" t="s">
        <v>189</v>
      </c>
      <c r="B75" s="34">
        <f>0.2*$C$28</f>
        <v>1.4000000000000001</v>
      </c>
      <c r="C75" s="60">
        <f>0.2*$D$28</f>
        <v>0</v>
      </c>
      <c r="D75" s="62">
        <v>0</v>
      </c>
      <c r="E75" s="64">
        <v>4</v>
      </c>
      <c r="F75" s="64">
        <v>80</v>
      </c>
      <c r="G75" s="64">
        <v>1</v>
      </c>
      <c r="H75" s="63">
        <f>+($B$4*D75)+($C$4*E75)+($E$4*F75)+($F$4*G75)</f>
        <v>5136.7</v>
      </c>
      <c r="I75" s="63">
        <v>0</v>
      </c>
      <c r="J75" s="63">
        <v>9.85</v>
      </c>
      <c r="K75" s="62">
        <f>(D75+E75+F75+G75)*(B75+C75)</f>
        <v>119.00000000000001</v>
      </c>
      <c r="L75" s="65">
        <f>(H75+I75+J75)*(C75+B75)</f>
        <v>7205.170000000001</v>
      </c>
      <c r="M75" s="8">
        <f>+$C$28</f>
        <v>7</v>
      </c>
      <c r="N75" s="8">
        <f>+$D$28</f>
        <v>0</v>
      </c>
      <c r="O75" s="19">
        <f>(((B75+C75)/(M75+N75))*(D75+E75+F75+G75))</f>
        <v>17</v>
      </c>
      <c r="P75" s="17">
        <v>1</v>
      </c>
      <c r="Q75" s="8"/>
      <c r="R75" s="8"/>
      <c r="S75" s="26">
        <f>+I75*(B75+C75)</f>
        <v>0</v>
      </c>
      <c r="T75" s="26">
        <f>+J75*(B75+C75)</f>
        <v>13.790000000000001</v>
      </c>
    </row>
    <row r="76" spans="1:20" x14ac:dyDescent="0.2">
      <c r="A76" s="54" t="s">
        <v>190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8"/>
      <c r="M76" s="8"/>
      <c r="N76" s="8"/>
      <c r="O76" s="19"/>
      <c r="P76" s="17"/>
      <c r="Q76" s="8"/>
      <c r="R76" s="8"/>
      <c r="S76" s="8"/>
      <c r="T76" s="8"/>
    </row>
    <row r="77" spans="1:20" x14ac:dyDescent="0.2">
      <c r="A77" s="59" t="s">
        <v>191</v>
      </c>
      <c r="B77" s="60">
        <f>0.05*$C$28</f>
        <v>0.35000000000000003</v>
      </c>
      <c r="C77" s="60">
        <f>0.05*$D$28</f>
        <v>0</v>
      </c>
      <c r="D77" s="62">
        <v>0</v>
      </c>
      <c r="E77" s="62">
        <v>4</v>
      </c>
      <c r="F77" s="62">
        <v>100</v>
      </c>
      <c r="G77" s="62">
        <v>1</v>
      </c>
      <c r="H77" s="63">
        <f>+($B$4*D77)+($C$4*E77)+($E$4*F77)+($F$4*G77)</f>
        <v>6331.7</v>
      </c>
      <c r="I77" s="63">
        <v>0</v>
      </c>
      <c r="J77" s="63">
        <v>9.85</v>
      </c>
      <c r="K77" s="62">
        <f>(D77+E77+F77+G77)*(B77+C77)</f>
        <v>36.75</v>
      </c>
      <c r="L77" s="65">
        <f>(H77+I77+J77)*(C77+B77)</f>
        <v>2219.5425000000005</v>
      </c>
      <c r="M77" s="8">
        <f>+$C$28</f>
        <v>7</v>
      </c>
      <c r="N77" s="8">
        <f>+$D$28</f>
        <v>0</v>
      </c>
      <c r="O77" s="19">
        <f>(((B77+C77)/(M77+N77))*(D77+E77+F77+G77))</f>
        <v>5.25</v>
      </c>
      <c r="P77" s="17">
        <v>1</v>
      </c>
      <c r="Q77" s="8"/>
      <c r="R77" s="8"/>
      <c r="S77" s="26">
        <f>+I77*(B77+C77)</f>
        <v>0</v>
      </c>
      <c r="T77" s="26">
        <f>+J77*(B77+C77)</f>
        <v>3.4475000000000002</v>
      </c>
    </row>
    <row r="78" spans="1:20" ht="1.05" customHeight="1" x14ac:dyDescent="0.2">
      <c r="A78" s="116"/>
      <c r="B78" s="98"/>
      <c r="C78" s="98"/>
      <c r="D78" s="99"/>
      <c r="E78" s="97"/>
      <c r="F78" s="97"/>
      <c r="G78" s="97"/>
      <c r="H78" s="97"/>
      <c r="I78" s="97"/>
      <c r="J78" s="97"/>
      <c r="K78" s="97"/>
      <c r="L78" s="119"/>
      <c r="M78" s="8"/>
      <c r="N78" s="8"/>
      <c r="O78" s="19"/>
      <c r="P78" s="17"/>
      <c r="Q78" s="8"/>
      <c r="R78" s="8"/>
      <c r="S78" s="8"/>
      <c r="T78" s="8"/>
    </row>
    <row r="79" spans="1:20" x14ac:dyDescent="0.2">
      <c r="A79" s="114" t="s">
        <v>64</v>
      </c>
      <c r="B79" s="101" t="s">
        <v>101</v>
      </c>
      <c r="C79" s="101" t="s">
        <v>101</v>
      </c>
      <c r="D79" s="107" t="s">
        <v>101</v>
      </c>
      <c r="E79" s="101" t="s">
        <v>101</v>
      </c>
      <c r="F79" s="101" t="s">
        <v>101</v>
      </c>
      <c r="G79" s="101" t="s">
        <v>101</v>
      </c>
      <c r="H79" s="101" t="s">
        <v>101</v>
      </c>
      <c r="I79" s="101" t="s">
        <v>101</v>
      </c>
      <c r="J79" s="101" t="s">
        <v>101</v>
      </c>
      <c r="K79" s="104">
        <f>SUM(K73:K77)</f>
        <v>274.75</v>
      </c>
      <c r="L79" s="115">
        <f>SUM(L73:L77)</f>
        <v>16629.882500000003</v>
      </c>
      <c r="M79" s="8"/>
      <c r="N79" s="8"/>
      <c r="O79" s="19"/>
      <c r="P79" s="17"/>
      <c r="Q79" s="8"/>
      <c r="R79" s="8"/>
      <c r="S79" s="8"/>
      <c r="T79" s="8"/>
    </row>
    <row r="80" spans="1:20" ht="1.05" customHeight="1" x14ac:dyDescent="0.2">
      <c r="A80" s="116"/>
      <c r="B80" s="98"/>
      <c r="C80" s="98"/>
      <c r="D80" s="99"/>
      <c r="E80" s="97"/>
      <c r="F80" s="97"/>
      <c r="G80" s="97"/>
      <c r="H80" s="97"/>
      <c r="I80" s="97"/>
      <c r="J80" s="97"/>
      <c r="K80" s="97"/>
      <c r="L80" s="119"/>
      <c r="M80" s="8"/>
      <c r="N80" s="8"/>
      <c r="O80" s="19"/>
      <c r="P80" s="17"/>
      <c r="Q80" s="8"/>
      <c r="R80" s="8"/>
      <c r="S80" s="8"/>
      <c r="T80" s="8"/>
    </row>
    <row r="81" spans="1:20" x14ac:dyDescent="0.2">
      <c r="A81" s="335" t="s">
        <v>396</v>
      </c>
      <c r="B81" s="336"/>
      <c r="C81" s="336"/>
      <c r="D81" s="337"/>
      <c r="E81" s="338"/>
      <c r="F81" s="338"/>
      <c r="G81" s="338"/>
      <c r="H81" s="338"/>
      <c r="I81" s="339"/>
      <c r="J81" s="339"/>
      <c r="K81" s="338"/>
      <c r="L81" s="340"/>
      <c r="M81" s="8"/>
      <c r="N81" s="8"/>
      <c r="O81" s="19"/>
      <c r="P81" s="17"/>
      <c r="Q81" s="8"/>
      <c r="R81" s="8"/>
      <c r="S81" s="8"/>
      <c r="T81" s="8"/>
    </row>
    <row r="82" spans="1:20" ht="20.100000000000001" customHeight="1" x14ac:dyDescent="0.2">
      <c r="A82" s="75" t="s">
        <v>192</v>
      </c>
      <c r="B82" s="94">
        <f>C28</f>
        <v>7</v>
      </c>
      <c r="C82" s="94">
        <f>D28</f>
        <v>0</v>
      </c>
      <c r="D82" s="95">
        <v>0</v>
      </c>
      <c r="E82" s="104">
        <v>0</v>
      </c>
      <c r="F82" s="104">
        <v>1</v>
      </c>
      <c r="G82" s="104">
        <v>0</v>
      </c>
      <c r="H82" s="96">
        <f>+($B$4*D82)+($C$4*E82)+($E$4*F82)+($F$4*G82)</f>
        <v>59.75</v>
      </c>
      <c r="I82" s="96">
        <v>0</v>
      </c>
      <c r="J82" s="96">
        <v>1000</v>
      </c>
      <c r="K82" s="95">
        <f>(D82+E82+F82+G82)*(B82+C82)</f>
        <v>7</v>
      </c>
      <c r="L82" s="115">
        <f>(H82+I82+J82)*(C82+B82)</f>
        <v>7418.25</v>
      </c>
      <c r="M82" s="8">
        <f>+$C$28</f>
        <v>7</v>
      </c>
      <c r="N82" s="8">
        <f>+$D$28</f>
        <v>0</v>
      </c>
      <c r="O82" s="19">
        <f>(((B82+C82)/(M82+N82))*(D82+E82+F82+G82))</f>
        <v>1</v>
      </c>
      <c r="P82" s="17">
        <v>1</v>
      </c>
      <c r="Q82" s="8"/>
      <c r="R82" s="8"/>
      <c r="S82" s="26">
        <f>+I82*(B82+C82)</f>
        <v>0</v>
      </c>
      <c r="T82" s="26">
        <f>+J82*(B82+C82)</f>
        <v>7000</v>
      </c>
    </row>
    <row r="83" spans="1:20" x14ac:dyDescent="0.2">
      <c r="A83" s="54" t="s">
        <v>193</v>
      </c>
      <c r="B83" s="31"/>
      <c r="C83" s="31"/>
      <c r="D83" s="32"/>
      <c r="E83" s="55"/>
      <c r="F83" s="55"/>
      <c r="G83" s="55"/>
      <c r="H83" s="55"/>
      <c r="I83" s="55"/>
      <c r="J83" s="55"/>
      <c r="K83" s="55"/>
      <c r="L83" s="58"/>
      <c r="M83" s="8"/>
      <c r="N83" s="8"/>
      <c r="O83" s="19"/>
      <c r="P83" s="17"/>
      <c r="Q83" s="8"/>
      <c r="R83" s="8"/>
      <c r="S83" s="8"/>
      <c r="T83" s="8"/>
    </row>
    <row r="84" spans="1:20" x14ac:dyDescent="0.2">
      <c r="A84" s="59" t="s">
        <v>194</v>
      </c>
      <c r="B84" s="60">
        <f>C28</f>
        <v>7</v>
      </c>
      <c r="C84" s="60">
        <f>D28</f>
        <v>0</v>
      </c>
      <c r="D84" s="62">
        <v>0</v>
      </c>
      <c r="E84" s="64">
        <v>0</v>
      </c>
      <c r="F84" s="64">
        <v>3</v>
      </c>
      <c r="G84" s="64">
        <v>2</v>
      </c>
      <c r="H84" s="63">
        <f>+($B$4*D84)+($C$4*E84)+($E$4*F84)+($F$4*G84)</f>
        <v>251.13</v>
      </c>
      <c r="I84" s="63">
        <v>0</v>
      </c>
      <c r="J84" s="63">
        <v>9.1999999999999993</v>
      </c>
      <c r="K84" s="62">
        <f>(D84+E84+F84+G84)*(B84+C84)</f>
        <v>35</v>
      </c>
      <c r="L84" s="65">
        <f>(H84+I84+J84)*(C84+B84)</f>
        <v>1822.31</v>
      </c>
      <c r="M84" s="8">
        <f>+$C$28</f>
        <v>7</v>
      </c>
      <c r="N84" s="8">
        <f>+$D$28</f>
        <v>0</v>
      </c>
      <c r="O84" s="19">
        <f>(((B84+C84)/(M84+N84))*(D84+E84+F84+G84))</f>
        <v>5</v>
      </c>
      <c r="P84" s="17">
        <v>1</v>
      </c>
      <c r="Q84" s="8"/>
      <c r="R84" s="8"/>
      <c r="S84" s="26">
        <f>+I84*(B84+C84)</f>
        <v>0</v>
      </c>
      <c r="T84" s="26">
        <f>+J84*(B84+C84)</f>
        <v>64.399999999999991</v>
      </c>
    </row>
    <row r="85" spans="1:20" ht="1.05" customHeight="1" x14ac:dyDescent="0.2">
      <c r="A85" s="116"/>
      <c r="B85" s="98"/>
      <c r="C85" s="98"/>
      <c r="D85" s="99"/>
      <c r="E85" s="97"/>
      <c r="F85" s="97"/>
      <c r="G85" s="97"/>
      <c r="H85" s="97"/>
      <c r="I85" s="97"/>
      <c r="J85" s="97"/>
      <c r="K85" s="97"/>
      <c r="L85" s="119"/>
      <c r="M85" s="8"/>
      <c r="N85" s="8"/>
      <c r="O85" s="19"/>
      <c r="P85" s="17"/>
      <c r="Q85" s="8"/>
      <c r="R85" s="8"/>
      <c r="S85" s="8"/>
      <c r="T85" s="8"/>
    </row>
    <row r="86" spans="1:20" x14ac:dyDescent="0.2">
      <c r="A86" s="114" t="s">
        <v>64</v>
      </c>
      <c r="B86" s="94">
        <f>B84</f>
        <v>7</v>
      </c>
      <c r="C86" s="94">
        <f>C84</f>
        <v>0</v>
      </c>
      <c r="D86" s="95">
        <v>0</v>
      </c>
      <c r="E86" s="104">
        <f>SUM(E81:E85)</f>
        <v>0</v>
      </c>
      <c r="F86" s="104">
        <f>SUM(F81:F85)</f>
        <v>4</v>
      </c>
      <c r="G86" s="104">
        <f>SUM(G81:G85)</f>
        <v>2</v>
      </c>
      <c r="H86" s="96">
        <f>SUM(H82:H84)</f>
        <v>310.88</v>
      </c>
      <c r="I86" s="96">
        <f>SUM(I82:I84)</f>
        <v>0</v>
      </c>
      <c r="J86" s="96">
        <f>SUM(J82:J84)</f>
        <v>1009.2</v>
      </c>
      <c r="K86" s="104">
        <f>SUM(K82:K84)</f>
        <v>42</v>
      </c>
      <c r="L86" s="115">
        <f>SUM(L82:L84)</f>
        <v>9240.56</v>
      </c>
      <c r="M86" s="8"/>
      <c r="N86" s="8"/>
      <c r="O86" s="19"/>
      <c r="P86" s="17"/>
      <c r="Q86" s="8"/>
      <c r="R86" s="8"/>
      <c r="S86" s="8"/>
      <c r="T86" s="8"/>
    </row>
    <row r="87" spans="1:20" ht="1.05" customHeight="1" x14ac:dyDescent="0.2">
      <c r="A87" s="116"/>
      <c r="B87" s="98"/>
      <c r="C87" s="98"/>
      <c r="D87" s="99"/>
      <c r="E87" s="97"/>
      <c r="F87" s="97"/>
      <c r="G87" s="97"/>
      <c r="H87" s="97"/>
      <c r="I87" s="97"/>
      <c r="J87" s="97"/>
      <c r="K87" s="97"/>
      <c r="L87" s="119"/>
      <c r="M87" s="8"/>
      <c r="N87" s="8"/>
      <c r="O87" s="19"/>
      <c r="P87" s="17"/>
      <c r="Q87" s="8"/>
      <c r="R87" s="8"/>
      <c r="S87" s="8"/>
      <c r="T87" s="8"/>
    </row>
    <row r="88" spans="1:20" x14ac:dyDescent="0.2">
      <c r="A88" s="335" t="s">
        <v>195</v>
      </c>
      <c r="B88" s="336"/>
      <c r="C88" s="336"/>
      <c r="D88" s="337"/>
      <c r="E88" s="338"/>
      <c r="F88" s="338"/>
      <c r="G88" s="338"/>
      <c r="H88" s="338"/>
      <c r="I88" s="339"/>
      <c r="J88" s="339"/>
      <c r="K88" s="338"/>
      <c r="L88" s="340"/>
      <c r="M88" s="8"/>
      <c r="N88" s="8"/>
      <c r="O88" s="19"/>
      <c r="P88" s="17"/>
      <c r="Q88" s="8"/>
      <c r="R88" s="8"/>
      <c r="S88" s="8"/>
      <c r="T88" s="8"/>
    </row>
    <row r="89" spans="1:20" ht="21" customHeight="1" x14ac:dyDescent="0.2">
      <c r="A89" s="75" t="s">
        <v>196</v>
      </c>
      <c r="B89" s="94">
        <f>C29*0.5</f>
        <v>0.5</v>
      </c>
      <c r="C89" s="94">
        <f>D29*0.5</f>
        <v>0</v>
      </c>
      <c r="D89" s="95">
        <v>0</v>
      </c>
      <c r="E89" s="104">
        <v>0</v>
      </c>
      <c r="F89" s="104">
        <v>1</v>
      </c>
      <c r="G89" s="104">
        <v>2</v>
      </c>
      <c r="H89" s="96">
        <f>+($B$4*D89)+($C$4*E89)+($E$4*F89)+($F$4*G89)</f>
        <v>131.63</v>
      </c>
      <c r="I89" s="96">
        <v>0</v>
      </c>
      <c r="J89" s="96">
        <v>750</v>
      </c>
      <c r="K89" s="95">
        <f>(D89+E89+F89+G89)*(B89+C89)</f>
        <v>1.5</v>
      </c>
      <c r="L89" s="115">
        <f>(H89+I89+J89)*(C89+B89)</f>
        <v>440.815</v>
      </c>
      <c r="M89" s="28">
        <f>+$C$19</f>
        <v>341</v>
      </c>
      <c r="N89" s="28">
        <f>+$D$19</f>
        <v>1</v>
      </c>
      <c r="O89" s="19">
        <f>(((B89+C89)/(M89+N89))*(D89+E89+F89+G89))</f>
        <v>4.3859649122807015E-3</v>
      </c>
      <c r="P89" s="17">
        <v>1</v>
      </c>
      <c r="Q89" s="8"/>
      <c r="R89" s="8"/>
      <c r="S89" s="26">
        <f>+I89*(B89+C89)</f>
        <v>0</v>
      </c>
      <c r="T89" s="26">
        <f>+J89*(B89+C89)</f>
        <v>375</v>
      </c>
    </row>
    <row r="90" spans="1:20" ht="1.05" customHeight="1" x14ac:dyDescent="0.2">
      <c r="A90" s="116"/>
      <c r="B90" s="98"/>
      <c r="C90" s="98"/>
      <c r="D90" s="99"/>
      <c r="E90" s="97"/>
      <c r="F90" s="97"/>
      <c r="G90" s="97"/>
      <c r="H90" s="97"/>
      <c r="I90" s="97"/>
      <c r="J90" s="97"/>
      <c r="K90" s="97"/>
      <c r="L90" s="119"/>
      <c r="M90" s="8"/>
      <c r="N90" s="8"/>
      <c r="O90" s="19"/>
      <c r="P90" s="17"/>
      <c r="Q90" s="8"/>
      <c r="R90" s="8"/>
      <c r="S90" s="8"/>
      <c r="T90" s="8"/>
    </row>
    <row r="91" spans="1:20" x14ac:dyDescent="0.2">
      <c r="A91" s="114" t="s">
        <v>64</v>
      </c>
      <c r="B91" s="94">
        <f>B89</f>
        <v>0.5</v>
      </c>
      <c r="C91" s="94">
        <f>C89</f>
        <v>0</v>
      </c>
      <c r="D91" s="95">
        <v>0</v>
      </c>
      <c r="E91" s="104">
        <f t="shared" ref="E91:L91" si="10">SUM(E89)</f>
        <v>0</v>
      </c>
      <c r="F91" s="104">
        <f t="shared" si="10"/>
        <v>1</v>
      </c>
      <c r="G91" s="104">
        <f t="shared" si="10"/>
        <v>2</v>
      </c>
      <c r="H91" s="96">
        <f t="shared" si="10"/>
        <v>131.63</v>
      </c>
      <c r="I91" s="96">
        <f t="shared" si="10"/>
        <v>0</v>
      </c>
      <c r="J91" s="96">
        <f t="shared" si="10"/>
        <v>750</v>
      </c>
      <c r="K91" s="104">
        <f t="shared" si="10"/>
        <v>1.5</v>
      </c>
      <c r="L91" s="115">
        <f t="shared" si="10"/>
        <v>440.815</v>
      </c>
      <c r="M91" s="8"/>
      <c r="N91" s="8"/>
      <c r="O91" s="19"/>
      <c r="P91" s="17"/>
      <c r="Q91" s="8"/>
      <c r="R91" s="8"/>
      <c r="S91" s="8"/>
      <c r="T91" s="8"/>
    </row>
    <row r="92" spans="1:20" ht="1.05" customHeight="1" x14ac:dyDescent="0.2">
      <c r="A92" s="116"/>
      <c r="B92" s="98"/>
      <c r="C92" s="98"/>
      <c r="D92" s="99"/>
      <c r="E92" s="97"/>
      <c r="F92" s="97"/>
      <c r="G92" s="97"/>
      <c r="H92" s="97"/>
      <c r="I92" s="97"/>
      <c r="J92" s="97"/>
      <c r="K92" s="97"/>
      <c r="L92" s="119"/>
      <c r="M92" s="8"/>
      <c r="N92" s="8"/>
      <c r="O92" s="19"/>
      <c r="P92" s="17"/>
      <c r="Q92" s="8"/>
      <c r="R92" s="8"/>
      <c r="S92" s="8"/>
      <c r="T92" s="8"/>
    </row>
    <row r="93" spans="1:20" x14ac:dyDescent="0.2">
      <c r="A93" s="335" t="s">
        <v>197</v>
      </c>
      <c r="B93" s="336"/>
      <c r="C93" s="336"/>
      <c r="D93" s="337"/>
      <c r="E93" s="338"/>
      <c r="F93" s="338"/>
      <c r="G93" s="338"/>
      <c r="H93" s="338"/>
      <c r="I93" s="339"/>
      <c r="J93" s="339"/>
      <c r="K93" s="338"/>
      <c r="L93" s="340"/>
      <c r="M93" s="8"/>
      <c r="N93" s="8"/>
      <c r="O93" s="19"/>
      <c r="P93" s="17"/>
      <c r="Q93" s="8"/>
      <c r="R93" s="8"/>
      <c r="S93" s="8"/>
      <c r="T93" s="8"/>
    </row>
    <row r="94" spans="1:20" x14ac:dyDescent="0.2">
      <c r="A94" s="114" t="s">
        <v>61</v>
      </c>
      <c r="B94" s="101" t="s">
        <v>102</v>
      </c>
      <c r="C94" s="94">
        <f>+D26/3</f>
        <v>0</v>
      </c>
      <c r="D94" s="95">
        <v>0</v>
      </c>
      <c r="E94" s="104">
        <v>0.5</v>
      </c>
      <c r="F94" s="104">
        <v>3</v>
      </c>
      <c r="G94" s="104">
        <v>0</v>
      </c>
      <c r="H94" s="96">
        <f>+($B$4*D94)+($C$4*E94)+($E$4*F94)+($F$4*G94)</f>
        <v>219.345</v>
      </c>
      <c r="I94" s="96">
        <v>0</v>
      </c>
      <c r="J94" s="96">
        <v>0</v>
      </c>
      <c r="K94" s="95">
        <f>(D94+E94+F94+G94)*(C94)</f>
        <v>0</v>
      </c>
      <c r="L94" s="115">
        <f>(H94+I94+J94)*(C94)</f>
        <v>0</v>
      </c>
      <c r="M94" s="28">
        <f>+$C$19</f>
        <v>341</v>
      </c>
      <c r="N94" s="28">
        <f>+$D$19</f>
        <v>1</v>
      </c>
      <c r="O94" s="19">
        <f>(((C94)/(M94+N94))*(D94+E94+F94+G94))</f>
        <v>0</v>
      </c>
      <c r="P94" s="17">
        <v>1</v>
      </c>
      <c r="Q94" s="8"/>
      <c r="R94" s="8"/>
      <c r="S94" s="26">
        <f>+I94*(C94)</f>
        <v>0</v>
      </c>
      <c r="T94" s="26">
        <f>+J94*(C94)</f>
        <v>0</v>
      </c>
    </row>
    <row r="95" spans="1:20" x14ac:dyDescent="0.2">
      <c r="A95" s="114" t="s">
        <v>78</v>
      </c>
      <c r="B95" s="101" t="s">
        <v>102</v>
      </c>
      <c r="C95" s="94">
        <f>D26/3</f>
        <v>0</v>
      </c>
      <c r="D95" s="95">
        <v>0</v>
      </c>
      <c r="E95" s="104">
        <v>1</v>
      </c>
      <c r="F95" s="104">
        <v>12</v>
      </c>
      <c r="G95" s="104">
        <v>7</v>
      </c>
      <c r="H95" s="96">
        <f>+($B$4*D95)+($C$4*E95)+($E$4*F95)+($F$4*G95)</f>
        <v>1048.77</v>
      </c>
      <c r="I95" s="96">
        <v>0</v>
      </c>
      <c r="J95" s="96">
        <v>0</v>
      </c>
      <c r="K95" s="95">
        <f>(D95+E95+F95+G95)*(C95)</f>
        <v>0</v>
      </c>
      <c r="L95" s="115">
        <f>(H95+I95+J95)*(C95)</f>
        <v>0</v>
      </c>
      <c r="M95" s="28">
        <f>+$C$19</f>
        <v>341</v>
      </c>
      <c r="N95" s="28">
        <f>+$D$19</f>
        <v>1</v>
      </c>
      <c r="O95" s="19">
        <f>(((C95)/(M95+N95))*(D95+E95+F95+G95))</f>
        <v>0</v>
      </c>
      <c r="P95" s="17">
        <v>1</v>
      </c>
      <c r="Q95" s="8"/>
      <c r="R95" s="8"/>
      <c r="S95" s="26">
        <f>+I95*(C95)</f>
        <v>0</v>
      </c>
      <c r="T95" s="26">
        <f>+J95*(C95)</f>
        <v>0</v>
      </c>
    </row>
    <row r="96" spans="1:20" x14ac:dyDescent="0.2">
      <c r="A96" s="114" t="s">
        <v>198</v>
      </c>
      <c r="B96" s="101" t="s">
        <v>102</v>
      </c>
      <c r="C96" s="94">
        <f>D26/3</f>
        <v>0</v>
      </c>
      <c r="D96" s="95">
        <v>0</v>
      </c>
      <c r="E96" s="104">
        <v>1</v>
      </c>
      <c r="F96" s="104">
        <v>20</v>
      </c>
      <c r="G96" s="104">
        <v>2</v>
      </c>
      <c r="H96" s="96">
        <f>+($B$4*D96)+($C$4*E96)+($E$4*F96)+($F$4*G96)</f>
        <v>1347.0700000000002</v>
      </c>
      <c r="I96" s="96">
        <v>0</v>
      </c>
      <c r="J96" s="96">
        <v>9.85</v>
      </c>
      <c r="K96" s="95">
        <f>(D96+E96+F96+G96)*(C96)</f>
        <v>0</v>
      </c>
      <c r="L96" s="115">
        <f>(H96+I96+J96)*(C96)</f>
        <v>0</v>
      </c>
      <c r="M96" s="28">
        <f>+$C$19</f>
        <v>341</v>
      </c>
      <c r="N96" s="28">
        <f>+$D$19</f>
        <v>1</v>
      </c>
      <c r="O96" s="19">
        <f>(((C96)/(M96+N96))*(D96+E96+F96+G96))</f>
        <v>0</v>
      </c>
      <c r="P96" s="17">
        <v>1</v>
      </c>
      <c r="Q96" s="8"/>
      <c r="R96" s="8"/>
      <c r="S96" s="26">
        <f>+I96*(C96)</f>
        <v>0</v>
      </c>
      <c r="T96" s="26">
        <f>+J96*(C96)</f>
        <v>0</v>
      </c>
    </row>
    <row r="97" spans="1:20" x14ac:dyDescent="0.2">
      <c r="A97" s="114" t="s">
        <v>199</v>
      </c>
      <c r="B97" s="101">
        <v>0</v>
      </c>
      <c r="C97" s="94">
        <f>D26/3</f>
        <v>0</v>
      </c>
      <c r="D97" s="95">
        <v>0</v>
      </c>
      <c r="E97" s="104">
        <v>0</v>
      </c>
      <c r="F97" s="104">
        <v>0</v>
      </c>
      <c r="G97" s="104">
        <v>1</v>
      </c>
      <c r="H97" s="96">
        <f>+($B$4*D97)+($C$4*E97)+($E$4*F97)+($F$4*G97)</f>
        <v>35.94</v>
      </c>
      <c r="I97" s="96">
        <v>0</v>
      </c>
      <c r="J97" s="96">
        <v>0</v>
      </c>
      <c r="K97" s="95">
        <f>(D97+E97+F97+G97)*(B97+C97)</f>
        <v>0</v>
      </c>
      <c r="L97" s="115">
        <f>(H97+I97+J97)*(B97+C97)</f>
        <v>0</v>
      </c>
      <c r="M97" s="28">
        <f>+$C$19</f>
        <v>341</v>
      </c>
      <c r="N97" s="28">
        <f>+$D$19</f>
        <v>1</v>
      </c>
      <c r="O97" s="19">
        <f>(((B97+C97)/(M97+N97))*(D97+E97+F97+G97))</f>
        <v>0</v>
      </c>
      <c r="P97" s="17">
        <v>2</v>
      </c>
      <c r="Q97" s="8"/>
      <c r="R97" s="8"/>
      <c r="S97" s="26">
        <f>+I97*(B97+C97)</f>
        <v>0</v>
      </c>
      <c r="T97" s="26">
        <f>+J97*(B97+C97)</f>
        <v>0</v>
      </c>
    </row>
    <row r="98" spans="1:20" ht="1.05" customHeight="1" x14ac:dyDescent="0.2">
      <c r="A98" s="116"/>
      <c r="B98" s="108"/>
      <c r="C98" s="98"/>
      <c r="D98" s="99"/>
      <c r="E98" s="97"/>
      <c r="F98" s="97"/>
      <c r="G98" s="97"/>
      <c r="H98" s="97"/>
      <c r="I98" s="97"/>
      <c r="J98" s="97"/>
      <c r="K98" s="97"/>
      <c r="L98" s="119"/>
      <c r="M98" s="8"/>
      <c r="N98" s="8"/>
      <c r="O98" s="19"/>
      <c r="P98" s="17"/>
      <c r="Q98" s="8"/>
      <c r="R98" s="8"/>
      <c r="S98" s="8"/>
      <c r="T98" s="8"/>
    </row>
    <row r="99" spans="1:20" x14ac:dyDescent="0.2">
      <c r="A99" s="114" t="s">
        <v>64</v>
      </c>
      <c r="B99" s="101" t="s">
        <v>101</v>
      </c>
      <c r="C99" s="101" t="s">
        <v>101</v>
      </c>
      <c r="D99" s="107" t="s">
        <v>101</v>
      </c>
      <c r="E99" s="101" t="s">
        <v>101</v>
      </c>
      <c r="F99" s="101" t="s">
        <v>101</v>
      </c>
      <c r="G99" s="101" t="s">
        <v>101</v>
      </c>
      <c r="H99" s="101" t="s">
        <v>101</v>
      </c>
      <c r="I99" s="101" t="s">
        <v>101</v>
      </c>
      <c r="J99" s="101" t="s">
        <v>101</v>
      </c>
      <c r="K99" s="104">
        <f>SUM(K94:K97)</f>
        <v>0</v>
      </c>
      <c r="L99" s="115">
        <f>SUM(L94:L97)</f>
        <v>0</v>
      </c>
      <c r="M99" s="8"/>
      <c r="N99" s="8"/>
      <c r="O99" s="19"/>
      <c r="P99" s="17"/>
      <c r="Q99" s="8"/>
      <c r="R99" s="8"/>
      <c r="S99" s="8"/>
      <c r="T99" s="8"/>
    </row>
    <row r="100" spans="1:20" ht="1.05" customHeight="1" x14ac:dyDescent="0.2">
      <c r="A100" s="116"/>
      <c r="B100" s="108"/>
      <c r="C100" s="98"/>
      <c r="D100" s="99"/>
      <c r="E100" s="97"/>
      <c r="F100" s="97"/>
      <c r="G100" s="97"/>
      <c r="H100" s="97"/>
      <c r="I100" s="97"/>
      <c r="J100" s="97"/>
      <c r="K100" s="97"/>
      <c r="L100" s="119"/>
      <c r="M100" s="8"/>
      <c r="N100" s="8"/>
      <c r="O100" s="19"/>
      <c r="P100" s="17"/>
      <c r="Q100" s="8"/>
      <c r="R100" s="8"/>
      <c r="S100" s="8"/>
      <c r="T100" s="8"/>
    </row>
    <row r="101" spans="1:20" x14ac:dyDescent="0.2">
      <c r="A101" s="335" t="s">
        <v>397</v>
      </c>
      <c r="B101" s="336"/>
      <c r="C101" s="336"/>
      <c r="D101" s="337"/>
      <c r="E101" s="338"/>
      <c r="F101" s="338"/>
      <c r="G101" s="338"/>
      <c r="H101" s="338"/>
      <c r="I101" s="339"/>
      <c r="J101" s="339"/>
      <c r="K101" s="338"/>
      <c r="L101" s="340"/>
      <c r="M101" s="8"/>
      <c r="N101" s="8"/>
      <c r="O101" s="19"/>
      <c r="P101" s="17"/>
      <c r="Q101" s="8"/>
      <c r="R101" s="8"/>
      <c r="S101" s="8"/>
      <c r="T101" s="8"/>
    </row>
    <row r="102" spans="1:20" x14ac:dyDescent="0.2">
      <c r="A102" s="114" t="s">
        <v>182</v>
      </c>
      <c r="B102" s="101" t="s">
        <v>102</v>
      </c>
      <c r="C102" s="94">
        <f>0.2*D29</f>
        <v>0</v>
      </c>
      <c r="D102" s="95">
        <v>0</v>
      </c>
      <c r="E102" s="104">
        <v>0.25</v>
      </c>
      <c r="F102" s="104">
        <v>1</v>
      </c>
      <c r="G102" s="104">
        <v>0.25</v>
      </c>
      <c r="H102" s="96">
        <f>+($B$4*D102)+($C$4*E102)+($E$4*F102)+($F$4*G102)</f>
        <v>88.782499999999999</v>
      </c>
      <c r="I102" s="96">
        <v>0</v>
      </c>
      <c r="J102" s="96">
        <v>0.73</v>
      </c>
      <c r="K102" s="95">
        <f>(D102+E102+F102+G102)*(C102)</f>
        <v>0</v>
      </c>
      <c r="L102" s="115">
        <f>(H102+I102+J102)*(C102)</f>
        <v>0</v>
      </c>
      <c r="M102" s="28">
        <f>+$C$19</f>
        <v>341</v>
      </c>
      <c r="N102" s="28">
        <f>+$D$19</f>
        <v>1</v>
      </c>
      <c r="O102" s="19">
        <f>(((C102)/(M102+N102))*(D102+E102+F102+G102))</f>
        <v>0</v>
      </c>
      <c r="P102" s="17">
        <v>1</v>
      </c>
      <c r="Q102" s="8"/>
      <c r="R102" s="8"/>
      <c r="S102" s="26">
        <f>+I102*(C102)</f>
        <v>0</v>
      </c>
      <c r="T102" s="26">
        <f>+J102*(C102)</f>
        <v>0</v>
      </c>
    </row>
    <row r="103" spans="1:20" x14ac:dyDescent="0.2">
      <c r="A103" s="114" t="s">
        <v>200</v>
      </c>
      <c r="B103" s="101" t="s">
        <v>102</v>
      </c>
      <c r="C103" s="94">
        <f>0.2*D29</f>
        <v>0</v>
      </c>
      <c r="D103" s="95">
        <v>0</v>
      </c>
      <c r="E103" s="104">
        <v>0</v>
      </c>
      <c r="F103" s="104">
        <v>8</v>
      </c>
      <c r="G103" s="104">
        <v>1</v>
      </c>
      <c r="H103" s="96">
        <f>+($B$4*D103)+($C$4*E103)+($E$4*F103)+($F$4*G103)</f>
        <v>513.94000000000005</v>
      </c>
      <c r="I103" s="96">
        <v>0</v>
      </c>
      <c r="J103" s="96">
        <v>9.85</v>
      </c>
      <c r="K103" s="95">
        <f>(D103+E103+F103+G103)*(C103)</f>
        <v>0</v>
      </c>
      <c r="L103" s="115">
        <f>(H103+I103+J103)*(C103)</f>
        <v>0</v>
      </c>
      <c r="M103" s="28">
        <f>+$C$19</f>
        <v>341</v>
      </c>
      <c r="N103" s="28">
        <f>+$D$19</f>
        <v>1</v>
      </c>
      <c r="O103" s="19">
        <f>(((C103)/(M103+N103))*(D103+E103+F103+G103))</f>
        <v>0</v>
      </c>
      <c r="P103" s="17">
        <v>1</v>
      </c>
      <c r="Q103" s="8"/>
      <c r="R103" s="8"/>
      <c r="S103" s="26">
        <f>+I103*(C103)</f>
        <v>0</v>
      </c>
      <c r="T103" s="26">
        <f>+J103*(C103)</f>
        <v>0</v>
      </c>
    </row>
    <row r="104" spans="1:20" ht="1.05" customHeight="1" x14ac:dyDescent="0.2">
      <c r="A104" s="116"/>
      <c r="B104" s="108"/>
      <c r="C104" s="98"/>
      <c r="D104" s="99"/>
      <c r="E104" s="97"/>
      <c r="F104" s="97"/>
      <c r="G104" s="97"/>
      <c r="H104" s="97"/>
      <c r="I104" s="97"/>
      <c r="J104" s="97"/>
      <c r="K104" s="97"/>
      <c r="L104" s="119"/>
      <c r="M104" s="8"/>
      <c r="N104" s="8"/>
      <c r="O104" s="19"/>
      <c r="P104" s="17"/>
      <c r="Q104" s="8"/>
      <c r="R104" s="8"/>
      <c r="S104" s="8"/>
      <c r="T104" s="8"/>
    </row>
    <row r="105" spans="1:20" x14ac:dyDescent="0.2">
      <c r="A105" s="114" t="s">
        <v>64</v>
      </c>
      <c r="B105" s="101" t="s">
        <v>102</v>
      </c>
      <c r="C105" s="94">
        <f>C103</f>
        <v>0</v>
      </c>
      <c r="D105" s="95">
        <v>0</v>
      </c>
      <c r="E105" s="104">
        <f t="shared" ref="E105:L105" si="11">SUM(E102:E103)</f>
        <v>0.25</v>
      </c>
      <c r="F105" s="104">
        <f t="shared" si="11"/>
        <v>9</v>
      </c>
      <c r="G105" s="104">
        <f t="shared" si="11"/>
        <v>1.25</v>
      </c>
      <c r="H105" s="96">
        <f t="shared" si="11"/>
        <v>602.72250000000008</v>
      </c>
      <c r="I105" s="96">
        <f t="shared" si="11"/>
        <v>0</v>
      </c>
      <c r="J105" s="96">
        <f t="shared" si="11"/>
        <v>10.58</v>
      </c>
      <c r="K105" s="104">
        <f t="shared" si="11"/>
        <v>0</v>
      </c>
      <c r="L105" s="115">
        <f t="shared" si="11"/>
        <v>0</v>
      </c>
      <c r="M105" s="8"/>
      <c r="N105" s="8"/>
      <c r="O105" s="19"/>
      <c r="P105" s="17"/>
      <c r="Q105" s="8"/>
      <c r="R105" s="8"/>
      <c r="S105" s="8"/>
      <c r="T105" s="8"/>
    </row>
    <row r="106" spans="1:20" ht="1.05" customHeight="1" x14ac:dyDescent="0.2">
      <c r="A106" s="116"/>
      <c r="B106" s="108"/>
      <c r="C106" s="98"/>
      <c r="D106" s="99"/>
      <c r="E106" s="97"/>
      <c r="F106" s="97"/>
      <c r="G106" s="97"/>
      <c r="H106" s="97">
        <f>SUM(H103:H104)</f>
        <v>513.94000000000005</v>
      </c>
      <c r="I106" s="97">
        <f>SUM(I103:I104)</f>
        <v>0</v>
      </c>
      <c r="J106" s="97">
        <f>SUM(J103:J104)</f>
        <v>9.85</v>
      </c>
      <c r="K106" s="97"/>
      <c r="L106" s="119"/>
      <c r="M106" s="8"/>
      <c r="N106" s="8"/>
      <c r="O106" s="19"/>
      <c r="P106" s="17"/>
      <c r="Q106" s="8"/>
      <c r="R106" s="8"/>
      <c r="S106" s="8"/>
      <c r="T106" s="8"/>
    </row>
    <row r="107" spans="1:20" x14ac:dyDescent="0.2">
      <c r="A107" s="335" t="s">
        <v>398</v>
      </c>
      <c r="B107" s="336"/>
      <c r="C107" s="336"/>
      <c r="D107" s="337"/>
      <c r="E107" s="338"/>
      <c r="F107" s="338"/>
      <c r="G107" s="338"/>
      <c r="H107" s="338"/>
      <c r="I107" s="339"/>
      <c r="J107" s="339"/>
      <c r="K107" s="338"/>
      <c r="L107" s="340"/>
      <c r="M107" s="8"/>
      <c r="N107" s="8"/>
      <c r="O107" s="19"/>
      <c r="P107" s="17"/>
      <c r="Q107" s="8"/>
      <c r="R107" s="8"/>
      <c r="S107" s="8"/>
      <c r="T107" s="8"/>
    </row>
    <row r="108" spans="1:20" x14ac:dyDescent="0.2">
      <c r="A108" s="54" t="s">
        <v>201</v>
      </c>
      <c r="B108" s="3"/>
      <c r="C108" s="31"/>
      <c r="D108" s="32"/>
      <c r="E108" s="141"/>
      <c r="F108" s="141"/>
      <c r="G108" s="141"/>
      <c r="H108" s="141"/>
      <c r="I108" s="141"/>
      <c r="J108" s="141"/>
      <c r="K108" s="141"/>
      <c r="L108" s="33"/>
      <c r="M108" s="8"/>
      <c r="N108" s="8"/>
      <c r="O108" s="19"/>
      <c r="P108" s="17"/>
      <c r="Q108" s="8"/>
      <c r="R108" s="8"/>
      <c r="S108" s="8"/>
      <c r="T108" s="8"/>
    </row>
    <row r="109" spans="1:20" x14ac:dyDescent="0.2">
      <c r="A109" s="59" t="s">
        <v>202</v>
      </c>
      <c r="B109" s="61" t="s">
        <v>102</v>
      </c>
      <c r="C109" s="60">
        <f>0.1*D29</f>
        <v>0</v>
      </c>
      <c r="D109" s="62">
        <v>0</v>
      </c>
      <c r="E109" s="64">
        <v>0.5</v>
      </c>
      <c r="F109" s="64">
        <v>6</v>
      </c>
      <c r="G109" s="64">
        <v>1.5</v>
      </c>
      <c r="H109" s="63">
        <f>+($B$4*D109)+($C$4*E109)+($E$4*F109)+($F$4*G109)</f>
        <v>452.505</v>
      </c>
      <c r="I109" s="63">
        <v>0</v>
      </c>
      <c r="J109" s="63">
        <v>9.85</v>
      </c>
      <c r="K109" s="62">
        <f>(D109+E109+F109+G109)*(C109)</f>
        <v>0</v>
      </c>
      <c r="L109" s="65">
        <f>(H109+I109+J109)*(C109)</f>
        <v>0</v>
      </c>
      <c r="M109" s="28">
        <f>+$C$19</f>
        <v>341</v>
      </c>
      <c r="N109" s="28">
        <f>+$D$19</f>
        <v>1</v>
      </c>
      <c r="O109" s="19">
        <f>(((C109)/(M109+N109))*(D109+E109+F109+G109))</f>
        <v>0</v>
      </c>
      <c r="P109" s="17">
        <v>1</v>
      </c>
      <c r="Q109" s="8"/>
      <c r="R109" s="8"/>
      <c r="S109" s="26">
        <f>+I109*(C109)</f>
        <v>0</v>
      </c>
      <c r="T109" s="26">
        <f>+J109*(C109)</f>
        <v>0</v>
      </c>
    </row>
    <row r="110" spans="1:20" x14ac:dyDescent="0.2">
      <c r="A110" s="54" t="s">
        <v>203</v>
      </c>
      <c r="B110" s="56"/>
      <c r="C110" s="55"/>
      <c r="D110" s="55"/>
      <c r="E110" s="55"/>
      <c r="F110" s="55"/>
      <c r="G110" s="55"/>
      <c r="H110" s="55"/>
      <c r="I110" s="55"/>
      <c r="J110" s="55"/>
      <c r="K110" s="55"/>
      <c r="L110" s="58"/>
      <c r="M110" s="8"/>
      <c r="N110" s="8"/>
      <c r="O110" s="19"/>
      <c r="P110" s="17"/>
      <c r="Q110" s="8"/>
      <c r="R110" s="8"/>
      <c r="S110" s="8"/>
      <c r="T110" s="8"/>
    </row>
    <row r="111" spans="1:20" x14ac:dyDescent="0.2">
      <c r="A111" s="59" t="s">
        <v>204</v>
      </c>
      <c r="B111" s="43" t="s">
        <v>102</v>
      </c>
      <c r="C111" s="60">
        <f>0.1*0.1*D29</f>
        <v>0</v>
      </c>
      <c r="D111" s="62">
        <v>0</v>
      </c>
      <c r="E111" s="64">
        <v>0.5</v>
      </c>
      <c r="F111" s="64">
        <v>6</v>
      </c>
      <c r="G111" s="64">
        <v>2</v>
      </c>
      <c r="H111" s="63">
        <f>+($B$4*D111)+($C$4*E111)+($E$4*F111)+($F$4*G111)</f>
        <v>470.47500000000002</v>
      </c>
      <c r="I111" s="63">
        <v>0</v>
      </c>
      <c r="J111" s="63">
        <v>9.85</v>
      </c>
      <c r="K111" s="62">
        <f>(D111+E111+F111+G111)*(C111)</f>
        <v>0</v>
      </c>
      <c r="L111" s="65">
        <f>(H111+I111+J111)*(C111)</f>
        <v>0</v>
      </c>
      <c r="M111" s="28">
        <f>+$C$19</f>
        <v>341</v>
      </c>
      <c r="N111" s="28">
        <f>+$D$19</f>
        <v>1</v>
      </c>
      <c r="O111" s="19">
        <f>(((C111)/(M111+N111))*(D111+E111+F111+G111))</f>
        <v>0</v>
      </c>
      <c r="P111" s="17">
        <v>1</v>
      </c>
      <c r="Q111" s="8"/>
      <c r="R111" s="8"/>
      <c r="S111" s="26">
        <f>+I111*(C111)</f>
        <v>0</v>
      </c>
      <c r="T111" s="26">
        <f>+J111*(C111)</f>
        <v>0</v>
      </c>
    </row>
    <row r="112" spans="1:20" x14ac:dyDescent="0.2">
      <c r="A112" s="54" t="s">
        <v>205</v>
      </c>
      <c r="B112" s="56"/>
      <c r="C112" s="55"/>
      <c r="D112" s="55"/>
      <c r="E112" s="55"/>
      <c r="F112" s="55"/>
      <c r="G112" s="55"/>
      <c r="H112" s="55"/>
      <c r="I112" s="55"/>
      <c r="J112" s="55"/>
      <c r="K112" s="55"/>
      <c r="L112" s="58"/>
      <c r="M112" s="8"/>
      <c r="N112" s="8"/>
      <c r="O112" s="19"/>
      <c r="P112" s="17"/>
      <c r="Q112" s="8"/>
      <c r="R112" s="8"/>
      <c r="S112" s="8"/>
      <c r="T112" s="8"/>
    </row>
    <row r="113" spans="1:20" x14ac:dyDescent="0.2">
      <c r="A113" s="59" t="s">
        <v>206</v>
      </c>
      <c r="B113" s="43" t="s">
        <v>102</v>
      </c>
      <c r="C113" s="34">
        <f>0.2*D29</f>
        <v>0</v>
      </c>
      <c r="D113" s="62">
        <v>0</v>
      </c>
      <c r="E113" s="64">
        <v>0.5</v>
      </c>
      <c r="F113" s="64">
        <v>1</v>
      </c>
      <c r="G113" s="64">
        <v>0.5</v>
      </c>
      <c r="H113" s="63">
        <f>+($B$4*D113)+($C$4*E113)+($E$4*F113)+($F$4*G113)</f>
        <v>117.815</v>
      </c>
      <c r="I113" s="63">
        <v>0</v>
      </c>
      <c r="J113" s="63">
        <v>9.85</v>
      </c>
      <c r="K113" s="62">
        <f>(D113+E113+F113+G113)*(C113)</f>
        <v>0</v>
      </c>
      <c r="L113" s="65">
        <f>(H113+I113+J113)*(C113)</f>
        <v>0</v>
      </c>
      <c r="M113" s="28">
        <f>+$C$19</f>
        <v>341</v>
      </c>
      <c r="N113" s="28">
        <f>+$D$19</f>
        <v>1</v>
      </c>
      <c r="O113" s="19">
        <f>(((C113)/(M113+N113))*(D113+E113+F113+G113))</f>
        <v>0</v>
      </c>
      <c r="P113" s="17">
        <v>1</v>
      </c>
      <c r="Q113" s="8"/>
      <c r="R113" s="8"/>
      <c r="S113" s="26">
        <f>+I113*(C113)</f>
        <v>0</v>
      </c>
      <c r="T113" s="26">
        <f>+J113*(C113)</f>
        <v>0</v>
      </c>
    </row>
    <row r="114" spans="1:20" ht="1.05" customHeight="1" x14ac:dyDescent="0.2">
      <c r="A114" s="116"/>
      <c r="B114" s="108"/>
      <c r="C114" s="98"/>
      <c r="D114" s="99"/>
      <c r="E114" s="97"/>
      <c r="F114" s="97"/>
      <c r="G114" s="97"/>
      <c r="H114" s="97"/>
      <c r="I114" s="97"/>
      <c r="J114" s="97"/>
      <c r="K114" s="97"/>
      <c r="L114" s="119"/>
      <c r="M114" s="8"/>
      <c r="N114" s="8"/>
      <c r="O114" s="19"/>
      <c r="P114" s="17"/>
      <c r="Q114" s="8"/>
      <c r="R114" s="8"/>
      <c r="S114" s="8"/>
      <c r="T114" s="8"/>
    </row>
    <row r="115" spans="1:20" x14ac:dyDescent="0.2">
      <c r="A115" s="114" t="s">
        <v>64</v>
      </c>
      <c r="B115" s="101" t="s">
        <v>102</v>
      </c>
      <c r="C115" s="101" t="s">
        <v>101</v>
      </c>
      <c r="D115" s="107" t="s">
        <v>101</v>
      </c>
      <c r="E115" s="131" t="s">
        <v>101</v>
      </c>
      <c r="F115" s="131" t="s">
        <v>101</v>
      </c>
      <c r="G115" s="131" t="s">
        <v>101</v>
      </c>
      <c r="H115" s="131" t="s">
        <v>101</v>
      </c>
      <c r="I115" s="131" t="s">
        <v>101</v>
      </c>
      <c r="J115" s="131" t="s">
        <v>101</v>
      </c>
      <c r="K115" s="104">
        <f>SUM(K109:K113)</f>
        <v>0</v>
      </c>
      <c r="L115" s="115">
        <f>SUM(L109:L113)</f>
        <v>0</v>
      </c>
      <c r="M115" s="8"/>
      <c r="N115" s="8"/>
      <c r="O115" s="19"/>
      <c r="P115" s="17"/>
      <c r="Q115" s="8"/>
      <c r="R115" s="8"/>
      <c r="S115" s="8"/>
      <c r="T115" s="8"/>
    </row>
    <row r="116" spans="1:20" ht="1.05" customHeight="1" x14ac:dyDescent="0.2">
      <c r="A116" s="116"/>
      <c r="B116" s="98"/>
      <c r="C116" s="98"/>
      <c r="D116" s="99"/>
      <c r="E116" s="97"/>
      <c r="F116" s="97"/>
      <c r="G116" s="97"/>
      <c r="H116" s="97"/>
      <c r="I116" s="97"/>
      <c r="J116" s="97"/>
      <c r="K116" s="97"/>
      <c r="L116" s="119"/>
      <c r="M116" s="8"/>
      <c r="N116" s="8"/>
      <c r="O116" s="19"/>
      <c r="P116" s="17"/>
      <c r="Q116" s="8"/>
      <c r="R116" s="8"/>
      <c r="S116" s="8"/>
      <c r="T116" s="8"/>
    </row>
    <row r="117" spans="1:20" x14ac:dyDescent="0.2">
      <c r="A117" s="335" t="s">
        <v>399</v>
      </c>
      <c r="B117" s="336"/>
      <c r="C117" s="336"/>
      <c r="D117" s="337"/>
      <c r="E117" s="338"/>
      <c r="F117" s="338"/>
      <c r="G117" s="338"/>
      <c r="H117" s="338"/>
      <c r="I117" s="339"/>
      <c r="J117" s="339"/>
      <c r="K117" s="338"/>
      <c r="L117" s="340"/>
      <c r="M117" s="8"/>
      <c r="N117" s="8"/>
      <c r="O117" s="19"/>
      <c r="P117" s="17"/>
      <c r="Q117" s="8"/>
      <c r="R117" s="8"/>
      <c r="S117" s="8"/>
      <c r="T117" s="8"/>
    </row>
    <row r="118" spans="1:20" x14ac:dyDescent="0.2">
      <c r="A118" s="114" t="s">
        <v>207</v>
      </c>
      <c r="B118" s="94"/>
      <c r="C118" s="94"/>
      <c r="D118" s="95"/>
      <c r="E118" s="102"/>
      <c r="F118" s="102"/>
      <c r="G118" s="102"/>
      <c r="H118" s="102"/>
      <c r="I118" s="102"/>
      <c r="J118" s="102"/>
      <c r="K118" s="102"/>
      <c r="L118" s="118"/>
      <c r="M118" s="8"/>
      <c r="N118" s="8"/>
      <c r="O118" s="19"/>
      <c r="P118" s="17"/>
      <c r="Q118" s="8"/>
      <c r="R118" s="8"/>
      <c r="S118" s="8"/>
      <c r="T118" s="8"/>
    </row>
    <row r="119" spans="1:20" x14ac:dyDescent="0.2">
      <c r="A119" s="114" t="s">
        <v>208</v>
      </c>
      <c r="B119" s="94">
        <f>$C$29</f>
        <v>1</v>
      </c>
      <c r="C119" s="94">
        <f>$D$29</f>
        <v>0</v>
      </c>
      <c r="D119" s="95">
        <v>0</v>
      </c>
      <c r="E119" s="104">
        <v>0</v>
      </c>
      <c r="F119" s="104">
        <v>2</v>
      </c>
      <c r="G119" s="104">
        <v>0</v>
      </c>
      <c r="H119" s="96">
        <f>+($B$4*D119)+($C$4*E119)+($E$4*F119)+($F$4*G119)</f>
        <v>119.5</v>
      </c>
      <c r="I119" s="96">
        <v>0</v>
      </c>
      <c r="J119" s="96">
        <v>0</v>
      </c>
      <c r="K119" s="95">
        <f>(D119+E119+F119+G119)*(B119+C119)</f>
        <v>2</v>
      </c>
      <c r="L119" s="115">
        <f>(H119+I119+J119)*(C119+B119)</f>
        <v>119.5</v>
      </c>
      <c r="M119" s="28">
        <f>+$C$19</f>
        <v>341</v>
      </c>
      <c r="N119" s="28">
        <f>+$D$19</f>
        <v>1</v>
      </c>
      <c r="O119" s="19">
        <f>(((B119+C119)/(M119+N119))*(D119+E119+F119+G119))</f>
        <v>5.8479532163742687E-3</v>
      </c>
      <c r="P119" s="17">
        <v>2</v>
      </c>
      <c r="Q119" s="8"/>
      <c r="R119" s="8"/>
      <c r="S119" s="26">
        <f>+I119*(B119+C119)</f>
        <v>0</v>
      </c>
      <c r="T119" s="26">
        <f>+J119*(B119+C119)</f>
        <v>0</v>
      </c>
    </row>
    <row r="120" spans="1:20" x14ac:dyDescent="0.2">
      <c r="A120" s="114" t="s">
        <v>209</v>
      </c>
      <c r="B120" s="94">
        <f>$C$29</f>
        <v>1</v>
      </c>
      <c r="C120" s="94">
        <f>$D$29</f>
        <v>0</v>
      </c>
      <c r="D120" s="95">
        <v>0</v>
      </c>
      <c r="E120" s="104">
        <v>0</v>
      </c>
      <c r="F120" s="104">
        <v>1</v>
      </c>
      <c r="G120" s="104">
        <v>0</v>
      </c>
      <c r="H120" s="96">
        <f>+($B$4*D120)+($C$4*E120)+($E$4*F120)+($F$4*G120)</f>
        <v>59.75</v>
      </c>
      <c r="I120" s="96">
        <v>0</v>
      </c>
      <c r="J120" s="96">
        <v>9.85</v>
      </c>
      <c r="K120" s="95">
        <f>(D120+E120+F120+G120)*(B120+C120)</f>
        <v>1</v>
      </c>
      <c r="L120" s="115">
        <f>(H120+I120+J120)*(C120+B120)</f>
        <v>69.599999999999994</v>
      </c>
      <c r="M120" s="28">
        <f>+$C$19</f>
        <v>341</v>
      </c>
      <c r="N120" s="28">
        <f>+$D$19</f>
        <v>1</v>
      </c>
      <c r="O120" s="19">
        <f>(((B120+C120)/(M120+N120))*(D120+E120+F120+G120))</f>
        <v>2.9239766081871343E-3</v>
      </c>
      <c r="P120" s="17">
        <v>2</v>
      </c>
      <c r="Q120" s="8"/>
      <c r="R120" s="8"/>
      <c r="S120" s="26">
        <f>+I120*(B120+C120)</f>
        <v>0</v>
      </c>
      <c r="T120" s="26">
        <f>+J120*(B120+C120)</f>
        <v>9.85</v>
      </c>
    </row>
    <row r="121" spans="1:20" x14ac:dyDescent="0.2">
      <c r="A121" s="114" t="s">
        <v>210</v>
      </c>
      <c r="B121" s="94">
        <f>$C$29</f>
        <v>1</v>
      </c>
      <c r="C121" s="94">
        <f>$D$29</f>
        <v>0</v>
      </c>
      <c r="D121" s="95">
        <v>0</v>
      </c>
      <c r="E121" s="104">
        <v>0</v>
      </c>
      <c r="F121" s="104">
        <v>0</v>
      </c>
      <c r="G121" s="104">
        <v>1</v>
      </c>
      <c r="H121" s="96">
        <f>+($B$4*D121)+($C$4*E121)+($E$4*F121)+($F$4*G121)</f>
        <v>35.94</v>
      </c>
      <c r="I121" s="96">
        <v>0</v>
      </c>
      <c r="J121" s="96">
        <v>0</v>
      </c>
      <c r="K121" s="95">
        <f>(D121+E121+F121+G121)*(B121+C121)</f>
        <v>1</v>
      </c>
      <c r="L121" s="115">
        <f>(H121+I121+J121)*(C121+B121)</f>
        <v>35.94</v>
      </c>
      <c r="M121" s="28">
        <f>+$C$19</f>
        <v>341</v>
      </c>
      <c r="N121" s="28">
        <f>+$D$19</f>
        <v>1</v>
      </c>
      <c r="O121" s="19">
        <f>(((B121+C121)/(M121+N121))*(D121+E121+F121+G121))</f>
        <v>2.9239766081871343E-3</v>
      </c>
      <c r="P121" s="17">
        <v>2</v>
      </c>
      <c r="Q121" s="8"/>
      <c r="R121" s="8"/>
      <c r="S121" s="26">
        <f>+I121*(B121+C121)</f>
        <v>0</v>
      </c>
      <c r="T121" s="26">
        <f>+J121*(B121+C121)</f>
        <v>0</v>
      </c>
    </row>
    <row r="122" spans="1:20" ht="1.05" customHeight="1" x14ac:dyDescent="0.2">
      <c r="A122" s="116"/>
      <c r="B122" s="98"/>
      <c r="C122" s="98"/>
      <c r="D122" s="99"/>
      <c r="E122" s="97"/>
      <c r="F122" s="97"/>
      <c r="G122" s="97"/>
      <c r="H122" s="97"/>
      <c r="I122" s="97"/>
      <c r="J122" s="97"/>
      <c r="K122" s="97"/>
      <c r="L122" s="119"/>
      <c r="M122" s="8"/>
      <c r="N122" s="8"/>
      <c r="O122" s="19"/>
      <c r="P122" s="17"/>
      <c r="Q122" s="8"/>
      <c r="R122" s="8"/>
      <c r="S122" s="8"/>
      <c r="T122" s="8"/>
    </row>
    <row r="123" spans="1:20" x14ac:dyDescent="0.2">
      <c r="A123" s="114" t="s">
        <v>64</v>
      </c>
      <c r="B123" s="94">
        <f>B121</f>
        <v>1</v>
      </c>
      <c r="C123" s="94">
        <f>C121</f>
        <v>0</v>
      </c>
      <c r="D123" s="95">
        <v>0</v>
      </c>
      <c r="E123" s="104">
        <f t="shared" ref="E123:L123" si="12">SUM(E119:E121)</f>
        <v>0</v>
      </c>
      <c r="F123" s="104">
        <f t="shared" si="12"/>
        <v>3</v>
      </c>
      <c r="G123" s="104">
        <f t="shared" si="12"/>
        <v>1</v>
      </c>
      <c r="H123" s="96">
        <f t="shared" si="12"/>
        <v>215.19</v>
      </c>
      <c r="I123" s="96">
        <f t="shared" si="12"/>
        <v>0</v>
      </c>
      <c r="J123" s="96">
        <f t="shared" si="12"/>
        <v>9.85</v>
      </c>
      <c r="K123" s="104">
        <f t="shared" si="12"/>
        <v>4</v>
      </c>
      <c r="L123" s="115">
        <f t="shared" si="12"/>
        <v>225.04</v>
      </c>
      <c r="M123" s="8"/>
      <c r="N123" s="8"/>
      <c r="O123" s="19"/>
      <c r="P123" s="17"/>
      <c r="Q123" s="8"/>
      <c r="R123" s="8"/>
      <c r="S123" s="8"/>
      <c r="T123" s="8"/>
    </row>
    <row r="124" spans="1:20" ht="1.05" customHeight="1" x14ac:dyDescent="0.2">
      <c r="A124" s="116"/>
      <c r="B124" s="98"/>
      <c r="C124" s="98"/>
      <c r="D124" s="99"/>
      <c r="E124" s="97"/>
      <c r="F124" s="97"/>
      <c r="G124" s="97"/>
      <c r="H124" s="97"/>
      <c r="I124" s="97"/>
      <c r="J124" s="97"/>
      <c r="K124" s="97"/>
      <c r="L124" s="119"/>
      <c r="M124" s="8"/>
      <c r="N124" s="8"/>
      <c r="O124" s="19"/>
      <c r="P124" s="17"/>
      <c r="Q124" s="8"/>
      <c r="R124" s="8"/>
      <c r="S124" s="8"/>
      <c r="T124" s="8"/>
    </row>
    <row r="125" spans="1:20" x14ac:dyDescent="0.2">
      <c r="A125" s="335" t="s">
        <v>211</v>
      </c>
      <c r="B125" s="336"/>
      <c r="C125" s="336"/>
      <c r="D125" s="337"/>
      <c r="E125" s="338"/>
      <c r="F125" s="338"/>
      <c r="G125" s="338"/>
      <c r="H125" s="338"/>
      <c r="I125" s="339"/>
      <c r="J125" s="339"/>
      <c r="K125" s="338"/>
      <c r="L125" s="340"/>
      <c r="M125" s="8"/>
      <c r="N125" s="8"/>
      <c r="O125" s="19"/>
      <c r="P125" s="17"/>
      <c r="Q125" s="8"/>
      <c r="R125" s="8"/>
      <c r="S125" s="8"/>
      <c r="T125" s="8"/>
    </row>
    <row r="126" spans="1:20" ht="22.05" customHeight="1" x14ac:dyDescent="0.2">
      <c r="A126" s="75" t="s">
        <v>212</v>
      </c>
      <c r="B126" s="94">
        <f>$C$29</f>
        <v>1</v>
      </c>
      <c r="C126" s="94">
        <f>$D$29</f>
        <v>0</v>
      </c>
      <c r="D126" s="95">
        <v>1</v>
      </c>
      <c r="E126" s="104">
        <v>0</v>
      </c>
      <c r="F126" s="104">
        <v>1</v>
      </c>
      <c r="G126" s="104">
        <v>2</v>
      </c>
      <c r="H126" s="96">
        <f>+($B$4*D126)+($C$4*E126)+($E$4*F126)+($F$4*G126)</f>
        <v>267.28999999999996</v>
      </c>
      <c r="I126" s="96">
        <v>0</v>
      </c>
      <c r="J126" s="96">
        <v>0.73</v>
      </c>
      <c r="K126" s="95">
        <f>(D126+E126+F126+G126)*(B126+C126)</f>
        <v>4</v>
      </c>
      <c r="L126" s="115">
        <f>(H126+I126+J126)*(C126+B126)</f>
        <v>268.02</v>
      </c>
      <c r="M126" s="28">
        <f>+$C$19</f>
        <v>341</v>
      </c>
      <c r="N126" s="28">
        <f>+$D$19</f>
        <v>1</v>
      </c>
      <c r="O126" s="19">
        <f>(((B126+C126)/(M126+N126))*(D126+E126+F126+G126))</f>
        <v>1.1695906432748537E-2</v>
      </c>
      <c r="P126" s="17">
        <v>2</v>
      </c>
      <c r="Q126" s="8"/>
      <c r="R126" s="8"/>
      <c r="S126" s="26">
        <f>+I126*(B126+C126)</f>
        <v>0</v>
      </c>
      <c r="T126" s="26">
        <f>+J126*(B126+C126)</f>
        <v>0.73</v>
      </c>
    </row>
    <row r="127" spans="1:20" ht="1.05" customHeight="1" x14ac:dyDescent="0.2">
      <c r="A127" s="116"/>
      <c r="B127" s="98"/>
      <c r="C127" s="98"/>
      <c r="D127" s="99"/>
      <c r="E127" s="97"/>
      <c r="F127" s="97"/>
      <c r="G127" s="97"/>
      <c r="H127" s="97"/>
      <c r="I127" s="97"/>
      <c r="J127" s="97"/>
      <c r="K127" s="97"/>
      <c r="L127" s="119"/>
      <c r="M127" s="8"/>
      <c r="N127" s="8"/>
      <c r="O127" s="19"/>
      <c r="P127" s="17"/>
      <c r="Q127" s="8"/>
      <c r="R127" s="8"/>
      <c r="S127" s="8"/>
      <c r="T127" s="8"/>
    </row>
    <row r="128" spans="1:20" x14ac:dyDescent="0.2">
      <c r="A128" s="114" t="s">
        <v>64</v>
      </c>
      <c r="B128" s="94">
        <f>B126</f>
        <v>1</v>
      </c>
      <c r="C128" s="94">
        <f>C126</f>
        <v>0</v>
      </c>
      <c r="D128" s="95">
        <v>0</v>
      </c>
      <c r="E128" s="95">
        <f t="shared" ref="E128:L128" si="13">SUM(E126)</f>
        <v>0</v>
      </c>
      <c r="F128" s="95">
        <f t="shared" si="13"/>
        <v>1</v>
      </c>
      <c r="G128" s="95">
        <f t="shared" si="13"/>
        <v>2</v>
      </c>
      <c r="H128" s="96">
        <f t="shared" si="13"/>
        <v>267.28999999999996</v>
      </c>
      <c r="I128" s="96">
        <f t="shared" si="13"/>
        <v>0</v>
      </c>
      <c r="J128" s="96">
        <v>0.73</v>
      </c>
      <c r="K128" s="95">
        <f t="shared" si="13"/>
        <v>4</v>
      </c>
      <c r="L128" s="115">
        <f t="shared" si="13"/>
        <v>268.02</v>
      </c>
      <c r="M128" s="8"/>
      <c r="N128" s="8"/>
      <c r="O128" s="19"/>
      <c r="P128" s="17"/>
      <c r="Q128" s="8"/>
      <c r="R128" s="8"/>
      <c r="S128" s="8"/>
      <c r="T128" s="8"/>
    </row>
    <row r="129" spans="1:20" ht="1.05" customHeight="1" x14ac:dyDescent="0.2">
      <c r="A129" s="116"/>
      <c r="B129" s="98"/>
      <c r="C129" s="98"/>
      <c r="D129" s="99"/>
      <c r="E129" s="97"/>
      <c r="F129" s="97"/>
      <c r="G129" s="97"/>
      <c r="H129" s="97"/>
      <c r="I129" s="97"/>
      <c r="J129" s="97"/>
      <c r="K129" s="97"/>
      <c r="L129" s="119"/>
      <c r="M129" s="8"/>
      <c r="N129" s="8"/>
      <c r="O129" s="19"/>
      <c r="P129" s="17"/>
      <c r="Q129" s="8"/>
      <c r="R129" s="8"/>
      <c r="S129" s="8"/>
      <c r="T129" s="8"/>
    </row>
    <row r="130" spans="1:20" x14ac:dyDescent="0.2">
      <c r="A130" s="335" t="s">
        <v>213</v>
      </c>
      <c r="B130" s="336"/>
      <c r="C130" s="336"/>
      <c r="D130" s="337"/>
      <c r="E130" s="338"/>
      <c r="F130" s="338"/>
      <c r="G130" s="338"/>
      <c r="H130" s="338"/>
      <c r="I130" s="339"/>
      <c r="J130" s="339"/>
      <c r="K130" s="338"/>
      <c r="L130" s="340"/>
      <c r="M130" s="8"/>
      <c r="N130" s="8"/>
      <c r="O130" s="19"/>
      <c r="P130" s="17"/>
      <c r="Q130" s="8"/>
      <c r="R130" s="8"/>
      <c r="S130" s="8"/>
      <c r="T130" s="8"/>
    </row>
    <row r="131" spans="1:20" x14ac:dyDescent="0.2">
      <c r="A131" s="114" t="s">
        <v>214</v>
      </c>
      <c r="B131" s="101" t="s">
        <v>102</v>
      </c>
      <c r="C131" s="94">
        <v>0</v>
      </c>
      <c r="D131" s="95">
        <v>0</v>
      </c>
      <c r="E131" s="104">
        <v>0.5</v>
      </c>
      <c r="F131" s="104">
        <v>1.25</v>
      </c>
      <c r="G131" s="104">
        <v>0.25</v>
      </c>
      <c r="H131" s="96">
        <f>+($B$4*D131)+($C$4*E131)+($E$4*F131)+($F$4*G131)</f>
        <v>123.7675</v>
      </c>
      <c r="I131" s="96">
        <v>0</v>
      </c>
      <c r="J131" s="96">
        <v>0</v>
      </c>
      <c r="K131" s="95">
        <f>(D131+E131+F131+G131)*(C131)</f>
        <v>0</v>
      </c>
      <c r="L131" s="115">
        <f>(H131+I131+J131)*(C131)</f>
        <v>0</v>
      </c>
      <c r="M131" s="28">
        <f>+$C$19</f>
        <v>341</v>
      </c>
      <c r="N131" s="28">
        <f>+$D$19</f>
        <v>1</v>
      </c>
      <c r="O131" s="19">
        <f>(((C131)/(M131+N131))*(D131+E131+F131+G131))</f>
        <v>0</v>
      </c>
      <c r="P131" s="17">
        <v>1</v>
      </c>
      <c r="Q131" s="8"/>
      <c r="R131" s="8"/>
      <c r="S131" s="26">
        <f>+I131*(C131)</f>
        <v>0</v>
      </c>
      <c r="T131" s="26">
        <f>+J131*(C131)</f>
        <v>0</v>
      </c>
    </row>
    <row r="132" spans="1:20" x14ac:dyDescent="0.2">
      <c r="A132" s="114" t="s">
        <v>215</v>
      </c>
      <c r="B132" s="101" t="s">
        <v>102</v>
      </c>
      <c r="C132" s="94">
        <v>0</v>
      </c>
      <c r="D132" s="95">
        <v>0</v>
      </c>
      <c r="E132" s="104">
        <v>0.25</v>
      </c>
      <c r="F132" s="104">
        <v>1.75</v>
      </c>
      <c r="G132" s="104">
        <v>1</v>
      </c>
      <c r="H132" s="96">
        <f>+($B$4*D132)+($C$4*E132)+($E$4*F132)+($F$4*G132)</f>
        <v>160.55000000000001</v>
      </c>
      <c r="I132" s="96">
        <v>0</v>
      </c>
      <c r="J132" s="96">
        <v>0</v>
      </c>
      <c r="K132" s="95">
        <f>(D132+E132+F132+G132)*(C132)</f>
        <v>0</v>
      </c>
      <c r="L132" s="115">
        <f>(H132+I132+J132)*(C132)</f>
        <v>0</v>
      </c>
      <c r="M132" s="28">
        <f>+$C$19</f>
        <v>341</v>
      </c>
      <c r="N132" s="28">
        <f>+$D$19</f>
        <v>1</v>
      </c>
      <c r="O132" s="19">
        <f>(((C132)/(M132+N132))*(D132+E132+F132+G132))</f>
        <v>0</v>
      </c>
      <c r="P132" s="17">
        <v>1</v>
      </c>
      <c r="Q132" s="8"/>
      <c r="R132" s="8"/>
      <c r="S132" s="26">
        <f>+I132*(C132)</f>
        <v>0</v>
      </c>
      <c r="T132" s="26">
        <f>+J132*(C132)</f>
        <v>0</v>
      </c>
    </row>
    <row r="133" spans="1:20" ht="1.05" customHeight="1" x14ac:dyDescent="0.2">
      <c r="A133" s="116"/>
      <c r="B133" s="105"/>
      <c r="C133" s="97"/>
      <c r="D133" s="99"/>
      <c r="E133" s="97"/>
      <c r="F133" s="97"/>
      <c r="G133" s="97"/>
      <c r="H133" s="97"/>
      <c r="I133" s="97"/>
      <c r="J133" s="97"/>
      <c r="K133" s="97"/>
      <c r="L133" s="119"/>
      <c r="M133" s="8"/>
      <c r="N133" s="8"/>
      <c r="O133" s="19"/>
      <c r="P133" s="17"/>
      <c r="Q133" s="8"/>
      <c r="R133" s="8"/>
      <c r="S133" s="8"/>
      <c r="T133" s="8"/>
    </row>
    <row r="134" spans="1:20" x14ac:dyDescent="0.2">
      <c r="A134" s="114" t="s">
        <v>64</v>
      </c>
      <c r="B134" s="103" t="s">
        <v>102</v>
      </c>
      <c r="C134" s="102">
        <v>0</v>
      </c>
      <c r="D134" s="95">
        <v>0</v>
      </c>
      <c r="E134" s="104">
        <f t="shared" ref="E134:L134" si="14">SUM(E131:E132)</f>
        <v>0.75</v>
      </c>
      <c r="F134" s="104">
        <f t="shared" si="14"/>
        <v>3</v>
      </c>
      <c r="G134" s="104">
        <f t="shared" si="14"/>
        <v>1.25</v>
      </c>
      <c r="H134" s="96">
        <f t="shared" si="14"/>
        <v>284.3175</v>
      </c>
      <c r="I134" s="96">
        <f t="shared" si="14"/>
        <v>0</v>
      </c>
      <c r="J134" s="96">
        <f t="shared" si="14"/>
        <v>0</v>
      </c>
      <c r="K134" s="104">
        <f t="shared" si="14"/>
        <v>0</v>
      </c>
      <c r="L134" s="115">
        <f t="shared" si="14"/>
        <v>0</v>
      </c>
      <c r="M134" s="8"/>
      <c r="N134" s="8"/>
      <c r="O134" s="19"/>
      <c r="P134" s="17"/>
      <c r="Q134" s="8"/>
      <c r="R134" s="8"/>
      <c r="S134" s="8"/>
      <c r="T134" s="8"/>
    </row>
    <row r="135" spans="1:20" ht="1.05" customHeight="1" x14ac:dyDescent="0.2">
      <c r="A135" s="116"/>
      <c r="B135" s="97"/>
      <c r="C135" s="97"/>
      <c r="D135" s="99"/>
      <c r="E135" s="97"/>
      <c r="F135" s="97"/>
      <c r="G135" s="97"/>
      <c r="H135" s="97"/>
      <c r="I135" s="97"/>
      <c r="J135" s="97"/>
      <c r="K135" s="97"/>
      <c r="L135" s="119"/>
      <c r="M135" s="8"/>
      <c r="N135" s="8"/>
      <c r="O135" s="19"/>
      <c r="P135" s="17"/>
      <c r="Q135" s="8"/>
      <c r="R135" s="8"/>
      <c r="S135" s="8"/>
      <c r="T135" s="8"/>
    </row>
    <row r="136" spans="1:20" x14ac:dyDescent="0.2">
      <c r="A136" s="335" t="s">
        <v>400</v>
      </c>
      <c r="B136" s="336"/>
      <c r="C136" s="336"/>
      <c r="D136" s="337"/>
      <c r="E136" s="338"/>
      <c r="F136" s="338"/>
      <c r="G136" s="338"/>
      <c r="H136" s="338"/>
      <c r="I136" s="339"/>
      <c r="J136" s="339"/>
      <c r="K136" s="338"/>
      <c r="L136" s="340"/>
      <c r="M136" s="8"/>
      <c r="N136" s="8"/>
      <c r="O136" s="19"/>
      <c r="P136" s="17"/>
      <c r="Q136" s="8"/>
      <c r="R136" s="8"/>
      <c r="S136" s="8"/>
      <c r="T136" s="8"/>
    </row>
    <row r="137" spans="1:20" x14ac:dyDescent="0.2">
      <c r="A137" s="54" t="s">
        <v>216</v>
      </c>
      <c r="B137" s="31"/>
      <c r="C137" s="31"/>
      <c r="D137" s="32"/>
      <c r="E137" s="55"/>
      <c r="F137" s="55"/>
      <c r="G137" s="55"/>
      <c r="H137" s="55"/>
      <c r="I137" s="55"/>
      <c r="J137" s="55"/>
      <c r="K137" s="55"/>
      <c r="L137" s="58"/>
      <c r="M137" s="8"/>
      <c r="N137" s="8"/>
      <c r="O137" s="19"/>
      <c r="P137" s="17"/>
      <c r="Q137" s="8"/>
      <c r="R137" s="8"/>
      <c r="S137" s="8"/>
      <c r="T137" s="8"/>
    </row>
    <row r="138" spans="1:20" x14ac:dyDescent="0.2">
      <c r="A138" s="59" t="s">
        <v>217</v>
      </c>
      <c r="B138" s="60">
        <f>$C$33</f>
        <v>0</v>
      </c>
      <c r="C138" s="60">
        <f>$D$33</f>
        <v>0</v>
      </c>
      <c r="D138" s="62">
        <v>0</v>
      </c>
      <c r="E138" s="64">
        <v>1</v>
      </c>
      <c r="F138" s="64">
        <v>4</v>
      </c>
      <c r="G138" s="64">
        <v>0</v>
      </c>
      <c r="H138" s="63">
        <f>+($B$4*D138)+($C$4*E138)+($E$4*F138)+($F$4*G138)</f>
        <v>319.19</v>
      </c>
      <c r="I138" s="63">
        <v>0</v>
      </c>
      <c r="J138" s="63">
        <v>1000</v>
      </c>
      <c r="K138" s="62">
        <f>(D138+E138+F138+G138)*(B138+C138)</f>
        <v>0</v>
      </c>
      <c r="L138" s="65">
        <f>(H138+I138+J138)*(C138+B138)</f>
        <v>0</v>
      </c>
      <c r="M138" s="28">
        <f>+$C$19</f>
        <v>341</v>
      </c>
      <c r="N138" s="28">
        <f>+$D$19</f>
        <v>1</v>
      </c>
      <c r="O138" s="19">
        <f>(((B138+C138)/(M138+N138))*(D138+E138+F138+G138))</f>
        <v>0</v>
      </c>
      <c r="P138" s="17">
        <v>1</v>
      </c>
      <c r="Q138" s="8"/>
      <c r="R138" s="8"/>
      <c r="S138" s="26">
        <f>+I138*(B138+C138)</f>
        <v>0</v>
      </c>
      <c r="T138" s="26">
        <f>+J138*(B138+C138)</f>
        <v>0</v>
      </c>
    </row>
    <row r="139" spans="1:20" x14ac:dyDescent="0.2">
      <c r="A139" s="114" t="s">
        <v>218</v>
      </c>
      <c r="B139" s="94">
        <f>$C$33</f>
        <v>0</v>
      </c>
      <c r="C139" s="94">
        <f>$D$33</f>
        <v>0</v>
      </c>
      <c r="D139" s="95">
        <v>0</v>
      </c>
      <c r="E139" s="104">
        <v>0</v>
      </c>
      <c r="F139" s="104">
        <v>0</v>
      </c>
      <c r="G139" s="104">
        <v>1</v>
      </c>
      <c r="H139" s="96">
        <f>+($B$4*D139)+($C$4*E139)+($E$4*F139)+($F$4*G139)</f>
        <v>35.94</v>
      </c>
      <c r="I139" s="96">
        <v>0</v>
      </c>
      <c r="J139" s="96">
        <v>0</v>
      </c>
      <c r="K139" s="95">
        <f>(D139+E139+F139+G139)*(B139+C139)</f>
        <v>0</v>
      </c>
      <c r="L139" s="115">
        <f>(H139+I139+J139)*(C139+B139)</f>
        <v>0</v>
      </c>
      <c r="M139" s="28">
        <f>+$C$19</f>
        <v>341</v>
      </c>
      <c r="N139" s="28">
        <f>+$D$19</f>
        <v>1</v>
      </c>
      <c r="O139" s="19">
        <f>(((B139+C139)/(M139+N139))*(D139+E139+F139+G139))</f>
        <v>0</v>
      </c>
      <c r="P139" s="17">
        <v>2</v>
      </c>
      <c r="Q139" s="8"/>
      <c r="R139" s="8"/>
      <c r="S139" s="26">
        <f>+I139*(B139+C139)</f>
        <v>0</v>
      </c>
      <c r="T139" s="26">
        <f>+J139*(B139+C139)</f>
        <v>0</v>
      </c>
    </row>
    <row r="140" spans="1:20" x14ac:dyDescent="0.2">
      <c r="A140" s="114" t="s">
        <v>219</v>
      </c>
      <c r="B140" s="94">
        <f>$C$33</f>
        <v>0</v>
      </c>
      <c r="C140" s="94">
        <f>$D$33</f>
        <v>0</v>
      </c>
      <c r="D140" s="95">
        <v>0</v>
      </c>
      <c r="E140" s="104">
        <v>0</v>
      </c>
      <c r="F140" s="104">
        <v>0</v>
      </c>
      <c r="G140" s="104">
        <v>1</v>
      </c>
      <c r="H140" s="96">
        <f>+($B$4*D140)+($C$4*E140)+($E$4*F140)+($F$4*G140)</f>
        <v>35.94</v>
      </c>
      <c r="I140" s="96">
        <v>0</v>
      </c>
      <c r="J140" s="96">
        <v>9.85</v>
      </c>
      <c r="K140" s="95">
        <f>(D140+E140+F140+G140)*(B140+C140)</f>
        <v>0</v>
      </c>
      <c r="L140" s="115">
        <f>(H140+I140+J140)*(C140+B140)</f>
        <v>0</v>
      </c>
      <c r="M140" s="28">
        <f>+$C$19</f>
        <v>341</v>
      </c>
      <c r="N140" s="28">
        <f>+$D$19</f>
        <v>1</v>
      </c>
      <c r="O140" s="19">
        <f>(((B140+C140)/(M140+N140))*(D140+E140+F140+G140))</f>
        <v>0</v>
      </c>
      <c r="P140" s="17">
        <v>1</v>
      </c>
      <c r="Q140" s="8"/>
      <c r="R140" s="8"/>
      <c r="S140" s="26">
        <f>+I140*(B140+C140)</f>
        <v>0</v>
      </c>
      <c r="T140" s="26">
        <f>+J140*(B140+C140)</f>
        <v>0</v>
      </c>
    </row>
    <row r="141" spans="1:20" ht="1.05" customHeight="1" x14ac:dyDescent="0.2">
      <c r="A141" s="116"/>
      <c r="B141" s="98"/>
      <c r="C141" s="98"/>
      <c r="D141" s="99"/>
      <c r="E141" s="97"/>
      <c r="F141" s="97"/>
      <c r="G141" s="97"/>
      <c r="H141" s="97"/>
      <c r="I141" s="97"/>
      <c r="J141" s="97"/>
      <c r="K141" s="97"/>
      <c r="L141" s="119"/>
      <c r="M141" s="28">
        <f>+$C$19</f>
        <v>341</v>
      </c>
      <c r="N141" s="28">
        <f>+$D$19</f>
        <v>1</v>
      </c>
      <c r="O141" s="19"/>
      <c r="P141" s="17"/>
      <c r="Q141" s="8"/>
      <c r="R141" s="8"/>
      <c r="S141" s="8"/>
      <c r="T141" s="8"/>
    </row>
    <row r="142" spans="1:20" x14ac:dyDescent="0.2">
      <c r="A142" s="114" t="s">
        <v>64</v>
      </c>
      <c r="B142" s="94">
        <v>0</v>
      </c>
      <c r="C142" s="94">
        <v>0</v>
      </c>
      <c r="D142" s="95">
        <v>0</v>
      </c>
      <c r="E142" s="104">
        <f t="shared" ref="E142:L142" si="15">SUM(E138:E140)</f>
        <v>1</v>
      </c>
      <c r="F142" s="104">
        <f t="shared" si="15"/>
        <v>4</v>
      </c>
      <c r="G142" s="104">
        <f t="shared" si="15"/>
        <v>2</v>
      </c>
      <c r="H142" s="96">
        <f t="shared" si="15"/>
        <v>391.07</v>
      </c>
      <c r="I142" s="96">
        <f t="shared" si="15"/>
        <v>0</v>
      </c>
      <c r="J142" s="96">
        <f t="shared" si="15"/>
        <v>1009.85</v>
      </c>
      <c r="K142" s="104">
        <f t="shared" si="15"/>
        <v>0</v>
      </c>
      <c r="L142" s="115">
        <f t="shared" si="15"/>
        <v>0</v>
      </c>
      <c r="M142" s="8"/>
      <c r="N142" s="8"/>
      <c r="O142" s="19"/>
      <c r="P142" s="17"/>
      <c r="Q142" s="8"/>
      <c r="R142" s="8"/>
      <c r="S142" s="8"/>
      <c r="T142" s="8"/>
    </row>
    <row r="143" spans="1:20" ht="1.05" customHeight="1" x14ac:dyDescent="0.2">
      <c r="A143" s="116"/>
      <c r="B143" s="98"/>
      <c r="C143" s="98"/>
      <c r="D143" s="99"/>
      <c r="E143" s="97"/>
      <c r="F143" s="97"/>
      <c r="G143" s="97"/>
      <c r="H143" s="97"/>
      <c r="I143" s="97"/>
      <c r="J143" s="97"/>
      <c r="K143" s="97"/>
      <c r="L143" s="119"/>
      <c r="M143" s="8"/>
      <c r="N143" s="8"/>
      <c r="O143" s="19"/>
      <c r="P143" s="17"/>
      <c r="Q143" s="8"/>
      <c r="R143" s="8"/>
      <c r="S143" s="8"/>
      <c r="T143" s="8"/>
    </row>
    <row r="144" spans="1:20" ht="10.8" thickBot="1" x14ac:dyDescent="0.25">
      <c r="A144" s="122" t="s">
        <v>12</v>
      </c>
      <c r="B144" s="123" t="s">
        <v>101</v>
      </c>
      <c r="C144" s="123" t="s">
        <v>101</v>
      </c>
      <c r="D144" s="124" t="s">
        <v>101</v>
      </c>
      <c r="E144" s="123" t="s">
        <v>101</v>
      </c>
      <c r="F144" s="123" t="s">
        <v>101</v>
      </c>
      <c r="G144" s="123" t="s">
        <v>101</v>
      </c>
      <c r="H144" s="133" t="s">
        <v>101</v>
      </c>
      <c r="I144" s="133" t="s">
        <v>101</v>
      </c>
      <c r="J144" s="133" t="s">
        <v>101</v>
      </c>
      <c r="K144" s="125">
        <f>K56+K62+K68+K79+K86+K91+K99+K105+K115+K123+K128+K134+K142</f>
        <v>341.3</v>
      </c>
      <c r="L144" s="126">
        <f>L56+L62+L68+L79+L86+L91+L99+L105+L115+L123+L128+L134+L142</f>
        <v>27603.640250000004</v>
      </c>
      <c r="M144" s="8"/>
      <c r="N144" s="8"/>
      <c r="O144" s="29" t="s">
        <v>32</v>
      </c>
      <c r="P144" s="45" t="s">
        <v>44</v>
      </c>
      <c r="Q144" s="18" t="s">
        <v>130</v>
      </c>
      <c r="R144" s="18" t="s">
        <v>131</v>
      </c>
      <c r="S144" s="12">
        <f>SUM(S49:S140)</f>
        <v>0</v>
      </c>
      <c r="T144" s="12">
        <f>SUM(T49:T140)</f>
        <v>7556.1254999999992</v>
      </c>
    </row>
    <row r="145" spans="1:20" x14ac:dyDescent="0.2">
      <c r="A145" s="8"/>
      <c r="B145" s="17"/>
      <c r="C145" s="17"/>
      <c r="D145" s="20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46" t="s">
        <v>125</v>
      </c>
      <c r="P145" s="46" t="s">
        <v>125</v>
      </c>
      <c r="Q145" s="46" t="s">
        <v>125</v>
      </c>
      <c r="R145" s="46" t="s">
        <v>125</v>
      </c>
      <c r="S145" s="8"/>
      <c r="T145" s="8"/>
    </row>
    <row r="146" spans="1:20" x14ac:dyDescent="0.2">
      <c r="A146" s="8"/>
      <c r="B146" s="17"/>
      <c r="C146" s="17"/>
      <c r="D146" s="20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">
        <f>SUM(O49:O142)</f>
        <v>45.305648148148144</v>
      </c>
      <c r="P146" s="9">
        <f>DSUM(O48:P140,1,$K$1:$K$2)</f>
        <v>45.282256335282646</v>
      </c>
      <c r="Q146" s="9">
        <f>DSUM(O48:P140,1,$K$5:$K$6)</f>
        <v>2.3391812865497075E-2</v>
      </c>
      <c r="R146" s="9">
        <f>P146+Q146</f>
        <v>45.305648148148144</v>
      </c>
      <c r="S146" s="8"/>
      <c r="T146" s="8"/>
    </row>
  </sheetData>
  <phoneticPr fontId="0" type="noConversion"/>
  <pageMargins left="0.4597222222222222" right="0.43958333333333333" top="0.18958333333333333" bottom="0.23958333333333334" header="0" footer="0"/>
  <pageSetup scale="67" orientation="landscape" r:id="rId1"/>
  <headerFooter alignWithMargins="0"/>
  <rowBreaks count="2" manualBreakCount="2">
    <brk id="87" min="136" man="1"/>
    <brk id="100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CAA43-2BC3-4931-8281-A11E798FC3FA}">
  <dimension ref="A1:T191"/>
  <sheetViews>
    <sheetView showOutlineSymbols="0" topLeftCell="A144" zoomScaleNormal="100" zoomScaleSheetLayoutView="100" workbookViewId="0">
      <selection activeCell="A35" sqref="A35:A37"/>
    </sheetView>
  </sheetViews>
  <sheetFormatPr defaultColWidth="9.7265625" defaultRowHeight="10.199999999999999" x14ac:dyDescent="0.2"/>
  <cols>
    <col min="1" max="1" width="28.81640625" style="1" customWidth="1"/>
    <col min="2" max="2" width="9.54296875" style="1" customWidth="1"/>
    <col min="3" max="3" width="8.7265625" style="1" customWidth="1"/>
    <col min="4" max="4" width="8.26953125" style="1" customWidth="1"/>
    <col min="5" max="5" width="8.7265625" style="1" customWidth="1"/>
    <col min="6" max="6" width="8.26953125" style="1" customWidth="1"/>
    <col min="7" max="7" width="8.7265625" style="1" customWidth="1"/>
    <col min="8" max="8" width="9" style="1" customWidth="1"/>
    <col min="9" max="9" width="8.81640625" style="1" customWidth="1"/>
    <col min="10" max="10" width="8.7265625" style="1" customWidth="1"/>
    <col min="11" max="11" width="9.26953125" style="1" customWidth="1"/>
    <col min="12" max="12" width="10.08984375" style="1" customWidth="1"/>
    <col min="13" max="13" width="13.7265625" style="1" hidden="1" customWidth="1"/>
    <col min="14" max="14" width="14.7265625" style="1" hidden="1" customWidth="1"/>
    <col min="15" max="15" width="12.7265625" style="1" hidden="1" customWidth="1"/>
    <col min="16" max="17" width="9.7265625" style="1" hidden="1" customWidth="1"/>
    <col min="18" max="18" width="9.7265625" style="1" customWidth="1"/>
    <col min="19" max="20" width="11.7265625" style="1" hidden="1" customWidth="1"/>
    <col min="21" max="16384" width="9.7265625" style="1"/>
  </cols>
  <sheetData>
    <row r="1" spans="1:19" hidden="1" x14ac:dyDescent="0.2">
      <c r="A1" s="11" t="s">
        <v>33</v>
      </c>
      <c r="B1" s="15" t="s">
        <v>40</v>
      </c>
      <c r="C1" s="15" t="s">
        <v>46</v>
      </c>
      <c r="D1" s="8"/>
      <c r="E1" s="15" t="s">
        <v>48</v>
      </c>
      <c r="F1" s="15" t="s">
        <v>49</v>
      </c>
      <c r="G1" s="8"/>
      <c r="H1" s="8"/>
      <c r="I1" s="8"/>
      <c r="J1" s="8"/>
      <c r="K1" s="45" t="s">
        <v>50</v>
      </c>
      <c r="L1" s="8"/>
      <c r="M1" s="8"/>
      <c r="N1" s="8"/>
      <c r="O1" s="8"/>
      <c r="P1" s="19"/>
      <c r="Q1" s="8"/>
      <c r="R1" s="8"/>
      <c r="S1" s="8"/>
    </row>
    <row r="2" spans="1:19" hidden="1" x14ac:dyDescent="0.2">
      <c r="A2" s="11" t="s">
        <v>34</v>
      </c>
      <c r="B2" s="8"/>
      <c r="C2" s="12"/>
      <c r="D2" s="8"/>
      <c r="E2" s="12"/>
      <c r="F2" s="12"/>
      <c r="G2" s="8"/>
      <c r="H2" s="8"/>
      <c r="I2" s="8"/>
      <c r="J2" s="8"/>
      <c r="K2" s="17">
        <v>1</v>
      </c>
      <c r="L2" s="8"/>
      <c r="M2" s="8"/>
      <c r="N2" s="8"/>
      <c r="O2" s="8"/>
      <c r="P2" s="19"/>
      <c r="Q2" s="8"/>
      <c r="R2" s="8"/>
      <c r="S2" s="8"/>
    </row>
    <row r="3" spans="1:19" hidden="1" x14ac:dyDescent="0.2">
      <c r="A3" s="11" t="s">
        <v>35</v>
      </c>
      <c r="B3" s="8"/>
      <c r="C3" s="20"/>
      <c r="D3" s="8"/>
      <c r="E3" s="20"/>
      <c r="F3" s="20"/>
      <c r="G3" s="8"/>
      <c r="H3" s="8"/>
      <c r="I3" s="8"/>
      <c r="J3" s="8"/>
      <c r="K3" s="17"/>
      <c r="L3" s="8"/>
      <c r="M3" s="8"/>
      <c r="N3" s="8"/>
      <c r="O3" s="8"/>
      <c r="P3" s="19"/>
      <c r="Q3" s="8"/>
      <c r="R3" s="8"/>
      <c r="S3" s="8"/>
    </row>
    <row r="4" spans="1:19" hidden="1" x14ac:dyDescent="0.2">
      <c r="A4" s="11" t="s">
        <v>36</v>
      </c>
      <c r="B4" s="68">
        <v>135.66</v>
      </c>
      <c r="C4" s="12">
        <v>80.19</v>
      </c>
      <c r="D4" s="8">
        <v>0</v>
      </c>
      <c r="E4" s="12">
        <v>59.75</v>
      </c>
      <c r="F4" s="12">
        <v>35.94</v>
      </c>
      <c r="G4" s="8"/>
      <c r="H4" s="8"/>
      <c r="I4" s="8"/>
      <c r="J4" s="8"/>
      <c r="K4" s="17"/>
      <c r="L4" s="8"/>
      <c r="M4" s="8"/>
      <c r="N4" s="8"/>
      <c r="O4" s="8"/>
      <c r="P4" s="19"/>
      <c r="Q4" s="8"/>
      <c r="R4" s="8"/>
      <c r="S4" s="8"/>
    </row>
    <row r="5" spans="1:19" hidden="1" x14ac:dyDescent="0.2">
      <c r="A5" s="8"/>
      <c r="B5" s="8"/>
      <c r="C5" s="12"/>
      <c r="D5" s="8"/>
      <c r="E5" s="8"/>
      <c r="F5" s="8"/>
      <c r="G5" s="8"/>
      <c r="H5" s="8"/>
      <c r="I5" s="8"/>
      <c r="J5" s="8"/>
      <c r="K5" s="45" t="s">
        <v>50</v>
      </c>
      <c r="L5" s="8"/>
      <c r="M5" s="8"/>
      <c r="N5" s="8"/>
      <c r="O5" s="8"/>
      <c r="P5" s="19"/>
      <c r="Q5" s="8"/>
      <c r="R5" s="8"/>
      <c r="S5" s="8"/>
    </row>
    <row r="6" spans="1:19" hidden="1" x14ac:dyDescent="0.2">
      <c r="A6" s="11" t="s">
        <v>37</v>
      </c>
      <c r="B6" s="8"/>
      <c r="C6" s="15" t="s">
        <v>46</v>
      </c>
      <c r="D6" s="8"/>
      <c r="E6" s="15" t="s">
        <v>48</v>
      </c>
      <c r="F6" s="15" t="s">
        <v>49</v>
      </c>
      <c r="G6" s="8"/>
      <c r="H6" s="8"/>
      <c r="I6" s="8"/>
      <c r="J6" s="8"/>
      <c r="K6" s="17">
        <v>2</v>
      </c>
      <c r="L6" s="8"/>
      <c r="M6" s="8"/>
      <c r="N6" s="8"/>
      <c r="O6" s="8"/>
      <c r="P6" s="19"/>
      <c r="Q6" s="8"/>
      <c r="R6" s="8"/>
      <c r="S6" s="8"/>
    </row>
    <row r="7" spans="1:19" hidden="1" x14ac:dyDescent="0.2">
      <c r="A7" s="11" t="s">
        <v>34</v>
      </c>
      <c r="B7" s="8"/>
      <c r="C7" s="12"/>
      <c r="D7" s="8"/>
      <c r="E7" s="12"/>
      <c r="F7" s="12"/>
      <c r="G7" s="8"/>
      <c r="H7" s="8"/>
      <c r="I7" s="8"/>
      <c r="J7" s="8"/>
      <c r="K7" s="17"/>
      <c r="L7" s="8"/>
      <c r="M7" s="8"/>
      <c r="N7" s="8"/>
      <c r="O7" s="8"/>
      <c r="P7" s="19"/>
      <c r="Q7" s="8"/>
      <c r="R7" s="8"/>
      <c r="S7" s="8"/>
    </row>
    <row r="8" spans="1:19" hidden="1" x14ac:dyDescent="0.2">
      <c r="A8" s="11" t="s">
        <v>35</v>
      </c>
      <c r="B8" s="8"/>
      <c r="C8" s="20"/>
      <c r="D8" s="8"/>
      <c r="E8" s="20"/>
      <c r="F8" s="20"/>
      <c r="G8" s="8"/>
      <c r="H8" s="8"/>
      <c r="I8" s="8"/>
      <c r="J8" s="8"/>
      <c r="K8" s="17"/>
      <c r="L8" s="8"/>
      <c r="M8" s="8"/>
      <c r="N8" s="8"/>
      <c r="O8" s="8"/>
      <c r="P8" s="19"/>
      <c r="Q8" s="8"/>
      <c r="R8" s="8"/>
      <c r="S8" s="8"/>
    </row>
    <row r="9" spans="1:19" hidden="1" x14ac:dyDescent="0.2">
      <c r="A9" s="11" t="s">
        <v>36</v>
      </c>
      <c r="B9" s="68" t="s">
        <v>379</v>
      </c>
      <c r="C9" s="12" t="s">
        <v>379</v>
      </c>
      <c r="D9" s="8"/>
      <c r="E9" s="12" t="s">
        <v>379</v>
      </c>
      <c r="F9" s="12" t="s">
        <v>379</v>
      </c>
      <c r="G9" s="8"/>
      <c r="H9" s="8"/>
      <c r="I9" s="8"/>
      <c r="J9" s="8"/>
      <c r="K9" s="17"/>
      <c r="L9" s="8"/>
      <c r="M9" s="8"/>
      <c r="N9" s="8"/>
      <c r="O9" s="8"/>
      <c r="P9" s="19"/>
      <c r="Q9" s="8"/>
      <c r="R9" s="8"/>
      <c r="S9" s="8"/>
    </row>
    <row r="10" spans="1:19" hidden="1" x14ac:dyDescent="0.2">
      <c r="A10" s="11"/>
      <c r="B10" s="8"/>
      <c r="C10" s="12"/>
      <c r="D10" s="8"/>
      <c r="E10" s="12"/>
      <c r="F10" s="12"/>
      <c r="G10" s="8"/>
      <c r="H10" s="8"/>
      <c r="I10" s="8"/>
      <c r="J10" s="8"/>
      <c r="K10" s="17"/>
      <c r="L10" s="8"/>
      <c r="M10" s="8"/>
      <c r="N10" s="8"/>
      <c r="O10" s="8"/>
      <c r="P10" s="19"/>
      <c r="Q10" s="8"/>
      <c r="R10" s="8"/>
      <c r="S10" s="8"/>
    </row>
    <row r="11" spans="1:19" hidden="1" x14ac:dyDescent="0.2">
      <c r="A11" s="11" t="s">
        <v>13</v>
      </c>
      <c r="B11" s="8"/>
      <c r="C11" s="12"/>
      <c r="D11" s="8" t="s">
        <v>30</v>
      </c>
      <c r="E11" s="12"/>
      <c r="F11" s="12"/>
      <c r="G11" s="8"/>
      <c r="H11" s="8"/>
      <c r="I11" s="8"/>
      <c r="J11" s="8"/>
      <c r="K11" s="17"/>
      <c r="L11" s="8"/>
      <c r="M11" s="8"/>
      <c r="N11" s="8"/>
      <c r="O11" s="8"/>
      <c r="P11" s="19"/>
      <c r="Q11" s="8"/>
      <c r="R11" s="8"/>
      <c r="S11" s="8"/>
    </row>
    <row r="12" spans="1:19" hidden="1" x14ac:dyDescent="0.2">
      <c r="A12" s="11"/>
      <c r="B12" s="8"/>
      <c r="C12" s="14" t="s">
        <v>29</v>
      </c>
      <c r="D12" s="15" t="s">
        <v>31</v>
      </c>
      <c r="E12" s="14" t="s">
        <v>32</v>
      </c>
      <c r="F12" s="12"/>
      <c r="G12" s="8"/>
      <c r="H12" s="8"/>
      <c r="I12" s="8"/>
      <c r="J12" s="8"/>
      <c r="K12" s="17"/>
      <c r="L12" s="8"/>
      <c r="M12" s="8"/>
      <c r="N12" s="8"/>
      <c r="O12" s="8"/>
      <c r="P12" s="19"/>
      <c r="Q12" s="8"/>
      <c r="R12" s="8"/>
      <c r="S12" s="8"/>
    </row>
    <row r="13" spans="1:19" hidden="1" x14ac:dyDescent="0.2">
      <c r="A13" s="11" t="s">
        <v>14</v>
      </c>
      <c r="B13" s="8"/>
      <c r="C13" s="8">
        <v>1076</v>
      </c>
      <c r="D13" s="8">
        <v>4</v>
      </c>
      <c r="E13" s="28">
        <f t="shared" ref="E13:E25" si="0">+C13+D13</f>
        <v>1080</v>
      </c>
      <c r="F13" s="12"/>
      <c r="G13" s="21"/>
      <c r="H13" s="8"/>
      <c r="I13" s="8"/>
      <c r="J13" s="8"/>
      <c r="K13" s="17"/>
      <c r="L13" s="8"/>
      <c r="M13" s="8"/>
      <c r="N13" s="8"/>
      <c r="O13" s="8"/>
      <c r="P13" s="22"/>
      <c r="Q13" s="16"/>
      <c r="R13" s="16"/>
      <c r="S13" s="16"/>
    </row>
    <row r="14" spans="1:19" hidden="1" x14ac:dyDescent="0.2">
      <c r="A14" s="11" t="s">
        <v>15</v>
      </c>
      <c r="B14" s="8"/>
      <c r="C14" s="17">
        <v>323</v>
      </c>
      <c r="D14" s="17">
        <v>1</v>
      </c>
      <c r="E14" s="17">
        <f t="shared" si="0"/>
        <v>324</v>
      </c>
      <c r="F14" s="10">
        <v>0.25</v>
      </c>
      <c r="G14" s="8"/>
      <c r="H14" s="8"/>
      <c r="I14" s="8"/>
      <c r="J14" s="8"/>
      <c r="K14" s="17"/>
      <c r="L14" s="8"/>
      <c r="M14" s="8"/>
      <c r="N14" s="8"/>
      <c r="O14" s="8"/>
      <c r="P14" s="19"/>
      <c r="Q14" s="8"/>
      <c r="R14" s="8"/>
      <c r="S14" s="8"/>
    </row>
    <row r="15" spans="1:19" hidden="1" x14ac:dyDescent="0.2">
      <c r="A15" s="11" t="s">
        <v>16</v>
      </c>
      <c r="B15" s="8"/>
      <c r="C15" s="17">
        <v>215</v>
      </c>
      <c r="D15" s="17">
        <v>1</v>
      </c>
      <c r="E15" s="17">
        <f t="shared" si="0"/>
        <v>216</v>
      </c>
      <c r="F15" s="10">
        <v>0.75</v>
      </c>
      <c r="G15" s="8"/>
      <c r="H15" s="8"/>
      <c r="I15" s="8"/>
      <c r="J15" s="8"/>
      <c r="K15" s="17"/>
      <c r="L15" s="8"/>
      <c r="M15" s="8"/>
      <c r="N15" s="8"/>
      <c r="O15" s="8"/>
      <c r="P15" s="19"/>
      <c r="Q15" s="8"/>
      <c r="R15" s="8"/>
      <c r="S15" s="8"/>
    </row>
    <row r="16" spans="1:19" hidden="1" x14ac:dyDescent="0.2">
      <c r="A16" s="11" t="s">
        <v>17</v>
      </c>
      <c r="B16" s="8"/>
      <c r="C16" s="28">
        <v>538</v>
      </c>
      <c r="D16" s="28">
        <v>2</v>
      </c>
      <c r="E16" s="8">
        <f t="shared" si="0"/>
        <v>540</v>
      </c>
      <c r="F16" s="12"/>
      <c r="G16" s="8"/>
      <c r="H16" s="8"/>
      <c r="I16" s="8"/>
      <c r="J16" s="8"/>
      <c r="K16" s="17"/>
      <c r="L16" s="8"/>
      <c r="M16" s="8"/>
      <c r="N16" s="8"/>
      <c r="O16" s="8"/>
      <c r="P16" s="19"/>
      <c r="Q16" s="8"/>
      <c r="R16" s="8"/>
      <c r="S16" s="8"/>
    </row>
    <row r="17" spans="1:16" hidden="1" x14ac:dyDescent="0.2">
      <c r="A17" s="11" t="s">
        <v>18</v>
      </c>
      <c r="B17" s="8"/>
      <c r="C17" s="28">
        <v>0</v>
      </c>
      <c r="D17" s="28">
        <v>0</v>
      </c>
      <c r="E17" s="28">
        <f t="shared" si="0"/>
        <v>0</v>
      </c>
      <c r="F17" s="12"/>
      <c r="G17" s="8"/>
      <c r="H17" s="8"/>
      <c r="I17" s="8"/>
      <c r="J17" s="8"/>
      <c r="K17" s="17"/>
      <c r="L17" s="8"/>
      <c r="M17" s="8"/>
      <c r="N17" s="8"/>
      <c r="O17" s="8"/>
      <c r="P17" s="19"/>
    </row>
    <row r="18" spans="1:16" hidden="1" x14ac:dyDescent="0.2">
      <c r="A18" s="11" t="s">
        <v>19</v>
      </c>
      <c r="B18" s="8"/>
      <c r="C18" s="8">
        <v>418</v>
      </c>
      <c r="D18" s="8">
        <v>2</v>
      </c>
      <c r="E18" s="8">
        <f t="shared" si="0"/>
        <v>420</v>
      </c>
      <c r="F18" s="12"/>
      <c r="G18" s="8"/>
      <c r="H18" s="8"/>
      <c r="I18" s="8"/>
      <c r="J18" s="8"/>
      <c r="K18" s="17"/>
      <c r="L18" s="8"/>
      <c r="M18" s="8"/>
      <c r="N18" s="8"/>
      <c r="O18" s="8"/>
      <c r="P18" s="19"/>
    </row>
    <row r="19" spans="1:16" hidden="1" x14ac:dyDescent="0.2">
      <c r="A19" s="11" t="s">
        <v>20</v>
      </c>
      <c r="B19" s="8"/>
      <c r="C19" s="28">
        <v>341</v>
      </c>
      <c r="D19" s="28">
        <v>1</v>
      </c>
      <c r="E19" s="28">
        <f t="shared" si="0"/>
        <v>342</v>
      </c>
      <c r="F19" s="12"/>
      <c r="G19" s="8"/>
      <c r="H19" s="8"/>
      <c r="I19" s="8"/>
      <c r="J19" s="8"/>
      <c r="K19" s="17"/>
      <c r="L19" s="8"/>
      <c r="M19" s="8"/>
      <c r="N19" s="8"/>
      <c r="O19" s="8"/>
      <c r="P19" s="19"/>
    </row>
    <row r="20" spans="1:16" hidden="1" x14ac:dyDescent="0.2">
      <c r="A20" s="11" t="s">
        <v>51</v>
      </c>
      <c r="B20" s="8"/>
      <c r="C20" s="28">
        <v>46</v>
      </c>
      <c r="D20" s="28">
        <v>0</v>
      </c>
      <c r="E20" s="28">
        <f t="shared" si="0"/>
        <v>46</v>
      </c>
      <c r="F20" s="12"/>
      <c r="G20" s="8"/>
      <c r="H20" s="8"/>
      <c r="I20" s="8"/>
      <c r="J20" s="8"/>
      <c r="K20" s="17"/>
      <c r="L20" s="8"/>
      <c r="M20" s="8"/>
      <c r="N20" s="8"/>
      <c r="O20" s="8"/>
      <c r="P20" s="19"/>
    </row>
    <row r="21" spans="1:16" hidden="1" x14ac:dyDescent="0.2">
      <c r="A21" s="11" t="s">
        <v>52</v>
      </c>
      <c r="B21" s="8"/>
      <c r="C21" s="28">
        <v>1</v>
      </c>
      <c r="D21" s="28">
        <v>0</v>
      </c>
      <c r="E21" s="28">
        <f t="shared" si="0"/>
        <v>1</v>
      </c>
      <c r="F21" s="12"/>
      <c r="G21" s="8"/>
      <c r="H21" s="8"/>
      <c r="I21" s="8"/>
      <c r="J21" s="8"/>
      <c r="K21" s="17"/>
      <c r="L21" s="8"/>
      <c r="M21" s="8"/>
      <c r="N21" s="8"/>
      <c r="O21" s="8"/>
      <c r="P21" s="19"/>
    </row>
    <row r="22" spans="1:16" hidden="1" x14ac:dyDescent="0.2">
      <c r="A22" s="11" t="s">
        <v>53</v>
      </c>
      <c r="B22" s="8"/>
      <c r="C22" s="28">
        <v>294</v>
      </c>
      <c r="D22" s="28">
        <v>1</v>
      </c>
      <c r="E22" s="28">
        <f t="shared" si="0"/>
        <v>295</v>
      </c>
      <c r="F22" s="12"/>
      <c r="G22" s="8"/>
      <c r="H22" s="8"/>
      <c r="I22" s="8"/>
      <c r="J22" s="8"/>
      <c r="K22" s="17"/>
      <c r="L22" s="8"/>
      <c r="M22" s="8"/>
      <c r="N22" s="8"/>
      <c r="O22" s="8"/>
      <c r="P22" s="19"/>
    </row>
    <row r="23" spans="1:16" hidden="1" x14ac:dyDescent="0.2">
      <c r="A23" s="11" t="s">
        <v>54</v>
      </c>
      <c r="B23" s="8"/>
      <c r="C23" s="28">
        <v>295</v>
      </c>
      <c r="D23" s="28">
        <v>1</v>
      </c>
      <c r="E23" s="28">
        <f t="shared" si="0"/>
        <v>296</v>
      </c>
      <c r="F23" s="12"/>
      <c r="G23" s="8"/>
      <c r="H23" s="8"/>
      <c r="I23" s="8"/>
      <c r="J23" s="8"/>
      <c r="K23" s="17"/>
      <c r="L23" s="8"/>
      <c r="M23" s="8"/>
      <c r="N23" s="8"/>
      <c r="O23" s="8"/>
      <c r="P23" s="19"/>
    </row>
    <row r="24" spans="1:16" hidden="1" x14ac:dyDescent="0.2">
      <c r="A24" s="11" t="s">
        <v>22</v>
      </c>
      <c r="B24" s="8"/>
      <c r="C24" s="17">
        <v>40</v>
      </c>
      <c r="D24" s="17">
        <v>0</v>
      </c>
      <c r="E24" s="17">
        <f t="shared" si="0"/>
        <v>40</v>
      </c>
      <c r="F24" s="12"/>
      <c r="G24" s="8"/>
      <c r="H24" s="8"/>
      <c r="I24" s="8"/>
      <c r="J24" s="8"/>
      <c r="K24" s="17"/>
      <c r="L24" s="8"/>
      <c r="M24" s="8"/>
      <c r="N24" s="8"/>
      <c r="O24" s="8"/>
      <c r="P24" s="19"/>
    </row>
    <row r="25" spans="1:16" hidden="1" x14ac:dyDescent="0.2">
      <c r="A25" s="11" t="s">
        <v>55</v>
      </c>
      <c r="B25" s="8" t="s">
        <v>379</v>
      </c>
      <c r="C25" s="8">
        <v>1</v>
      </c>
      <c r="D25" s="8">
        <v>0</v>
      </c>
      <c r="E25" s="8">
        <f t="shared" si="0"/>
        <v>1</v>
      </c>
      <c r="F25" s="12"/>
      <c r="G25" s="8"/>
      <c r="H25" s="8"/>
      <c r="I25" s="8"/>
      <c r="J25" s="8"/>
      <c r="K25" s="17"/>
      <c r="L25" s="8"/>
      <c r="M25" s="8"/>
      <c r="N25" s="8"/>
      <c r="O25" s="8"/>
      <c r="P25" s="19"/>
    </row>
    <row r="26" spans="1:16" hidden="1" x14ac:dyDescent="0.2">
      <c r="A26" s="11" t="s">
        <v>23</v>
      </c>
      <c r="B26" s="8"/>
      <c r="C26" s="8">
        <v>0</v>
      </c>
      <c r="D26" s="8">
        <v>0</v>
      </c>
      <c r="E26" s="8">
        <v>0</v>
      </c>
      <c r="F26" s="12"/>
      <c r="G26" s="8"/>
      <c r="H26" s="8"/>
      <c r="I26" s="8"/>
      <c r="J26" s="8"/>
      <c r="K26" s="17"/>
      <c r="L26" s="8"/>
      <c r="M26" s="8"/>
      <c r="N26" s="8"/>
      <c r="O26" s="8"/>
      <c r="P26" s="19"/>
    </row>
    <row r="27" spans="1:16" hidden="1" x14ac:dyDescent="0.2">
      <c r="A27" s="11" t="s">
        <v>24</v>
      </c>
      <c r="B27" s="8" t="s">
        <v>379</v>
      </c>
      <c r="C27" s="8">
        <v>1</v>
      </c>
      <c r="D27" s="8">
        <v>0</v>
      </c>
      <c r="E27" s="8">
        <v>1</v>
      </c>
      <c r="F27" s="12"/>
      <c r="G27" s="8"/>
      <c r="H27" s="8"/>
      <c r="I27" s="8"/>
      <c r="J27" s="8"/>
      <c r="K27" s="17"/>
      <c r="L27" s="8"/>
      <c r="M27" s="8"/>
      <c r="N27" s="8"/>
      <c r="O27" s="8"/>
      <c r="P27" s="19"/>
    </row>
    <row r="28" spans="1:16" hidden="1" x14ac:dyDescent="0.2">
      <c r="A28" s="11" t="s">
        <v>25</v>
      </c>
      <c r="B28" s="8"/>
      <c r="C28" s="28">
        <v>7</v>
      </c>
      <c r="D28" s="28">
        <v>0</v>
      </c>
      <c r="E28" s="28">
        <f>+C28+D28</f>
        <v>7</v>
      </c>
      <c r="F28" s="10">
        <v>0.05</v>
      </c>
      <c r="G28" s="8"/>
      <c r="H28" s="8"/>
      <c r="I28" s="8"/>
      <c r="J28" s="8"/>
      <c r="K28" s="17"/>
      <c r="L28" s="8"/>
      <c r="M28" s="8"/>
      <c r="N28" s="8"/>
      <c r="O28" s="8"/>
      <c r="P28" s="19"/>
    </row>
    <row r="29" spans="1:16" hidden="1" x14ac:dyDescent="0.2">
      <c r="A29" s="11" t="s">
        <v>26</v>
      </c>
      <c r="B29" s="8"/>
      <c r="C29" s="28">
        <v>1</v>
      </c>
      <c r="D29" s="28">
        <v>0</v>
      </c>
      <c r="E29" s="28">
        <f>+C29+D29</f>
        <v>1</v>
      </c>
      <c r="F29" s="12"/>
      <c r="G29" s="8"/>
      <c r="H29" s="8"/>
      <c r="I29" s="8"/>
      <c r="J29" s="8"/>
      <c r="K29" s="17"/>
      <c r="L29" s="8"/>
      <c r="M29" s="8"/>
      <c r="N29" s="8"/>
      <c r="O29" s="8"/>
      <c r="P29" s="8"/>
    </row>
    <row r="30" spans="1:16" hidden="1" x14ac:dyDescent="0.2">
      <c r="A30" s="11" t="s">
        <v>56</v>
      </c>
      <c r="B30" s="8"/>
      <c r="C30" s="8">
        <v>512</v>
      </c>
      <c r="D30" s="8">
        <v>2</v>
      </c>
      <c r="E30" s="8">
        <f>+C30+D30</f>
        <v>514</v>
      </c>
      <c r="F30" s="12"/>
      <c r="G30" s="8"/>
      <c r="H30" s="8"/>
      <c r="I30" s="8"/>
      <c r="J30" s="8"/>
      <c r="K30" s="17"/>
      <c r="L30" s="8"/>
      <c r="M30" s="8"/>
      <c r="N30" s="8"/>
      <c r="O30" s="8"/>
      <c r="P30" s="8"/>
    </row>
    <row r="31" spans="1:16" hidden="1" x14ac:dyDescent="0.2">
      <c r="A31" s="11" t="s">
        <v>27</v>
      </c>
      <c r="B31" s="8"/>
      <c r="C31" s="8">
        <v>32</v>
      </c>
      <c r="D31" s="8">
        <v>0</v>
      </c>
      <c r="E31" s="8">
        <f>+C31+D31</f>
        <v>32</v>
      </c>
      <c r="F31" s="8"/>
      <c r="G31" s="8"/>
      <c r="H31" s="8"/>
      <c r="I31" s="8"/>
      <c r="J31" s="8"/>
      <c r="K31" s="17"/>
      <c r="L31" s="8"/>
      <c r="M31" s="8"/>
      <c r="N31" s="8"/>
      <c r="O31" s="8"/>
      <c r="P31" s="8"/>
    </row>
    <row r="32" spans="1:16" hidden="1" x14ac:dyDescent="0.2">
      <c r="A32" s="11" t="s">
        <v>57</v>
      </c>
      <c r="B32" s="8"/>
      <c r="C32" s="8">
        <v>3</v>
      </c>
      <c r="D32" s="8">
        <v>0</v>
      </c>
      <c r="E32" s="8">
        <f>+C32+D32</f>
        <v>3</v>
      </c>
      <c r="F32" s="8"/>
      <c r="G32" s="8"/>
      <c r="H32" s="8"/>
      <c r="I32" s="8"/>
      <c r="J32" s="8"/>
      <c r="K32" s="17"/>
      <c r="L32" s="8"/>
      <c r="M32" s="8"/>
      <c r="N32" s="8"/>
      <c r="O32" s="8"/>
      <c r="P32" s="8"/>
    </row>
    <row r="33" spans="1:20" hidden="1" x14ac:dyDescent="0.2">
      <c r="A33" s="11" t="s">
        <v>28</v>
      </c>
      <c r="B33" s="8"/>
      <c r="C33" s="8">
        <v>0</v>
      </c>
      <c r="D33" s="8">
        <v>0</v>
      </c>
      <c r="E33" s="8">
        <f>C33+D33</f>
        <v>0</v>
      </c>
      <c r="F33" s="8"/>
      <c r="G33" s="8"/>
      <c r="H33" s="8"/>
      <c r="I33" s="8"/>
      <c r="J33" s="8"/>
      <c r="K33" s="17"/>
      <c r="L33" s="8"/>
      <c r="M33" s="8"/>
      <c r="N33" s="8"/>
      <c r="O33" s="8"/>
      <c r="P33" s="8"/>
      <c r="Q33" s="8"/>
      <c r="R33" s="8"/>
      <c r="S33" s="8"/>
      <c r="T33" s="8"/>
    </row>
    <row r="34" spans="1:20" hidden="1" x14ac:dyDescent="0.2">
      <c r="A34" s="8"/>
      <c r="B34" s="17"/>
      <c r="C34" s="17"/>
      <c r="D34" s="20"/>
      <c r="E34" s="8"/>
      <c r="F34" s="8"/>
      <c r="G34" s="8"/>
      <c r="H34" s="8"/>
      <c r="I34" s="8"/>
      <c r="J34" s="8"/>
      <c r="K34" s="17"/>
      <c r="L34" s="8"/>
      <c r="M34" s="8"/>
      <c r="N34" s="8"/>
      <c r="O34" s="19"/>
      <c r="P34" s="17"/>
      <c r="Q34" s="8"/>
      <c r="R34" s="8"/>
      <c r="S34" s="8"/>
      <c r="T34" s="8"/>
    </row>
    <row r="35" spans="1:20" ht="17.399999999999999" x14ac:dyDescent="0.3">
      <c r="A35" s="353" t="s">
        <v>438</v>
      </c>
      <c r="B35" s="83"/>
      <c r="C35" s="83"/>
      <c r="D35" s="81"/>
      <c r="E35" s="70"/>
      <c r="F35" s="70"/>
      <c r="G35" s="70"/>
      <c r="H35" s="70"/>
      <c r="I35" s="70"/>
      <c r="J35" s="70"/>
      <c r="K35" s="83"/>
      <c r="L35" s="70"/>
      <c r="M35" s="8"/>
      <c r="N35" s="8"/>
      <c r="O35" s="19"/>
      <c r="P35" s="17"/>
      <c r="Q35" s="8"/>
      <c r="R35" s="8"/>
      <c r="S35" s="8"/>
      <c r="T35" s="8"/>
    </row>
    <row r="36" spans="1:20" ht="17.399999999999999" x14ac:dyDescent="0.3">
      <c r="A36" s="353" t="s">
        <v>58</v>
      </c>
      <c r="B36" s="70"/>
      <c r="C36" s="70"/>
      <c r="D36" s="81"/>
      <c r="E36" s="70"/>
      <c r="F36" s="70"/>
      <c r="G36" s="70"/>
      <c r="H36" s="70"/>
      <c r="I36" s="70"/>
      <c r="J36" s="70"/>
      <c r="K36" s="83"/>
      <c r="L36" s="70"/>
      <c r="M36" s="8"/>
      <c r="N36" s="8"/>
      <c r="O36" s="19"/>
      <c r="P36" s="17"/>
      <c r="Q36" s="8"/>
      <c r="R36" s="8"/>
      <c r="S36" s="8"/>
      <c r="T36" s="8"/>
    </row>
    <row r="37" spans="1:20" ht="17.399999999999999" x14ac:dyDescent="0.3">
      <c r="A37" s="353" t="s">
        <v>220</v>
      </c>
      <c r="B37" s="83"/>
      <c r="C37" s="83"/>
      <c r="D37" s="81"/>
      <c r="E37" s="70"/>
      <c r="F37" s="70"/>
      <c r="G37" s="70"/>
      <c r="H37" s="70"/>
      <c r="I37" s="70"/>
      <c r="J37" s="70"/>
      <c r="K37" s="83"/>
      <c r="L37" s="70"/>
      <c r="M37" s="8"/>
      <c r="N37" s="8"/>
      <c r="O37" s="19"/>
      <c r="P37" s="17"/>
      <c r="Q37" s="8"/>
      <c r="R37" s="8"/>
      <c r="S37" s="8"/>
      <c r="T37" s="8"/>
    </row>
    <row r="38" spans="1:20" x14ac:dyDescent="0.2">
      <c r="A38" s="70"/>
      <c r="B38" s="70"/>
      <c r="C38" s="72"/>
      <c r="D38" s="70"/>
      <c r="E38" s="70"/>
      <c r="F38" s="70"/>
      <c r="G38" s="70"/>
      <c r="H38" s="70"/>
      <c r="I38" s="71"/>
      <c r="J38" s="71"/>
      <c r="K38" s="83"/>
      <c r="L38" s="70"/>
      <c r="M38" s="8"/>
      <c r="N38" s="8"/>
      <c r="O38" s="19"/>
      <c r="P38" s="17"/>
      <c r="Q38" s="8"/>
      <c r="R38" s="8"/>
      <c r="S38" s="8"/>
      <c r="T38" s="8"/>
    </row>
    <row r="39" spans="1:20" x14ac:dyDescent="0.2">
      <c r="A39" s="70"/>
      <c r="B39" s="69" t="s">
        <v>100</v>
      </c>
      <c r="C39" s="69"/>
      <c r="D39" s="69"/>
      <c r="E39" s="69"/>
      <c r="F39" s="69"/>
      <c r="G39" s="69"/>
      <c r="H39" s="69"/>
      <c r="I39" s="134"/>
      <c r="J39" s="134"/>
      <c r="K39" s="139"/>
      <c r="L39" s="69"/>
      <c r="M39" s="8"/>
      <c r="N39" s="8"/>
      <c r="O39" s="19"/>
      <c r="P39" s="17"/>
      <c r="Q39" s="8"/>
      <c r="R39" s="8"/>
      <c r="S39" s="8"/>
      <c r="T39" s="8"/>
    </row>
    <row r="40" spans="1:20" x14ac:dyDescent="0.2">
      <c r="A40" s="70"/>
      <c r="B40" s="69" t="s">
        <v>33</v>
      </c>
      <c r="C40" s="69"/>
      <c r="D40" s="69" t="s">
        <v>289</v>
      </c>
      <c r="E40" s="69"/>
      <c r="F40" s="69"/>
      <c r="G40" s="69"/>
      <c r="H40" s="69"/>
      <c r="I40" s="69"/>
      <c r="J40" s="69"/>
      <c r="K40" s="139" t="s">
        <v>112</v>
      </c>
      <c r="L40" s="139"/>
      <c r="M40" s="15" t="s">
        <v>115</v>
      </c>
      <c r="N40" s="15" t="s">
        <v>115</v>
      </c>
      <c r="O40" s="15" t="s">
        <v>123</v>
      </c>
      <c r="P40" s="29" t="s">
        <v>126</v>
      </c>
      <c r="Q40" s="8"/>
      <c r="R40" s="8"/>
      <c r="S40" s="8"/>
      <c r="T40" s="8"/>
    </row>
    <row r="41" spans="1:20" x14ac:dyDescent="0.2">
      <c r="A41" s="70"/>
      <c r="B41" s="86"/>
      <c r="C41" s="87"/>
      <c r="D41" s="86"/>
      <c r="E41" s="88"/>
      <c r="F41" s="88"/>
      <c r="G41" s="88"/>
      <c r="H41" s="89"/>
      <c r="I41" s="90"/>
      <c r="J41" s="91"/>
      <c r="K41" s="51"/>
      <c r="L41" s="130"/>
      <c r="M41" s="15"/>
      <c r="N41" s="15"/>
      <c r="O41" s="15"/>
      <c r="P41" s="29"/>
      <c r="Q41" s="8"/>
      <c r="R41" s="8"/>
      <c r="S41" s="8"/>
      <c r="T41" s="8"/>
    </row>
    <row r="42" spans="1:20" x14ac:dyDescent="0.2">
      <c r="A42" s="70"/>
      <c r="B42" s="70"/>
      <c r="C42" s="70"/>
      <c r="D42" s="73" t="s">
        <v>40</v>
      </c>
      <c r="E42" s="73" t="s">
        <v>46</v>
      </c>
      <c r="F42" s="73" t="s">
        <v>48</v>
      </c>
      <c r="G42" s="73" t="s">
        <v>49</v>
      </c>
      <c r="H42" s="73" t="s">
        <v>106</v>
      </c>
      <c r="I42" s="74" t="s">
        <v>109</v>
      </c>
      <c r="J42" s="74"/>
      <c r="K42" s="76" t="s">
        <v>32</v>
      </c>
      <c r="L42" s="73" t="s">
        <v>32</v>
      </c>
      <c r="M42" s="15" t="s">
        <v>29</v>
      </c>
      <c r="N42" s="15" t="s">
        <v>122</v>
      </c>
      <c r="O42" s="15" t="s">
        <v>43</v>
      </c>
      <c r="P42" s="29" t="s">
        <v>127</v>
      </c>
      <c r="Q42" s="8"/>
      <c r="R42" s="8"/>
      <c r="S42" s="8"/>
      <c r="T42" s="8"/>
    </row>
    <row r="43" spans="1:20" x14ac:dyDescent="0.2">
      <c r="A43" s="70"/>
      <c r="B43" s="70"/>
      <c r="C43" s="73" t="s">
        <v>103</v>
      </c>
      <c r="D43" s="248">
        <f>B4</f>
        <v>135.66</v>
      </c>
      <c r="E43" s="74">
        <f>C4</f>
        <v>80.19</v>
      </c>
      <c r="F43" s="74">
        <f>E4</f>
        <v>59.75</v>
      </c>
      <c r="G43" s="74">
        <f>F4</f>
        <v>35.94</v>
      </c>
      <c r="H43" s="73" t="s">
        <v>107</v>
      </c>
      <c r="I43" s="74" t="s">
        <v>110</v>
      </c>
      <c r="J43" s="74" t="s">
        <v>111</v>
      </c>
      <c r="K43" s="76" t="s">
        <v>41</v>
      </c>
      <c r="L43" s="73" t="s">
        <v>47</v>
      </c>
      <c r="M43" s="15" t="s">
        <v>116</v>
      </c>
      <c r="N43" s="15" t="s">
        <v>116</v>
      </c>
      <c r="O43" s="15" t="s">
        <v>124</v>
      </c>
      <c r="P43" s="29" t="s">
        <v>128</v>
      </c>
      <c r="Q43" s="8"/>
      <c r="R43" s="8"/>
      <c r="S43" s="8"/>
      <c r="T43" s="8"/>
    </row>
    <row r="44" spans="1:20" x14ac:dyDescent="0.2">
      <c r="A44" s="69" t="s">
        <v>60</v>
      </c>
      <c r="B44" s="73" t="s">
        <v>29</v>
      </c>
      <c r="C44" s="73" t="s">
        <v>31</v>
      </c>
      <c r="D44" s="73" t="s">
        <v>439</v>
      </c>
      <c r="E44" s="73" t="s">
        <v>439</v>
      </c>
      <c r="F44" s="73" t="s">
        <v>439</v>
      </c>
      <c r="G44" s="73" t="s">
        <v>439</v>
      </c>
      <c r="H44" s="73" t="s">
        <v>108</v>
      </c>
      <c r="I44" s="74" t="s">
        <v>107</v>
      </c>
      <c r="J44" s="74" t="s">
        <v>107</v>
      </c>
      <c r="K44" s="76" t="s">
        <v>42</v>
      </c>
      <c r="L44" s="73" t="s">
        <v>42</v>
      </c>
      <c r="M44" s="15" t="s">
        <v>33</v>
      </c>
      <c r="N44" s="15" t="s">
        <v>33</v>
      </c>
      <c r="O44" s="15" t="s">
        <v>45</v>
      </c>
      <c r="P44" s="29" t="s">
        <v>129</v>
      </c>
      <c r="Q44" s="8"/>
      <c r="R44" s="8"/>
      <c r="S44" s="26" t="s">
        <v>132</v>
      </c>
      <c r="T44" s="26" t="s">
        <v>111</v>
      </c>
    </row>
    <row r="45" spans="1:20" ht="1.05" customHeight="1" x14ac:dyDescent="0.2">
      <c r="A45" s="78"/>
      <c r="B45" s="82"/>
      <c r="C45" s="82"/>
      <c r="D45" s="79"/>
      <c r="E45" s="78"/>
      <c r="F45" s="78"/>
      <c r="G45" s="78"/>
      <c r="H45" s="78"/>
      <c r="I45" s="78"/>
      <c r="J45" s="78"/>
      <c r="K45" s="82"/>
      <c r="L45" s="78"/>
      <c r="M45" s="8"/>
      <c r="N45" s="8"/>
      <c r="O45" s="19"/>
      <c r="P45" s="17"/>
      <c r="Q45" s="8"/>
      <c r="R45" s="8"/>
      <c r="S45" s="26"/>
      <c r="T45" s="26"/>
    </row>
    <row r="46" spans="1:20" x14ac:dyDescent="0.2">
      <c r="A46" s="335" t="s">
        <v>221</v>
      </c>
      <c r="B46" s="336"/>
      <c r="C46" s="336"/>
      <c r="D46" s="337"/>
      <c r="E46" s="338"/>
      <c r="F46" s="338"/>
      <c r="G46" s="338"/>
      <c r="H46" s="338"/>
      <c r="I46" s="339"/>
      <c r="J46" s="339"/>
      <c r="K46" s="338"/>
      <c r="L46" s="340"/>
      <c r="M46" s="30"/>
      <c r="N46" s="30"/>
      <c r="O46" s="66"/>
      <c r="P46" s="17"/>
      <c r="Q46" s="8"/>
      <c r="R46" s="8"/>
      <c r="S46" s="26"/>
      <c r="T46" s="26"/>
    </row>
    <row r="47" spans="1:20" x14ac:dyDescent="0.2">
      <c r="A47" s="54" t="s">
        <v>222</v>
      </c>
      <c r="B47" s="55"/>
      <c r="C47" s="55"/>
      <c r="D47" s="32"/>
      <c r="E47" s="55"/>
      <c r="F47" s="55"/>
      <c r="G47" s="55"/>
      <c r="H47" s="55"/>
      <c r="I47" s="55"/>
      <c r="J47" s="55"/>
      <c r="K47" s="31"/>
      <c r="L47" s="58"/>
      <c r="M47" s="8"/>
      <c r="N47" s="8"/>
      <c r="O47" s="29" t="s">
        <v>173</v>
      </c>
      <c r="P47" s="45" t="s">
        <v>174</v>
      </c>
      <c r="Q47" s="8"/>
      <c r="R47" s="8"/>
      <c r="S47" s="8"/>
      <c r="T47" s="8"/>
    </row>
    <row r="48" spans="1:20" x14ac:dyDescent="0.2">
      <c r="A48" s="59" t="s">
        <v>223</v>
      </c>
      <c r="B48" s="44">
        <v>8</v>
      </c>
      <c r="C48" s="44">
        <v>0</v>
      </c>
      <c r="D48" s="62">
        <v>8</v>
      </c>
      <c r="E48" s="62">
        <v>2</v>
      </c>
      <c r="F48" s="62">
        <v>8</v>
      </c>
      <c r="G48" s="62">
        <v>0</v>
      </c>
      <c r="H48" s="63">
        <f>+($B$4*D48)+($C$4*E48)+($E$4*F48)+($F$4*G48)</f>
        <v>1723.6599999999999</v>
      </c>
      <c r="I48" s="63">
        <v>0</v>
      </c>
      <c r="J48" s="63">
        <v>0</v>
      </c>
      <c r="K48" s="60">
        <f>(D48+E48+F48+G48)*(B48+C48)</f>
        <v>144</v>
      </c>
      <c r="L48" s="65">
        <f>(H48+I48+J48)*(C48+B48)</f>
        <v>13789.279999999999</v>
      </c>
      <c r="M48" s="8">
        <f>+$C$13</f>
        <v>1076</v>
      </c>
      <c r="N48" s="8">
        <f>+$D$13</f>
        <v>4</v>
      </c>
      <c r="O48" s="19">
        <f>(((B48+C48)/(M48+N48))*(D48+E48+F48+G48))</f>
        <v>0.13333333333333333</v>
      </c>
      <c r="P48" s="45"/>
      <c r="Q48" s="8"/>
      <c r="R48" s="8"/>
      <c r="S48" s="8"/>
      <c r="T48" s="8"/>
    </row>
    <row r="49" spans="1:20" x14ac:dyDescent="0.2">
      <c r="A49" s="54" t="s">
        <v>222</v>
      </c>
      <c r="B49" s="55"/>
      <c r="C49" s="55"/>
      <c r="D49" s="32"/>
      <c r="E49" s="55"/>
      <c r="F49" s="55"/>
      <c r="G49" s="55"/>
      <c r="H49" s="55"/>
      <c r="I49" s="55"/>
      <c r="J49" s="55"/>
      <c r="K49" s="31"/>
      <c r="L49" s="58"/>
      <c r="M49" s="8"/>
      <c r="N49" s="8"/>
      <c r="O49" s="29"/>
      <c r="P49" s="45"/>
      <c r="Q49" s="8"/>
      <c r="R49" s="8"/>
      <c r="S49" s="8"/>
      <c r="T49" s="8"/>
    </row>
    <row r="50" spans="1:20" x14ac:dyDescent="0.2">
      <c r="A50" s="59" t="s">
        <v>224</v>
      </c>
      <c r="B50" s="60">
        <f>C16</f>
        <v>538</v>
      </c>
      <c r="C50" s="60">
        <f>D16</f>
        <v>2</v>
      </c>
      <c r="D50" s="62">
        <v>4</v>
      </c>
      <c r="E50" s="62">
        <v>1</v>
      </c>
      <c r="F50" s="62">
        <v>4</v>
      </c>
      <c r="G50" s="62">
        <v>0</v>
      </c>
      <c r="H50" s="63">
        <f>+($B$4*D50)+($C$4*E50)+($E$4*F50)+($F$4*G50)</f>
        <v>861.82999999999993</v>
      </c>
      <c r="I50" s="63">
        <v>0</v>
      </c>
      <c r="J50" s="63">
        <v>0</v>
      </c>
      <c r="K50" s="60">
        <f>(D50+E50+F50+G50)*(B50+C50)</f>
        <v>4860</v>
      </c>
      <c r="L50" s="65">
        <f>(H50+I50+J50)*(C50+B50)</f>
        <v>465388.19999999995</v>
      </c>
      <c r="M50" s="8">
        <f>+$C$13</f>
        <v>1076</v>
      </c>
      <c r="N50" s="8">
        <f>+$D$13</f>
        <v>4</v>
      </c>
      <c r="O50" s="19">
        <f>(((B50+C50)/(M50+N50))*(D50+E50+F50+G50))</f>
        <v>4.5</v>
      </c>
      <c r="P50" s="17">
        <v>1</v>
      </c>
      <c r="Q50" s="8"/>
      <c r="R50" s="8"/>
      <c r="S50" s="26">
        <f>+I50*(B50+C50)</f>
        <v>0</v>
      </c>
      <c r="T50" s="26">
        <f>+J50*(B50+C50)</f>
        <v>0</v>
      </c>
    </row>
    <row r="51" spans="1:20" ht="1.05" customHeight="1" x14ac:dyDescent="0.2">
      <c r="A51" s="116"/>
      <c r="B51" s="97"/>
      <c r="C51" s="97"/>
      <c r="D51" s="99"/>
      <c r="E51" s="97"/>
      <c r="F51" s="97"/>
      <c r="G51" s="97"/>
      <c r="H51" s="97"/>
      <c r="I51" s="97"/>
      <c r="J51" s="97"/>
      <c r="K51" s="98"/>
      <c r="L51" s="119"/>
      <c r="M51" s="8"/>
      <c r="N51" s="8"/>
      <c r="O51" s="19"/>
      <c r="P51" s="17"/>
      <c r="Q51" s="8"/>
      <c r="R51" s="8"/>
      <c r="S51" s="8"/>
      <c r="T51" s="8"/>
    </row>
    <row r="52" spans="1:20" x14ac:dyDescent="0.2">
      <c r="A52" s="114" t="s">
        <v>64</v>
      </c>
      <c r="B52" s="101" t="s">
        <v>101</v>
      </c>
      <c r="C52" s="101" t="s">
        <v>101</v>
      </c>
      <c r="D52" s="107" t="s">
        <v>101</v>
      </c>
      <c r="E52" s="107" t="s">
        <v>101</v>
      </c>
      <c r="F52" s="107" t="s">
        <v>101</v>
      </c>
      <c r="G52" s="107" t="s">
        <v>101</v>
      </c>
      <c r="H52" s="52" t="s">
        <v>101</v>
      </c>
      <c r="I52" s="52" t="s">
        <v>101</v>
      </c>
      <c r="J52" s="52" t="s">
        <v>101</v>
      </c>
      <c r="K52" s="94">
        <f>(K50)</f>
        <v>4860</v>
      </c>
      <c r="L52" s="115">
        <f>SUM(L48:L50)</f>
        <v>479177.48</v>
      </c>
      <c r="M52" s="8"/>
      <c r="N52" s="8"/>
      <c r="O52" s="19"/>
      <c r="P52" s="17"/>
      <c r="Q52" s="8"/>
      <c r="R52" s="8"/>
      <c r="S52" s="8"/>
      <c r="T52" s="8"/>
    </row>
    <row r="53" spans="1:20" ht="1.05" customHeight="1" x14ac:dyDescent="0.2">
      <c r="A53" s="116"/>
      <c r="B53" s="97"/>
      <c r="C53" s="97"/>
      <c r="D53" s="99"/>
      <c r="E53" s="97"/>
      <c r="F53" s="97"/>
      <c r="G53" s="97"/>
      <c r="H53" s="97"/>
      <c r="I53" s="97"/>
      <c r="J53" s="97"/>
      <c r="K53" s="98"/>
      <c r="L53" s="119"/>
      <c r="M53" s="8"/>
      <c r="N53" s="8"/>
      <c r="O53" s="19"/>
      <c r="P53" s="17"/>
      <c r="Q53" s="8"/>
      <c r="R53" s="8"/>
      <c r="S53" s="8"/>
      <c r="T53" s="8"/>
    </row>
    <row r="54" spans="1:20" x14ac:dyDescent="0.2">
      <c r="A54" s="335" t="s">
        <v>401</v>
      </c>
      <c r="B54" s="336"/>
      <c r="C54" s="336"/>
      <c r="D54" s="337"/>
      <c r="E54" s="338"/>
      <c r="F54" s="338"/>
      <c r="G54" s="338"/>
      <c r="H54" s="338"/>
      <c r="I54" s="339"/>
      <c r="J54" s="339"/>
      <c r="K54" s="338"/>
      <c r="L54" s="340"/>
      <c r="M54" s="8"/>
      <c r="N54" s="8"/>
      <c r="O54" s="19"/>
      <c r="P54" s="17"/>
      <c r="Q54" s="8"/>
      <c r="R54" s="8"/>
      <c r="S54" s="8"/>
      <c r="T54" s="8"/>
    </row>
    <row r="55" spans="1:20" x14ac:dyDescent="0.2">
      <c r="A55" s="54" t="s">
        <v>225</v>
      </c>
      <c r="B55" s="31"/>
      <c r="C55" s="31"/>
      <c r="D55" s="32"/>
      <c r="E55" s="55"/>
      <c r="F55" s="55"/>
      <c r="G55" s="55"/>
      <c r="H55" s="55"/>
      <c r="I55" s="55"/>
      <c r="J55" s="55"/>
      <c r="K55" s="31"/>
      <c r="L55" s="58"/>
      <c r="M55" s="8"/>
      <c r="N55" s="8"/>
      <c r="O55" s="19"/>
      <c r="P55" s="17"/>
      <c r="Q55" s="8"/>
      <c r="R55" s="8"/>
      <c r="S55" s="8"/>
      <c r="T55" s="8"/>
    </row>
    <row r="56" spans="1:20" x14ac:dyDescent="0.2">
      <c r="A56" s="59" t="s">
        <v>402</v>
      </c>
      <c r="B56" s="60">
        <f>0.81*C13*0.2</f>
        <v>174.31200000000001</v>
      </c>
      <c r="C56" s="61" t="s">
        <v>102</v>
      </c>
      <c r="D56" s="62">
        <v>2</v>
      </c>
      <c r="E56" s="64">
        <v>0.5</v>
      </c>
      <c r="F56" s="64">
        <v>5.5</v>
      </c>
      <c r="G56" s="64">
        <v>1</v>
      </c>
      <c r="H56" s="63">
        <f>+($B$4*D56)+($C$4*E56)+($E$4*F56)+($F$4*G56)</f>
        <v>675.98</v>
      </c>
      <c r="I56" s="63">
        <v>0</v>
      </c>
      <c r="J56" s="63">
        <v>3.2</v>
      </c>
      <c r="K56" s="60">
        <f>(D56+E56+F56+G56)*(B56)</f>
        <v>1568.808</v>
      </c>
      <c r="L56" s="65">
        <f>(H56+I56+J56)*(B56)</f>
        <v>118389.22416000001</v>
      </c>
      <c r="M56" s="8">
        <f>+$C$16</f>
        <v>538</v>
      </c>
      <c r="N56" s="8">
        <f>+$D$16</f>
        <v>2</v>
      </c>
      <c r="O56" s="19">
        <f>(((B56)/(M56+N56))*(D56+E56+F56+G56))</f>
        <v>2.9052000000000002</v>
      </c>
      <c r="P56" s="17">
        <v>1</v>
      </c>
      <c r="Q56" s="8"/>
      <c r="R56" s="8"/>
      <c r="S56" s="26">
        <f>+I56*(B56)</f>
        <v>0</v>
      </c>
      <c r="T56" s="26">
        <f>+J56*(B56)</f>
        <v>557.79840000000002</v>
      </c>
    </row>
    <row r="57" spans="1:20" x14ac:dyDescent="0.2">
      <c r="A57" s="54" t="s">
        <v>403</v>
      </c>
      <c r="B57" s="31"/>
      <c r="C57" s="3"/>
      <c r="D57" s="32"/>
      <c r="E57" s="55"/>
      <c r="F57" s="55"/>
      <c r="G57" s="55"/>
      <c r="H57" s="55"/>
      <c r="I57" s="55"/>
      <c r="J57" s="55"/>
      <c r="K57" s="31"/>
      <c r="L57" s="58"/>
      <c r="M57" s="8"/>
      <c r="N57" s="8"/>
      <c r="O57" s="19"/>
      <c r="P57" s="17"/>
      <c r="Q57" s="8"/>
      <c r="R57" s="8"/>
      <c r="S57" s="8"/>
      <c r="T57" s="8"/>
    </row>
    <row r="58" spans="1:20" x14ac:dyDescent="0.2">
      <c r="A58" s="59" t="s">
        <v>404</v>
      </c>
      <c r="B58" s="60">
        <f>0.1*B56</f>
        <v>17.4312</v>
      </c>
      <c r="C58" s="61" t="s">
        <v>102</v>
      </c>
      <c r="D58" s="62">
        <v>1</v>
      </c>
      <c r="E58" s="64">
        <v>0.5</v>
      </c>
      <c r="F58" s="64">
        <v>1.25</v>
      </c>
      <c r="G58" s="64">
        <v>0.25</v>
      </c>
      <c r="H58" s="63">
        <f>+($B$4*D58)+($C$4*E58)+($E$4*F58)+($F$4*G58)</f>
        <v>259.42750000000001</v>
      </c>
      <c r="I58" s="63">
        <v>0</v>
      </c>
      <c r="J58" s="63">
        <v>3.2</v>
      </c>
      <c r="K58" s="60">
        <f>(D58+E58+F58+G58)*(B58)</f>
        <v>52.293599999999998</v>
      </c>
      <c r="L58" s="65">
        <f>(H58+I58+J58)*(B58)</f>
        <v>4577.9124780000002</v>
      </c>
      <c r="M58" s="8">
        <f>+$C$16</f>
        <v>538</v>
      </c>
      <c r="N58" s="8">
        <f>+$D$16</f>
        <v>2</v>
      </c>
      <c r="O58" s="19">
        <f>(((B58)/(M58+N58))*(D58+E58+F58+G58))</f>
        <v>9.6840000000000009E-2</v>
      </c>
      <c r="P58" s="17">
        <v>1</v>
      </c>
      <c r="Q58" s="8"/>
      <c r="R58" s="8"/>
      <c r="S58" s="26">
        <f>+I58*(B58)</f>
        <v>0</v>
      </c>
      <c r="T58" s="26">
        <f>+J58*(B58)</f>
        <v>55.779840000000007</v>
      </c>
    </row>
    <row r="59" spans="1:20" ht="1.05" customHeight="1" x14ac:dyDescent="0.2">
      <c r="A59" s="116"/>
      <c r="B59" s="98"/>
      <c r="C59" s="108"/>
      <c r="D59" s="99"/>
      <c r="E59" s="97"/>
      <c r="F59" s="97"/>
      <c r="G59" s="97"/>
      <c r="H59" s="97"/>
      <c r="I59" s="97"/>
      <c r="J59" s="97"/>
      <c r="K59" s="98"/>
      <c r="L59" s="119"/>
      <c r="M59" s="8"/>
      <c r="N59" s="8"/>
      <c r="O59" s="19"/>
      <c r="P59" s="17"/>
      <c r="Q59" s="8"/>
      <c r="R59" s="8"/>
      <c r="S59" s="8"/>
      <c r="T59" s="8"/>
    </row>
    <row r="60" spans="1:20" x14ac:dyDescent="0.2">
      <c r="A60" s="114" t="s">
        <v>64</v>
      </c>
      <c r="B60" s="101" t="s">
        <v>101</v>
      </c>
      <c r="C60" s="101" t="s">
        <v>102</v>
      </c>
      <c r="D60" s="53" t="s">
        <v>101</v>
      </c>
      <c r="E60" s="101" t="s">
        <v>101</v>
      </c>
      <c r="F60" s="101" t="s">
        <v>101</v>
      </c>
      <c r="G60" s="101" t="s">
        <v>101</v>
      </c>
      <c r="H60" s="101" t="s">
        <v>101</v>
      </c>
      <c r="I60" s="101" t="s">
        <v>101</v>
      </c>
      <c r="J60" s="101" t="s">
        <v>101</v>
      </c>
      <c r="K60" s="94">
        <f>SUM(K56:K58)</f>
        <v>1621.1016</v>
      </c>
      <c r="L60" s="115">
        <f>SUM(L56:L58)</f>
        <v>122967.13663800001</v>
      </c>
      <c r="M60" s="8"/>
      <c r="N60" s="8"/>
      <c r="O60" s="19"/>
      <c r="P60" s="17"/>
      <c r="Q60" s="8"/>
      <c r="R60" s="8"/>
      <c r="S60" s="8"/>
      <c r="T60" s="8"/>
    </row>
    <row r="61" spans="1:20" ht="1.05" customHeight="1" x14ac:dyDescent="0.2">
      <c r="A61" s="116"/>
      <c r="B61" s="98"/>
      <c r="C61" s="98"/>
      <c r="D61" s="99"/>
      <c r="E61" s="97"/>
      <c r="F61" s="97"/>
      <c r="G61" s="97"/>
      <c r="H61" s="97"/>
      <c r="I61" s="97"/>
      <c r="J61" s="97"/>
      <c r="K61" s="98"/>
      <c r="L61" s="119"/>
      <c r="M61" s="8"/>
      <c r="N61" s="8"/>
      <c r="O61" s="19"/>
      <c r="P61" s="17"/>
      <c r="Q61" s="8"/>
      <c r="R61" s="8"/>
      <c r="S61" s="8"/>
      <c r="T61" s="8"/>
    </row>
    <row r="62" spans="1:20" x14ac:dyDescent="0.2">
      <c r="A62" s="335" t="s">
        <v>405</v>
      </c>
      <c r="B62" s="336"/>
      <c r="C62" s="336"/>
      <c r="D62" s="337"/>
      <c r="E62" s="338"/>
      <c r="F62" s="338"/>
      <c r="G62" s="338"/>
      <c r="H62" s="338"/>
      <c r="I62" s="339"/>
      <c r="J62" s="339"/>
      <c r="K62" s="338"/>
      <c r="L62" s="340"/>
      <c r="M62" s="8"/>
      <c r="N62" s="8"/>
      <c r="O62" s="19"/>
      <c r="P62" s="17"/>
      <c r="Q62" s="8"/>
      <c r="R62" s="8"/>
      <c r="S62" s="8"/>
      <c r="T62" s="8"/>
    </row>
    <row r="63" spans="1:20" x14ac:dyDescent="0.2">
      <c r="A63" s="114" t="s">
        <v>226</v>
      </c>
      <c r="B63" s="94">
        <f>C16</f>
        <v>538</v>
      </c>
      <c r="C63" s="94">
        <f>D16</f>
        <v>2</v>
      </c>
      <c r="D63" s="95">
        <v>0</v>
      </c>
      <c r="E63" s="104">
        <v>0</v>
      </c>
      <c r="F63" s="104">
        <v>0.5</v>
      </c>
      <c r="G63" s="104">
        <v>0</v>
      </c>
      <c r="H63" s="96">
        <f>+($B$4*D63)+($C$4*E63)+($E$4*F63)+($F$4*G63)</f>
        <v>29.875</v>
      </c>
      <c r="I63" s="96">
        <v>0</v>
      </c>
      <c r="J63" s="96">
        <v>0</v>
      </c>
      <c r="K63" s="94">
        <f>(D63+E63+F63+G63)*(B63+C63)</f>
        <v>270</v>
      </c>
      <c r="L63" s="115">
        <f>(H63+I63+J63)*(C63+B63)</f>
        <v>16132.5</v>
      </c>
      <c r="M63" s="8">
        <f>+$C$16</f>
        <v>538</v>
      </c>
      <c r="N63" s="8">
        <f>+$D$16</f>
        <v>2</v>
      </c>
      <c r="O63" s="19">
        <f>(((B63+C63)/(M63+N63))*(D63+E63+F63+G63))</f>
        <v>0.5</v>
      </c>
      <c r="P63" s="17">
        <v>1</v>
      </c>
      <c r="Q63" s="17"/>
      <c r="R63" s="8"/>
      <c r="S63" s="26">
        <f>+I63*(B63+C63)</f>
        <v>0</v>
      </c>
      <c r="T63" s="26">
        <f>+J63*(B63+C63)</f>
        <v>0</v>
      </c>
    </row>
    <row r="64" spans="1:20" x14ac:dyDescent="0.2">
      <c r="A64" s="54" t="s">
        <v>227</v>
      </c>
      <c r="B64" s="31"/>
      <c r="C64" s="31"/>
      <c r="D64" s="32"/>
      <c r="E64" s="55"/>
      <c r="F64" s="55"/>
      <c r="G64" s="55"/>
      <c r="H64" s="55"/>
      <c r="I64" s="55"/>
      <c r="J64" s="55"/>
      <c r="K64" s="31"/>
      <c r="L64" s="58"/>
      <c r="M64" s="8"/>
      <c r="N64" s="8"/>
      <c r="O64" s="19"/>
      <c r="P64" s="17"/>
      <c r="Q64" s="8"/>
      <c r="R64" s="8"/>
      <c r="S64" s="8"/>
      <c r="T64" s="8"/>
    </row>
    <row r="65" spans="1:20" x14ac:dyDescent="0.2">
      <c r="A65" s="59" t="s">
        <v>228</v>
      </c>
      <c r="B65" s="60">
        <v>0</v>
      </c>
      <c r="C65" s="60">
        <f>ROUND((0.05*(D16+D17)),0)+ROUND((0.2*D29),0)</f>
        <v>0</v>
      </c>
      <c r="D65" s="62">
        <v>0</v>
      </c>
      <c r="E65" s="64">
        <v>0.5</v>
      </c>
      <c r="F65" s="64">
        <v>6.5</v>
      </c>
      <c r="G65" s="64">
        <v>0.5</v>
      </c>
      <c r="H65" s="63">
        <f>+($B$4*D65)+($C$4*E65)+($E$4*F65)+($F$4*G65)</f>
        <v>446.44000000000005</v>
      </c>
      <c r="I65" s="63">
        <v>0</v>
      </c>
      <c r="J65" s="63">
        <v>0</v>
      </c>
      <c r="K65" s="60">
        <f>(D65+E65+F65+G65)*(B65+C65)</f>
        <v>0</v>
      </c>
      <c r="L65" s="65">
        <f>(H65+I65+J65)*(C65+B65)</f>
        <v>0</v>
      </c>
      <c r="M65" s="8">
        <f>+$C$16</f>
        <v>538</v>
      </c>
      <c r="N65" s="8">
        <f>+$D$16</f>
        <v>2</v>
      </c>
      <c r="O65" s="19">
        <f>(((B65+C65)/(M65+N65))*(D65+E65+F65+G65))</f>
        <v>0</v>
      </c>
      <c r="P65" s="17">
        <v>1</v>
      </c>
      <c r="Q65" s="8"/>
      <c r="R65" s="8"/>
      <c r="S65" s="26">
        <f>+I65*(B65+C65)</f>
        <v>0</v>
      </c>
      <c r="T65" s="26">
        <f>+J65*(B65+C65)</f>
        <v>0</v>
      </c>
    </row>
    <row r="66" spans="1:20" ht="1.05" customHeight="1" x14ac:dyDescent="0.2">
      <c r="A66" s="116"/>
      <c r="B66" s="98"/>
      <c r="C66" s="98"/>
      <c r="D66" s="99"/>
      <c r="E66" s="97"/>
      <c r="F66" s="97"/>
      <c r="G66" s="97"/>
      <c r="H66" s="97"/>
      <c r="I66" s="97"/>
      <c r="J66" s="97"/>
      <c r="K66" s="98"/>
      <c r="L66" s="119"/>
      <c r="M66" s="8"/>
      <c r="N66" s="8"/>
      <c r="O66" s="19"/>
      <c r="P66" s="17"/>
      <c r="Q66" s="8"/>
      <c r="R66" s="8"/>
      <c r="S66" s="8"/>
      <c r="T66" s="8"/>
    </row>
    <row r="67" spans="1:20" x14ac:dyDescent="0.2">
      <c r="A67" s="114" t="s">
        <v>64</v>
      </c>
      <c r="B67" s="101" t="s">
        <v>101</v>
      </c>
      <c r="C67" s="101" t="s">
        <v>101</v>
      </c>
      <c r="D67" s="107" t="s">
        <v>101</v>
      </c>
      <c r="E67" s="101" t="s">
        <v>101</v>
      </c>
      <c r="F67" s="101" t="s">
        <v>101</v>
      </c>
      <c r="G67" s="101" t="s">
        <v>101</v>
      </c>
      <c r="H67" s="101" t="s">
        <v>101</v>
      </c>
      <c r="I67" s="101" t="s">
        <v>101</v>
      </c>
      <c r="J67" s="101" t="s">
        <v>101</v>
      </c>
      <c r="K67" s="94">
        <f>SUM(K63:K65)</f>
        <v>270</v>
      </c>
      <c r="L67" s="115">
        <f>SUM(L63:L65)</f>
        <v>16132.5</v>
      </c>
      <c r="M67" s="8"/>
      <c r="N67" s="8"/>
      <c r="O67" s="19"/>
      <c r="P67" s="17"/>
      <c r="Q67" s="8"/>
      <c r="R67" s="8"/>
      <c r="S67" s="8"/>
      <c r="T67" s="8"/>
    </row>
    <row r="68" spans="1:20" ht="1.05" customHeight="1" x14ac:dyDescent="0.2">
      <c r="A68" s="116"/>
      <c r="B68" s="98"/>
      <c r="C68" s="98"/>
      <c r="D68" s="99"/>
      <c r="E68" s="97"/>
      <c r="F68" s="97"/>
      <c r="G68" s="97"/>
      <c r="H68" s="97"/>
      <c r="I68" s="97"/>
      <c r="J68" s="97"/>
      <c r="K68" s="98"/>
      <c r="L68" s="119"/>
      <c r="M68" s="8"/>
      <c r="N68" s="8"/>
      <c r="O68" s="19"/>
      <c r="P68" s="17"/>
      <c r="Q68" s="8"/>
      <c r="R68" s="8"/>
      <c r="S68" s="8"/>
      <c r="T68" s="8"/>
    </row>
    <row r="69" spans="1:20" x14ac:dyDescent="0.2">
      <c r="A69" s="335" t="s">
        <v>406</v>
      </c>
      <c r="B69" s="336"/>
      <c r="C69" s="336"/>
      <c r="D69" s="337"/>
      <c r="E69" s="338"/>
      <c r="F69" s="338"/>
      <c r="G69" s="338"/>
      <c r="H69" s="338"/>
      <c r="I69" s="339"/>
      <c r="J69" s="339"/>
      <c r="K69" s="338"/>
      <c r="L69" s="340"/>
      <c r="M69" s="8"/>
      <c r="N69" s="8"/>
      <c r="O69" s="19"/>
      <c r="P69" s="17"/>
      <c r="Q69" s="8"/>
      <c r="R69" s="8"/>
      <c r="S69" s="8"/>
      <c r="T69" s="8"/>
    </row>
    <row r="70" spans="1:20" x14ac:dyDescent="0.2">
      <c r="A70" s="114" t="s">
        <v>229</v>
      </c>
      <c r="B70" s="94">
        <v>0</v>
      </c>
      <c r="C70" s="94">
        <v>0</v>
      </c>
      <c r="D70" s="95">
        <v>4</v>
      </c>
      <c r="E70" s="104">
        <v>1.5</v>
      </c>
      <c r="F70" s="104">
        <v>2</v>
      </c>
      <c r="G70" s="104">
        <v>0.5</v>
      </c>
      <c r="H70" s="96">
        <f>+($B$4*D70)+($C$4*E70)+($E$4*F70)+($F$4*G70)</f>
        <v>800.39499999999998</v>
      </c>
      <c r="I70" s="96">
        <v>0</v>
      </c>
      <c r="J70" s="96">
        <v>0</v>
      </c>
      <c r="K70" s="94">
        <f>(D70+E70+F70+G70)*(B70+C70)</f>
        <v>0</v>
      </c>
      <c r="L70" s="115">
        <f>(H70+I70+J70)*(C70+B70)</f>
        <v>0</v>
      </c>
      <c r="M70" s="8">
        <v>0</v>
      </c>
      <c r="N70" s="8">
        <f>+$D$16</f>
        <v>2</v>
      </c>
      <c r="O70" s="19">
        <f>(((B70+C70)/(M70+N70))*(D70+E70+F70+G70))</f>
        <v>0</v>
      </c>
      <c r="P70" s="17">
        <v>1</v>
      </c>
      <c r="Q70" s="8"/>
      <c r="R70" s="8"/>
      <c r="S70" s="26">
        <f>+I70*(B70+C70)</f>
        <v>0</v>
      </c>
      <c r="T70" s="26">
        <f>+J70*(B70+C70)</f>
        <v>0</v>
      </c>
    </row>
    <row r="71" spans="1:20" x14ac:dyDescent="0.2">
      <c r="A71" s="54" t="s">
        <v>230</v>
      </c>
      <c r="B71" s="31"/>
      <c r="C71" s="31"/>
      <c r="D71" s="32"/>
      <c r="E71" s="55"/>
      <c r="F71" s="55"/>
      <c r="G71" s="55"/>
      <c r="H71" s="55"/>
      <c r="I71" s="55"/>
      <c r="J71" s="55"/>
      <c r="K71" s="31"/>
      <c r="L71" s="58"/>
      <c r="M71" s="8"/>
      <c r="N71" s="8"/>
      <c r="O71" s="19"/>
      <c r="P71" s="17"/>
      <c r="Q71" s="8"/>
      <c r="R71" s="8"/>
      <c r="S71" s="8"/>
      <c r="T71" s="8"/>
    </row>
    <row r="72" spans="1:20" x14ac:dyDescent="0.2">
      <c r="A72" s="59" t="s">
        <v>231</v>
      </c>
      <c r="B72" s="60">
        <v>0</v>
      </c>
      <c r="C72" s="60">
        <v>0</v>
      </c>
      <c r="D72" s="62">
        <v>0</v>
      </c>
      <c r="E72" s="64">
        <v>0</v>
      </c>
      <c r="F72" s="64">
        <v>0</v>
      </c>
      <c r="G72" s="64">
        <v>0.5</v>
      </c>
      <c r="H72" s="63">
        <f>+($B$4*D72)+($C$4*E72)+($E$4*F72)+($F$4*G72)</f>
        <v>17.97</v>
      </c>
      <c r="I72" s="63">
        <v>0</v>
      </c>
      <c r="J72" s="63">
        <v>3.2</v>
      </c>
      <c r="K72" s="60">
        <f>(D72+E72+F72+G72)*(B72+C72)</f>
        <v>0</v>
      </c>
      <c r="L72" s="65">
        <f>(H72+I72+J72)*(C72+B72)</f>
        <v>0</v>
      </c>
      <c r="M72" s="8">
        <v>0</v>
      </c>
      <c r="N72" s="8">
        <f>+$D$16</f>
        <v>2</v>
      </c>
      <c r="O72" s="19">
        <f>(((B72+C72)/(M72+N72))*(D72+E72+F72+G72))</f>
        <v>0</v>
      </c>
      <c r="P72" s="17">
        <v>1</v>
      </c>
      <c r="Q72" s="8"/>
      <c r="R72" s="8"/>
      <c r="S72" s="26">
        <f>+I72*(B72+C72)</f>
        <v>0</v>
      </c>
      <c r="T72" s="26">
        <f>+J72*(B72+C72)</f>
        <v>0</v>
      </c>
    </row>
    <row r="73" spans="1:20" x14ac:dyDescent="0.2">
      <c r="A73" s="54" t="s">
        <v>232</v>
      </c>
      <c r="B73" s="31"/>
      <c r="C73" s="31"/>
      <c r="D73" s="32"/>
      <c r="E73" s="55"/>
      <c r="F73" s="55"/>
      <c r="G73" s="55"/>
      <c r="H73" s="55"/>
      <c r="I73" s="55"/>
      <c r="J73" s="55"/>
      <c r="K73" s="31"/>
      <c r="L73" s="58"/>
      <c r="M73" s="8"/>
      <c r="N73" s="8"/>
      <c r="O73" s="19"/>
      <c r="P73" s="17"/>
      <c r="Q73" s="8"/>
      <c r="R73" s="8"/>
      <c r="S73" s="8"/>
      <c r="T73" s="8"/>
    </row>
    <row r="74" spans="1:20" x14ac:dyDescent="0.2">
      <c r="A74" s="59" t="s">
        <v>409</v>
      </c>
      <c r="B74" s="60">
        <v>0</v>
      </c>
      <c r="C74" s="60">
        <v>0</v>
      </c>
      <c r="D74" s="62">
        <v>0</v>
      </c>
      <c r="E74" s="64">
        <v>0</v>
      </c>
      <c r="F74" s="64">
        <v>0</v>
      </c>
      <c r="G74" s="64">
        <v>1</v>
      </c>
      <c r="H74" s="63">
        <f>+($B$4*D74)+($C$4*E74)+($E$4*F74)+($F$4*G74)</f>
        <v>35.94</v>
      </c>
      <c r="I74" s="63">
        <v>0</v>
      </c>
      <c r="J74" s="63">
        <v>0.73</v>
      </c>
      <c r="K74" s="60">
        <f>(D74+E74+F74+G74)*(B74+C74)</f>
        <v>0</v>
      </c>
      <c r="L74" s="65">
        <f>(H74+I74+J74)*(C74+B74)</f>
        <v>0</v>
      </c>
      <c r="M74" s="8">
        <v>0</v>
      </c>
      <c r="N74" s="8">
        <f>+$D$16</f>
        <v>2</v>
      </c>
      <c r="O74" s="19">
        <f>(((B74+C74)/(M74+N74))*(D74+E74+F74+G74))</f>
        <v>0</v>
      </c>
      <c r="P74" s="17">
        <v>1</v>
      </c>
      <c r="Q74" s="8"/>
      <c r="R74" s="8"/>
      <c r="S74" s="26">
        <f>+I74*(B74+C74)</f>
        <v>0</v>
      </c>
      <c r="T74" s="26">
        <f>+J74*(B74+C74)</f>
        <v>0</v>
      </c>
    </row>
    <row r="75" spans="1:20" x14ac:dyDescent="0.2">
      <c r="A75" s="54" t="s">
        <v>233</v>
      </c>
      <c r="B75" s="31"/>
      <c r="C75" s="31"/>
      <c r="D75" s="32"/>
      <c r="E75" s="55"/>
      <c r="F75" s="55"/>
      <c r="G75" s="55"/>
      <c r="H75" s="55"/>
      <c r="I75" s="55"/>
      <c r="J75" s="55"/>
      <c r="K75" s="31"/>
      <c r="L75" s="58"/>
      <c r="M75" s="8"/>
      <c r="N75" s="8"/>
      <c r="O75" s="19"/>
      <c r="P75" s="17"/>
      <c r="Q75" s="8"/>
      <c r="R75" s="8"/>
      <c r="S75" s="8"/>
      <c r="T75" s="8"/>
    </row>
    <row r="76" spans="1:20" x14ac:dyDescent="0.2">
      <c r="A76" s="59" t="s">
        <v>234</v>
      </c>
      <c r="B76" s="60">
        <v>0</v>
      </c>
      <c r="C76" s="60">
        <v>0</v>
      </c>
      <c r="D76" s="62">
        <v>0</v>
      </c>
      <c r="E76" s="64">
        <v>0</v>
      </c>
      <c r="F76" s="64">
        <v>0</v>
      </c>
      <c r="G76" s="64">
        <v>1</v>
      </c>
      <c r="H76" s="63">
        <f>+($B$4*D76)+($C$4*E76)+($E$4*F76)+($F$4*G76)</f>
        <v>35.94</v>
      </c>
      <c r="I76" s="63">
        <v>0</v>
      </c>
      <c r="J76" s="63">
        <v>0.73</v>
      </c>
      <c r="K76" s="60">
        <f>(D76+E76+F76+G76)*(B76+C76)</f>
        <v>0</v>
      </c>
      <c r="L76" s="65">
        <f>(H76+I76+J76)*(C76+B76)</f>
        <v>0</v>
      </c>
      <c r="M76" s="8">
        <v>0</v>
      </c>
      <c r="N76" s="8">
        <f>+$D$16</f>
        <v>2</v>
      </c>
      <c r="O76" s="19">
        <f>(((B76+C76)/(M76+N76))*(D76+E76+F76+G76))</f>
        <v>0</v>
      </c>
      <c r="P76" s="17">
        <v>1</v>
      </c>
      <c r="Q76" s="8"/>
      <c r="R76" s="8"/>
      <c r="S76" s="26">
        <f>+I76*(B76+C76)</f>
        <v>0</v>
      </c>
      <c r="T76" s="26">
        <f>+J76*(B76+C76)</f>
        <v>0</v>
      </c>
    </row>
    <row r="77" spans="1:20" x14ac:dyDescent="0.2">
      <c r="A77" s="54" t="s">
        <v>235</v>
      </c>
      <c r="B77" s="31"/>
      <c r="C77" s="31"/>
      <c r="D77" s="32"/>
      <c r="E77" s="55"/>
      <c r="F77" s="55"/>
      <c r="G77" s="55"/>
      <c r="H77" s="55"/>
      <c r="I77" s="55"/>
      <c r="J77" s="55"/>
      <c r="K77" s="31"/>
      <c r="L77" s="58"/>
      <c r="M77" s="8"/>
      <c r="N77" s="8"/>
      <c r="O77" s="19"/>
      <c r="P77" s="17"/>
      <c r="Q77" s="8"/>
      <c r="R77" s="8"/>
      <c r="S77" s="8"/>
      <c r="T77" s="8"/>
    </row>
    <row r="78" spans="1:20" x14ac:dyDescent="0.2">
      <c r="A78" s="59" t="s">
        <v>236</v>
      </c>
      <c r="B78" s="60">
        <f>$C$13*0.02*0.5*0.25</f>
        <v>2.69</v>
      </c>
      <c r="C78" s="60">
        <f>$D$13*0.02*0.5*0.25</f>
        <v>0.01</v>
      </c>
      <c r="D78" s="62">
        <v>2</v>
      </c>
      <c r="E78" s="64">
        <v>1</v>
      </c>
      <c r="F78" s="64">
        <v>0.75</v>
      </c>
      <c r="G78" s="64">
        <v>0.25</v>
      </c>
      <c r="H78" s="63">
        <f>+($B$4*D78)+($C$4*E78)+($E$4*F78)+($F$4*G78)</f>
        <v>405.3075</v>
      </c>
      <c r="I78" s="63">
        <v>0</v>
      </c>
      <c r="J78" s="63">
        <v>0</v>
      </c>
      <c r="K78" s="60">
        <f>(D78+E78+F78+G78)*(B78+C78)</f>
        <v>10.799999999999999</v>
      </c>
      <c r="L78" s="65">
        <f>(H78+I78+J78)*(C78+B78)</f>
        <v>1094.33025</v>
      </c>
      <c r="M78" s="8">
        <f>+$C$16</f>
        <v>538</v>
      </c>
      <c r="N78" s="8">
        <f>+$D$16</f>
        <v>2</v>
      </c>
      <c r="O78" s="19">
        <f>(((B78+C78)/(M78+N78))*(D78+E78+F78+G78))</f>
        <v>1.9999999999999997E-2</v>
      </c>
      <c r="P78" s="17">
        <v>1</v>
      </c>
      <c r="Q78" s="8"/>
      <c r="R78" s="8"/>
      <c r="S78" s="26">
        <f>+I78*(B78+C78)</f>
        <v>0</v>
      </c>
      <c r="T78" s="26">
        <f>+J78*(B78+C78)</f>
        <v>0</v>
      </c>
    </row>
    <row r="79" spans="1:20" ht="1.05" customHeight="1" x14ac:dyDescent="0.2">
      <c r="A79" s="116"/>
      <c r="B79" s="98"/>
      <c r="C79" s="98"/>
      <c r="D79" s="99"/>
      <c r="E79" s="97"/>
      <c r="F79" s="97"/>
      <c r="G79" s="97"/>
      <c r="H79" s="97"/>
      <c r="I79" s="97"/>
      <c r="J79" s="97"/>
      <c r="K79" s="98"/>
      <c r="L79" s="119"/>
      <c r="M79" s="8"/>
      <c r="N79" s="8"/>
      <c r="O79" s="19"/>
      <c r="P79" s="17"/>
      <c r="Q79" s="8"/>
      <c r="R79" s="8"/>
      <c r="S79" s="8"/>
      <c r="T79" s="8"/>
    </row>
    <row r="80" spans="1:20" x14ac:dyDescent="0.2">
      <c r="A80" s="114" t="s">
        <v>64</v>
      </c>
      <c r="B80" s="101" t="s">
        <v>101</v>
      </c>
      <c r="C80" s="101" t="s">
        <v>101</v>
      </c>
      <c r="D80" s="101" t="s">
        <v>101</v>
      </c>
      <c r="E80" s="101" t="s">
        <v>101</v>
      </c>
      <c r="F80" s="101" t="s">
        <v>101</v>
      </c>
      <c r="G80" s="101" t="s">
        <v>101</v>
      </c>
      <c r="H80" s="101" t="s">
        <v>101</v>
      </c>
      <c r="I80" s="101" t="s">
        <v>101</v>
      </c>
      <c r="J80" s="101" t="s">
        <v>101</v>
      </c>
      <c r="K80" s="94">
        <f>SUM(K69:K79)</f>
        <v>10.799999999999999</v>
      </c>
      <c r="L80" s="115">
        <f>SUM(L70:L79)</f>
        <v>1094.33025</v>
      </c>
      <c r="M80" s="8"/>
      <c r="N80" s="8"/>
      <c r="O80" s="19"/>
      <c r="P80" s="17"/>
      <c r="Q80" s="8"/>
      <c r="R80" s="8"/>
      <c r="S80" s="8"/>
      <c r="T80" s="8"/>
    </row>
    <row r="81" spans="1:20" ht="1.05" customHeight="1" x14ac:dyDescent="0.2">
      <c r="A81" s="116"/>
      <c r="B81" s="98"/>
      <c r="C81" s="98"/>
      <c r="D81" s="99"/>
      <c r="E81" s="97"/>
      <c r="F81" s="97"/>
      <c r="G81" s="97"/>
      <c r="H81" s="97"/>
      <c r="I81" s="97"/>
      <c r="J81" s="97"/>
      <c r="K81" s="98"/>
      <c r="L81" s="119"/>
      <c r="M81" s="8"/>
      <c r="N81" s="8"/>
      <c r="O81" s="19"/>
      <c r="P81" s="17"/>
      <c r="Q81" s="8"/>
      <c r="R81" s="8"/>
      <c r="S81" s="8"/>
      <c r="T81" s="8"/>
    </row>
    <row r="82" spans="1:20" x14ac:dyDescent="0.2">
      <c r="A82" s="335" t="s">
        <v>410</v>
      </c>
      <c r="B82" s="336"/>
      <c r="C82" s="336"/>
      <c r="D82" s="337"/>
      <c r="E82" s="338"/>
      <c r="F82" s="338"/>
      <c r="G82" s="338"/>
      <c r="H82" s="338"/>
      <c r="I82" s="339"/>
      <c r="J82" s="339"/>
      <c r="K82" s="338"/>
      <c r="L82" s="340"/>
      <c r="M82" s="8"/>
      <c r="N82" s="8"/>
      <c r="O82" s="19"/>
      <c r="P82" s="17"/>
      <c r="Q82" s="8"/>
      <c r="R82" s="8"/>
      <c r="S82" s="8"/>
      <c r="T82" s="8"/>
    </row>
    <row r="83" spans="1:20" x14ac:dyDescent="0.2">
      <c r="A83" s="114" t="s">
        <v>237</v>
      </c>
      <c r="B83" s="94">
        <v>0</v>
      </c>
      <c r="C83" s="94">
        <v>0</v>
      </c>
      <c r="D83" s="95">
        <v>4</v>
      </c>
      <c r="E83" s="104">
        <v>1.5</v>
      </c>
      <c r="F83" s="104">
        <v>2</v>
      </c>
      <c r="G83" s="104">
        <v>0.5</v>
      </c>
      <c r="H83" s="96">
        <f>+($B$4*D83)+($C$4*E83)+($E$4*F83)+($F$4*G83)</f>
        <v>800.39499999999998</v>
      </c>
      <c r="I83" s="96">
        <v>0</v>
      </c>
      <c r="J83" s="96">
        <v>0</v>
      </c>
      <c r="K83" s="94">
        <f>(D83+E83+F83+G83)*(B83+C83)</f>
        <v>0</v>
      </c>
      <c r="L83" s="115">
        <f>(H83+I83+J83)*(C83+B83)</f>
        <v>0</v>
      </c>
      <c r="M83" s="8"/>
      <c r="N83" s="8"/>
      <c r="O83" s="19"/>
      <c r="P83" s="17"/>
      <c r="Q83" s="8"/>
      <c r="R83" s="8"/>
      <c r="S83" s="8"/>
      <c r="T83" s="8"/>
    </row>
    <row r="84" spans="1:20" x14ac:dyDescent="0.2">
      <c r="A84" s="54" t="s">
        <v>238</v>
      </c>
      <c r="B84" s="31"/>
      <c r="C84" s="31"/>
      <c r="D84" s="32"/>
      <c r="E84" s="55"/>
      <c r="F84" s="55"/>
      <c r="G84" s="55"/>
      <c r="H84" s="55"/>
      <c r="I84" s="55"/>
      <c r="J84" s="55"/>
      <c r="K84" s="31"/>
      <c r="L84" s="58"/>
      <c r="M84" s="8"/>
      <c r="N84" s="8"/>
      <c r="O84" s="19"/>
      <c r="P84" s="17"/>
      <c r="Q84" s="8"/>
      <c r="R84" s="8"/>
      <c r="S84" s="8"/>
      <c r="T84" s="8"/>
    </row>
    <row r="85" spans="1:20" x14ac:dyDescent="0.2">
      <c r="A85" s="59" t="s">
        <v>239</v>
      </c>
      <c r="B85" s="60">
        <v>0</v>
      </c>
      <c r="C85" s="60">
        <v>0</v>
      </c>
      <c r="D85" s="62">
        <v>0</v>
      </c>
      <c r="E85" s="64">
        <v>0</v>
      </c>
      <c r="F85" s="64">
        <v>0</v>
      </c>
      <c r="G85" s="64">
        <v>0.5</v>
      </c>
      <c r="H85" s="63">
        <f>+($B$4*D85)+($C$4*E85)+($E$4*F85)+($F$4*G85)</f>
        <v>17.97</v>
      </c>
      <c r="I85" s="63">
        <v>0</v>
      </c>
      <c r="J85" s="63">
        <v>9.85</v>
      </c>
      <c r="K85" s="60">
        <f>(D85+E85+F85+G85)*(B85+C85)</f>
        <v>0</v>
      </c>
      <c r="L85" s="65">
        <f>(H85+I85+J85)*(C85+B85)</f>
        <v>0</v>
      </c>
      <c r="M85" s="8"/>
      <c r="N85" s="8"/>
      <c r="O85" s="19"/>
      <c r="P85" s="17"/>
      <c r="Q85" s="8"/>
      <c r="R85" s="8"/>
      <c r="S85" s="8"/>
      <c r="T85" s="8"/>
    </row>
    <row r="86" spans="1:20" x14ac:dyDescent="0.2">
      <c r="A86" s="54" t="s">
        <v>240</v>
      </c>
      <c r="B86" s="31"/>
      <c r="C86" s="31"/>
      <c r="D86" s="32"/>
      <c r="E86" s="55"/>
      <c r="F86" s="55"/>
      <c r="G86" s="55"/>
      <c r="H86" s="55"/>
      <c r="I86" s="55"/>
      <c r="J86" s="55"/>
      <c r="K86" s="31"/>
      <c r="L86" s="58"/>
      <c r="M86" s="8"/>
      <c r="N86" s="8"/>
      <c r="O86" s="19"/>
      <c r="P86" s="17"/>
      <c r="Q86" s="8"/>
      <c r="R86" s="8"/>
      <c r="S86" s="8"/>
      <c r="T86" s="8"/>
    </row>
    <row r="87" spans="1:20" x14ac:dyDescent="0.2">
      <c r="A87" s="59" t="s">
        <v>241</v>
      </c>
      <c r="B87" s="60">
        <v>0</v>
      </c>
      <c r="C87" s="60">
        <v>0</v>
      </c>
      <c r="D87" s="62">
        <v>0</v>
      </c>
      <c r="E87" s="64">
        <v>0</v>
      </c>
      <c r="F87" s="64">
        <v>0</v>
      </c>
      <c r="G87" s="64">
        <v>1</v>
      </c>
      <c r="H87" s="63">
        <f>+($B$4*D87)+($C$4*E87)+($E$4*F87)+($F$4*G87)</f>
        <v>35.94</v>
      </c>
      <c r="I87" s="63">
        <v>0</v>
      </c>
      <c r="J87" s="63">
        <v>9.85</v>
      </c>
      <c r="K87" s="60">
        <f>(D87+E87+F87+G87)*(B87+C87)</f>
        <v>0</v>
      </c>
      <c r="L87" s="65">
        <f>(H87+I87+J87)*(C87+B87)</f>
        <v>0</v>
      </c>
      <c r="M87" s="8"/>
      <c r="N87" s="8"/>
      <c r="O87" s="19"/>
      <c r="P87" s="17"/>
      <c r="Q87" s="8"/>
      <c r="R87" s="8"/>
      <c r="S87" s="8"/>
      <c r="T87" s="8"/>
    </row>
    <row r="88" spans="1:20" x14ac:dyDescent="0.2">
      <c r="A88" s="114" t="s">
        <v>411</v>
      </c>
      <c r="B88" s="94">
        <f>$C$13*0.02*0.5*0.25</f>
        <v>2.69</v>
      </c>
      <c r="C88" s="94">
        <f>$D$13*0.02*0.5*0.25</f>
        <v>0.01</v>
      </c>
      <c r="D88" s="95">
        <v>2.25</v>
      </c>
      <c r="E88" s="104">
        <v>0.75</v>
      </c>
      <c r="F88" s="104">
        <v>1</v>
      </c>
      <c r="G88" s="104">
        <v>0</v>
      </c>
      <c r="H88" s="96">
        <f>+($B$4*D88)+($C$4*E88)+($E$4*F88)+($F$4*G88)</f>
        <v>425.1275</v>
      </c>
      <c r="I88" s="96">
        <v>0</v>
      </c>
      <c r="J88" s="96">
        <v>0</v>
      </c>
      <c r="K88" s="94">
        <f>(D88+E88+F88+G88)*(B88+C88)</f>
        <v>10.799999999999999</v>
      </c>
      <c r="L88" s="115">
        <f>(H88+I88+J88)*(C88+B88)</f>
        <v>1147.8442499999999</v>
      </c>
      <c r="M88" s="8"/>
      <c r="N88" s="8"/>
      <c r="O88" s="19"/>
      <c r="P88" s="17"/>
      <c r="Q88" s="8"/>
      <c r="R88" s="8"/>
      <c r="S88" s="8"/>
      <c r="T88" s="8"/>
    </row>
    <row r="89" spans="1:20" ht="10.8" thickBot="1" x14ac:dyDescent="0.25">
      <c r="A89" s="54" t="s">
        <v>242</v>
      </c>
      <c r="B89" s="31">
        <f>$C$13*0.02*0.5*0.25</f>
        <v>2.69</v>
      </c>
      <c r="C89" s="31">
        <f>$D$13*0.02*0.5*0.25</f>
        <v>0.01</v>
      </c>
      <c r="D89" s="32">
        <v>0</v>
      </c>
      <c r="E89" s="141">
        <v>0</v>
      </c>
      <c r="F89" s="141">
        <v>0</v>
      </c>
      <c r="G89" s="141">
        <v>1</v>
      </c>
      <c r="H89" s="57">
        <f>+($B$4*D89)+($C$4*E89)+($E$4*F89)+($F$4*G89)</f>
        <v>35.94</v>
      </c>
      <c r="I89" s="57">
        <v>0</v>
      </c>
      <c r="J89" s="57">
        <v>9.85</v>
      </c>
      <c r="K89" s="31">
        <f>(D89+E89+F89+G89)*(B89+C89)</f>
        <v>2.6999999999999997</v>
      </c>
      <c r="L89" s="33">
        <f>(H89+I89+J89)*(C89+B89)</f>
        <v>123.63299999999998</v>
      </c>
      <c r="M89" s="8">
        <v>0</v>
      </c>
      <c r="N89" s="8">
        <f>+$D$16</f>
        <v>2</v>
      </c>
      <c r="O89" s="19">
        <f>(((B85+C85)/(M89+N89))*(D85+E85+F85+G85))</f>
        <v>0</v>
      </c>
      <c r="P89" s="17">
        <v>1</v>
      </c>
      <c r="Q89" s="8"/>
      <c r="R89" s="8"/>
      <c r="S89" s="26">
        <f>+I85*(B85+C85)</f>
        <v>0</v>
      </c>
      <c r="T89" s="26">
        <f>+J85*(B85+C85)</f>
        <v>0</v>
      </c>
    </row>
    <row r="90" spans="1:20" ht="10.8" thickBot="1" x14ac:dyDescent="0.25">
      <c r="A90" s="142" t="s">
        <v>64</v>
      </c>
      <c r="B90" s="143" t="s">
        <v>101</v>
      </c>
      <c r="C90" s="143" t="s">
        <v>101</v>
      </c>
      <c r="D90" s="143" t="s">
        <v>101</v>
      </c>
      <c r="E90" s="143" t="s">
        <v>101</v>
      </c>
      <c r="F90" s="143" t="s">
        <v>101</v>
      </c>
      <c r="G90" s="143" t="s">
        <v>101</v>
      </c>
      <c r="H90" s="143" t="s">
        <v>101</v>
      </c>
      <c r="I90" s="143" t="s">
        <v>101</v>
      </c>
      <c r="J90" s="143" t="s">
        <v>101</v>
      </c>
      <c r="K90" s="144">
        <f>SUM(K83:K89)</f>
        <v>13.499999999999998</v>
      </c>
      <c r="L90" s="145">
        <f>SUM(L83:L89)</f>
        <v>1271.4772499999999</v>
      </c>
      <c r="M90" s="8">
        <v>0</v>
      </c>
      <c r="N90" s="8">
        <f>+$D$16</f>
        <v>2</v>
      </c>
      <c r="O90" s="19">
        <f>(((B87+C87)/(M90+N90))*(D87+E87+F87+G87))</f>
        <v>0</v>
      </c>
      <c r="P90" s="17">
        <v>1</v>
      </c>
      <c r="Q90" s="8"/>
      <c r="R90" s="8"/>
      <c r="S90" s="26">
        <f>+I87*(B87+C87)</f>
        <v>0</v>
      </c>
      <c r="T90" s="26">
        <f>+J87*(B87+C87)</f>
        <v>0</v>
      </c>
    </row>
    <row r="91" spans="1:20" x14ac:dyDescent="0.2">
      <c r="A91" s="335" t="s">
        <v>412</v>
      </c>
      <c r="B91" s="336"/>
      <c r="C91" s="336"/>
      <c r="D91" s="337"/>
      <c r="E91" s="338"/>
      <c r="F91" s="338"/>
      <c r="G91" s="338"/>
      <c r="H91" s="338"/>
      <c r="I91" s="339"/>
      <c r="J91" s="339"/>
      <c r="K91" s="338"/>
      <c r="L91" s="340"/>
      <c r="M91" s="8">
        <f>+$C$16</f>
        <v>538</v>
      </c>
      <c r="N91" s="8">
        <f>+$D$16</f>
        <v>2</v>
      </c>
      <c r="O91" s="19">
        <f>(((B88+C88)/(M91+N91))*(D88+E88+F88+G88))</f>
        <v>1.9999999999999997E-2</v>
      </c>
      <c r="P91" s="17">
        <v>1</v>
      </c>
      <c r="Q91" s="8"/>
      <c r="R91" s="8"/>
      <c r="S91" s="26">
        <f>+I88*(B88+C88)</f>
        <v>0</v>
      </c>
      <c r="T91" s="26">
        <f>+J88*(B88+C88)</f>
        <v>0</v>
      </c>
    </row>
    <row r="92" spans="1:20" ht="11.25" customHeight="1" x14ac:dyDescent="0.2">
      <c r="A92" s="54" t="s">
        <v>243</v>
      </c>
      <c r="B92" s="31"/>
      <c r="C92" s="31"/>
      <c r="D92" s="32"/>
      <c r="E92" s="55"/>
      <c r="F92" s="55"/>
      <c r="G92" s="55"/>
      <c r="H92" s="55"/>
      <c r="I92" s="55"/>
      <c r="J92" s="55"/>
      <c r="K92" s="31"/>
      <c r="L92" s="58"/>
      <c r="M92" s="8"/>
      <c r="N92" s="8"/>
      <c r="O92" s="19"/>
      <c r="P92" s="17"/>
      <c r="Q92" s="8"/>
      <c r="R92" s="8"/>
      <c r="S92" s="8"/>
      <c r="T92" s="8"/>
    </row>
    <row r="93" spans="1:20" ht="11.25" customHeight="1" x14ac:dyDescent="0.2">
      <c r="A93" s="59" t="s">
        <v>244</v>
      </c>
      <c r="B93" s="60">
        <v>0</v>
      </c>
      <c r="C93" s="60">
        <v>0</v>
      </c>
      <c r="D93" s="62">
        <v>4</v>
      </c>
      <c r="E93" s="64">
        <v>1.5</v>
      </c>
      <c r="F93" s="64">
        <v>2</v>
      </c>
      <c r="G93" s="64">
        <v>0.5</v>
      </c>
      <c r="H93" s="63">
        <f>+($B$4*D93)+($C$4*E93)+($E$4*F93)+($F$4*G93)</f>
        <v>800.39499999999998</v>
      </c>
      <c r="I93" s="63">
        <v>0</v>
      </c>
      <c r="J93" s="63">
        <v>0.73</v>
      </c>
      <c r="K93" s="60">
        <f>(D93+E93+F93+G93)*(B93+C93)</f>
        <v>0</v>
      </c>
      <c r="L93" s="65">
        <f>(H93+I93+J93)*(C93+B93)</f>
        <v>0</v>
      </c>
      <c r="M93" s="8"/>
      <c r="N93" s="8"/>
      <c r="O93" s="19"/>
      <c r="P93" s="17"/>
      <c r="Q93" s="8"/>
      <c r="R93" s="8"/>
      <c r="S93" s="8"/>
      <c r="T93" s="8"/>
    </row>
    <row r="94" spans="1:20" x14ac:dyDescent="0.2">
      <c r="A94" s="54" t="s">
        <v>245</v>
      </c>
      <c r="B94" s="31"/>
      <c r="C94" s="31"/>
      <c r="D94" s="32"/>
      <c r="E94" s="55"/>
      <c r="F94" s="55"/>
      <c r="G94" s="55"/>
      <c r="H94" s="55"/>
      <c r="I94" s="55"/>
      <c r="J94" s="55"/>
      <c r="K94" s="31"/>
      <c r="L94" s="58"/>
      <c r="M94" s="8"/>
      <c r="N94" s="8"/>
      <c r="O94" s="19"/>
      <c r="P94" s="17"/>
      <c r="Q94" s="8"/>
      <c r="R94" s="8"/>
      <c r="S94" s="8"/>
      <c r="T94" s="8"/>
    </row>
    <row r="95" spans="1:20" x14ac:dyDescent="0.2">
      <c r="A95" s="59" t="s">
        <v>246</v>
      </c>
      <c r="B95" s="60">
        <v>0</v>
      </c>
      <c r="C95" s="60">
        <v>0</v>
      </c>
      <c r="D95" s="62">
        <v>1.25</v>
      </c>
      <c r="E95" s="64">
        <v>0.25</v>
      </c>
      <c r="F95" s="64">
        <v>0</v>
      </c>
      <c r="G95" s="64">
        <v>0.5</v>
      </c>
      <c r="H95" s="63">
        <f>+($B$4*D95)+($C$4*E95)+($E$4*F95)+($F$4*G95)</f>
        <v>207.5925</v>
      </c>
      <c r="I95" s="63">
        <v>0</v>
      </c>
      <c r="J95" s="63">
        <v>0.73</v>
      </c>
      <c r="K95" s="60">
        <f>(D95+E95+F95+G95)*(B95+C95)</f>
        <v>0</v>
      </c>
      <c r="L95" s="65">
        <f>(H95+I95+J95)*(C95+B95)</f>
        <v>0</v>
      </c>
      <c r="M95" s="8"/>
      <c r="N95" s="8"/>
      <c r="O95" s="19"/>
      <c r="P95" s="17"/>
      <c r="Q95" s="8"/>
      <c r="R95" s="8"/>
      <c r="S95" s="8"/>
      <c r="T95" s="8"/>
    </row>
    <row r="96" spans="1:20" x14ac:dyDescent="0.2">
      <c r="A96" s="54" t="s">
        <v>247</v>
      </c>
      <c r="B96" s="31"/>
      <c r="C96" s="31"/>
      <c r="D96" s="32"/>
      <c r="E96" s="55"/>
      <c r="F96" s="55"/>
      <c r="G96" s="55"/>
      <c r="H96" s="55"/>
      <c r="I96" s="55"/>
      <c r="J96" s="55"/>
      <c r="K96" s="31"/>
      <c r="L96" s="58"/>
      <c r="M96" s="8"/>
      <c r="N96" s="8"/>
      <c r="O96" s="19"/>
      <c r="P96" s="17"/>
      <c r="Q96" s="8"/>
      <c r="R96" s="8"/>
      <c r="S96" s="8"/>
      <c r="T96" s="8"/>
    </row>
    <row r="97" spans="1:20" x14ac:dyDescent="0.2">
      <c r="A97" s="59" t="s">
        <v>248</v>
      </c>
      <c r="B97" s="60">
        <v>0</v>
      </c>
      <c r="C97" s="60">
        <v>0</v>
      </c>
      <c r="D97" s="62">
        <v>0</v>
      </c>
      <c r="E97" s="64">
        <v>0</v>
      </c>
      <c r="F97" s="64">
        <v>0</v>
      </c>
      <c r="G97" s="64">
        <v>0.5</v>
      </c>
      <c r="H97" s="63">
        <f>+($B$4*D97)+($C$4*E97)+($E$4*F97)+($F$4*G97)</f>
        <v>17.97</v>
      </c>
      <c r="I97" s="63">
        <v>0</v>
      </c>
      <c r="J97" s="63">
        <v>9.85</v>
      </c>
      <c r="K97" s="60">
        <f>(D97+E97+F97+G97)*(B97+C97)</f>
        <v>0</v>
      </c>
      <c r="L97" s="65">
        <f>(H97+I97+J97)*(C97+B97)</f>
        <v>0</v>
      </c>
      <c r="M97" s="8"/>
      <c r="N97" s="8"/>
      <c r="O97" s="19"/>
      <c r="P97" s="17"/>
      <c r="Q97" s="8"/>
      <c r="R97" s="8"/>
      <c r="S97" s="8"/>
      <c r="T97" s="8"/>
    </row>
    <row r="98" spans="1:20" x14ac:dyDescent="0.2">
      <c r="A98" s="114" t="s">
        <v>413</v>
      </c>
      <c r="B98" s="94">
        <f>$C$13*0.02*0.5*0.25</f>
        <v>2.69</v>
      </c>
      <c r="C98" s="94">
        <f>$D$13*0.02*0.5*0.25</f>
        <v>0.01</v>
      </c>
      <c r="D98" s="95">
        <v>0.75</v>
      </c>
      <c r="E98" s="104">
        <v>0.5</v>
      </c>
      <c r="F98" s="104">
        <v>0.75</v>
      </c>
      <c r="G98" s="104">
        <v>0</v>
      </c>
      <c r="H98" s="96">
        <f>+($B$4*D98)+($C$4*E98)+($E$4*F98)+($F$4*G98)</f>
        <v>186.6525</v>
      </c>
      <c r="I98" s="96">
        <v>0</v>
      </c>
      <c r="J98" s="96">
        <v>0</v>
      </c>
      <c r="K98" s="94">
        <f>(D98+E98+F98+G98)*(B98+C98)</f>
        <v>5.3999999999999995</v>
      </c>
      <c r="L98" s="115">
        <f>(H98+I98+J98)*(C98+B98)</f>
        <v>503.96174999999994</v>
      </c>
      <c r="M98" s="8"/>
      <c r="N98" s="8"/>
      <c r="O98" s="19"/>
      <c r="P98" s="17"/>
      <c r="Q98" s="8"/>
      <c r="R98" s="8"/>
      <c r="S98" s="8"/>
      <c r="T98" s="8"/>
    </row>
    <row r="99" spans="1:20" ht="10.8" thickBot="1" x14ac:dyDescent="0.25">
      <c r="A99" s="54" t="s">
        <v>242</v>
      </c>
      <c r="B99" s="31">
        <f>$C$13*0.02*0.5*0.25</f>
        <v>2.69</v>
      </c>
      <c r="C99" s="31">
        <f>$D$13*0.02*0.5*0.25</f>
        <v>0.01</v>
      </c>
      <c r="D99" s="32">
        <v>0</v>
      </c>
      <c r="E99" s="141">
        <v>0</v>
      </c>
      <c r="F99" s="141">
        <v>0</v>
      </c>
      <c r="G99" s="141">
        <v>1</v>
      </c>
      <c r="H99" s="57">
        <f>+($B$4*D99)+($C$4*E99)+($E$4*F99)+($F$4*G99)</f>
        <v>35.94</v>
      </c>
      <c r="I99" s="57">
        <v>0</v>
      </c>
      <c r="J99" s="57">
        <v>9.85</v>
      </c>
      <c r="K99" s="31">
        <f>(D99+E99+F99+G99)*(B99+C99)</f>
        <v>2.6999999999999997</v>
      </c>
      <c r="L99" s="33">
        <f>(H99+I99+J99)*(C99+B99)</f>
        <v>123.63299999999998</v>
      </c>
      <c r="M99" s="8">
        <v>0</v>
      </c>
      <c r="N99" s="8">
        <f>+$D$16</f>
        <v>2</v>
      </c>
      <c r="O99" s="19">
        <f>(((B95+C95)/(M99+N99))*(D95+E95+F95+G95))</f>
        <v>0</v>
      </c>
      <c r="P99" s="17">
        <v>1</v>
      </c>
      <c r="Q99" s="8"/>
      <c r="R99" s="8"/>
      <c r="S99" s="26">
        <f>+I95*(B95+C95)</f>
        <v>0</v>
      </c>
      <c r="T99" s="26">
        <f>+J95*(B95+C95)</f>
        <v>0</v>
      </c>
    </row>
    <row r="100" spans="1:20" ht="10.8" thickBot="1" x14ac:dyDescent="0.25">
      <c r="A100" s="142" t="s">
        <v>64</v>
      </c>
      <c r="B100" s="143" t="s">
        <v>101</v>
      </c>
      <c r="C100" s="143" t="s">
        <v>101</v>
      </c>
      <c r="D100" s="143" t="s">
        <v>101</v>
      </c>
      <c r="E100" s="143" t="s">
        <v>101</v>
      </c>
      <c r="F100" s="143" t="s">
        <v>101</v>
      </c>
      <c r="G100" s="143" t="s">
        <v>101</v>
      </c>
      <c r="H100" s="143" t="s">
        <v>101</v>
      </c>
      <c r="I100" s="143" t="s">
        <v>101</v>
      </c>
      <c r="J100" s="143" t="s">
        <v>101</v>
      </c>
      <c r="K100" s="144">
        <f>SUM(K92:K99)</f>
        <v>8.1</v>
      </c>
      <c r="L100" s="145">
        <f>SUM(L92:L99)</f>
        <v>627.59474999999998</v>
      </c>
      <c r="M100" s="8">
        <v>0</v>
      </c>
      <c r="N100" s="8">
        <f>+$D$16</f>
        <v>2</v>
      </c>
      <c r="O100" s="19">
        <f>(((B97+C97)/(M100+N100))*(D97+E97+F97+G97))</f>
        <v>0</v>
      </c>
      <c r="P100" s="17">
        <v>1</v>
      </c>
      <c r="Q100" s="8"/>
      <c r="R100" s="8"/>
      <c r="S100" s="26">
        <f>+I97*(B97+C97)</f>
        <v>0</v>
      </c>
      <c r="T100" s="26">
        <f>+J97*(B97+C97)</f>
        <v>0</v>
      </c>
    </row>
    <row r="101" spans="1:20" x14ac:dyDescent="0.2">
      <c r="A101" s="335" t="s">
        <v>414</v>
      </c>
      <c r="B101" s="336"/>
      <c r="C101" s="336"/>
      <c r="D101" s="337"/>
      <c r="E101" s="338"/>
      <c r="F101" s="338"/>
      <c r="G101" s="338"/>
      <c r="H101" s="338"/>
      <c r="I101" s="339"/>
      <c r="J101" s="339"/>
      <c r="K101" s="338"/>
      <c r="L101" s="340"/>
      <c r="M101" s="8">
        <f>+$C$16</f>
        <v>538</v>
      </c>
      <c r="N101" s="8">
        <f>+$D$16</f>
        <v>2</v>
      </c>
      <c r="O101" s="19">
        <f>(((B98+C98)/(M101+N101))*(D98+E98+F98+G98))</f>
        <v>9.9999999999999985E-3</v>
      </c>
      <c r="P101" s="17">
        <v>1</v>
      </c>
      <c r="Q101" s="8"/>
      <c r="R101" s="8"/>
      <c r="S101" s="26">
        <f>+I98*(B98+C98)</f>
        <v>0</v>
      </c>
      <c r="T101" s="26">
        <f>+J98*(B98+C98)</f>
        <v>0</v>
      </c>
    </row>
    <row r="102" spans="1:20" ht="11.25" customHeight="1" x14ac:dyDescent="0.2">
      <c r="A102" s="114" t="s">
        <v>415</v>
      </c>
      <c r="B102" s="94">
        <v>0</v>
      </c>
      <c r="C102" s="94">
        <v>0</v>
      </c>
      <c r="D102" s="95">
        <v>4</v>
      </c>
      <c r="E102" s="104">
        <v>1.5</v>
      </c>
      <c r="F102" s="104">
        <v>2</v>
      </c>
      <c r="G102" s="104">
        <v>0.5</v>
      </c>
      <c r="H102" s="96">
        <f>+($B$4*D102)+($C$4*E102)+($E$4*F102)+($F$4*G102)</f>
        <v>800.39499999999998</v>
      </c>
      <c r="I102" s="96">
        <v>0</v>
      </c>
      <c r="J102" s="96">
        <v>0</v>
      </c>
      <c r="K102" s="94">
        <f>(D102+E102+F102+G102)*(B102+C102)</f>
        <v>0</v>
      </c>
      <c r="L102" s="115">
        <f>(H102+I102+J102)*(C102+B102)</f>
        <v>0</v>
      </c>
      <c r="M102" s="8"/>
      <c r="N102" s="8"/>
      <c r="O102" s="19"/>
      <c r="P102" s="17"/>
      <c r="Q102" s="8"/>
      <c r="R102" s="8"/>
      <c r="S102" s="8"/>
      <c r="T102" s="8"/>
    </row>
    <row r="103" spans="1:20" x14ac:dyDescent="0.2">
      <c r="A103" s="114" t="s">
        <v>249</v>
      </c>
      <c r="B103" s="94">
        <v>0</v>
      </c>
      <c r="C103" s="94">
        <v>0</v>
      </c>
      <c r="D103" s="95">
        <v>0</v>
      </c>
      <c r="E103" s="104">
        <v>0</v>
      </c>
      <c r="F103" s="104">
        <v>0</v>
      </c>
      <c r="G103" s="104">
        <v>0.5</v>
      </c>
      <c r="H103" s="96">
        <f>+($B$4*D103)+($C$4*E103)+($E$4*F103)+($F$4*G103)</f>
        <v>17.97</v>
      </c>
      <c r="I103" s="96">
        <v>0</v>
      </c>
      <c r="J103" s="96">
        <v>0.73</v>
      </c>
      <c r="K103" s="94">
        <f>(D103+E103+F103+G103)*(B103+C103)</f>
        <v>0</v>
      </c>
      <c r="L103" s="115">
        <f>(H103+I103+J103)*(C103+B103)</f>
        <v>0</v>
      </c>
      <c r="M103" s="8"/>
      <c r="N103" s="8"/>
      <c r="O103" s="19"/>
      <c r="P103" s="17"/>
      <c r="Q103" s="8"/>
      <c r="R103" s="8"/>
      <c r="S103" s="8"/>
      <c r="T103" s="8"/>
    </row>
    <row r="104" spans="1:20" x14ac:dyDescent="0.2">
      <c r="A104" s="54" t="s">
        <v>417</v>
      </c>
      <c r="B104" s="31"/>
      <c r="C104" s="31"/>
      <c r="D104" s="32"/>
      <c r="E104" s="141"/>
      <c r="F104" s="141"/>
      <c r="G104" s="141"/>
      <c r="H104" s="141"/>
      <c r="I104" s="141"/>
      <c r="J104" s="141"/>
      <c r="K104" s="31"/>
      <c r="L104" s="58"/>
      <c r="M104" s="8"/>
      <c r="N104" s="8"/>
      <c r="O104" s="19"/>
      <c r="P104" s="17"/>
      <c r="Q104" s="8"/>
      <c r="R104" s="8"/>
      <c r="S104" s="8"/>
      <c r="T104" s="8"/>
    </row>
    <row r="105" spans="1:20" x14ac:dyDescent="0.2">
      <c r="A105" s="59" t="s">
        <v>418</v>
      </c>
      <c r="B105" s="60">
        <v>0</v>
      </c>
      <c r="C105" s="60">
        <v>0</v>
      </c>
      <c r="D105" s="62">
        <v>0</v>
      </c>
      <c r="E105" s="64">
        <v>0</v>
      </c>
      <c r="F105" s="64">
        <v>0</v>
      </c>
      <c r="G105" s="64">
        <v>1</v>
      </c>
      <c r="H105" s="63">
        <f>+($B$4*D105)+($C$4*E105)+($E$4*F105)+($F$4*G105)</f>
        <v>35.94</v>
      </c>
      <c r="I105" s="63">
        <v>0</v>
      </c>
      <c r="J105" s="63">
        <v>0.73</v>
      </c>
      <c r="K105" s="60">
        <f>(D105+E105+F105+G105)*(B105+C105)</f>
        <v>0</v>
      </c>
      <c r="L105" s="65">
        <f>(H105+I105+J105)*(C105+B105)</f>
        <v>0</v>
      </c>
      <c r="M105" s="8"/>
      <c r="N105" s="8"/>
      <c r="O105" s="19"/>
      <c r="P105" s="17"/>
      <c r="Q105" s="8"/>
      <c r="R105" s="8"/>
      <c r="S105" s="8"/>
      <c r="T105" s="8"/>
    </row>
    <row r="106" spans="1:20" x14ac:dyDescent="0.2">
      <c r="A106" s="114" t="s">
        <v>419</v>
      </c>
      <c r="B106" s="94">
        <f>$C$13*0.02*0.5*0.25</f>
        <v>2.69</v>
      </c>
      <c r="C106" s="94">
        <f>$D$13*0.02*0.5*0.25</f>
        <v>0.01</v>
      </c>
      <c r="D106" s="95">
        <v>2.5</v>
      </c>
      <c r="E106" s="104">
        <v>0.5</v>
      </c>
      <c r="F106" s="104">
        <v>0</v>
      </c>
      <c r="G106" s="104">
        <v>0</v>
      </c>
      <c r="H106" s="96">
        <f>+($B$4*D106)+($C$4*E106)+($E$4*F106)+($F$4*G106)</f>
        <v>379.245</v>
      </c>
      <c r="I106" s="96">
        <v>0</v>
      </c>
      <c r="J106" s="96">
        <v>0</v>
      </c>
      <c r="K106" s="94">
        <f>(D106+E106+F106+G106)*(B106+C106)</f>
        <v>8.1</v>
      </c>
      <c r="L106" s="115">
        <f>(H106+I106+J106)*(C106+B106)</f>
        <v>1023.9614999999999</v>
      </c>
      <c r="M106" s="8">
        <v>0</v>
      </c>
      <c r="N106" s="8">
        <f>+$D$16</f>
        <v>2</v>
      </c>
      <c r="O106" s="19">
        <f>(((B102+C102)/(M106+N106))*(D102+E102+F102+G102))</f>
        <v>0</v>
      </c>
      <c r="P106" s="17">
        <v>1</v>
      </c>
      <c r="Q106" s="8"/>
      <c r="R106" s="8"/>
      <c r="S106" s="26">
        <f>+I102*(B102+C102)</f>
        <v>0</v>
      </c>
      <c r="T106" s="26">
        <f>+J102*(B102+C102)</f>
        <v>0</v>
      </c>
    </row>
    <row r="107" spans="1:20" ht="10.8" thickBot="1" x14ac:dyDescent="0.25">
      <c r="A107" s="54" t="s">
        <v>242</v>
      </c>
      <c r="B107" s="31">
        <f>$C$13*0.02*0.5*0.25</f>
        <v>2.69</v>
      </c>
      <c r="C107" s="31">
        <f>$D$13*0.02*0.5*0.25</f>
        <v>0.01</v>
      </c>
      <c r="D107" s="32">
        <v>0</v>
      </c>
      <c r="E107" s="141">
        <v>0</v>
      </c>
      <c r="F107" s="141">
        <v>0</v>
      </c>
      <c r="G107" s="141">
        <v>1</v>
      </c>
      <c r="H107" s="57">
        <f>+($B$4*D107)+($C$4*E107)+($E$4*F107)+($F$4*G107)</f>
        <v>35.94</v>
      </c>
      <c r="I107" s="57">
        <v>0</v>
      </c>
      <c r="J107" s="57">
        <v>9.85</v>
      </c>
      <c r="K107" s="31">
        <f>(D107+E107+F107+G107)*(B107+C107)</f>
        <v>2.6999999999999997</v>
      </c>
      <c r="L107" s="33">
        <f>(H107+I107+J107)*(C107+B107)</f>
        <v>123.63299999999998</v>
      </c>
      <c r="M107" s="8">
        <v>0</v>
      </c>
      <c r="N107" s="8">
        <f>+$D$16</f>
        <v>2</v>
      </c>
      <c r="O107" s="19">
        <f>(((B103+C103)/(M107+N107))*(D103+E103+F103+G103))</f>
        <v>0</v>
      </c>
      <c r="P107" s="17">
        <v>1</v>
      </c>
      <c r="Q107" s="8"/>
      <c r="R107" s="8"/>
      <c r="S107" s="26">
        <f>+I103*(B103+C103)</f>
        <v>0</v>
      </c>
      <c r="T107" s="26">
        <f>+J103*(B103+C103)</f>
        <v>0</v>
      </c>
    </row>
    <row r="108" spans="1:20" ht="10.8" thickBot="1" x14ac:dyDescent="0.25">
      <c r="A108" s="142" t="s">
        <v>64</v>
      </c>
      <c r="B108" s="143" t="s">
        <v>101</v>
      </c>
      <c r="C108" s="143" t="s">
        <v>101</v>
      </c>
      <c r="D108" s="143" t="s">
        <v>101</v>
      </c>
      <c r="E108" s="143" t="s">
        <v>101</v>
      </c>
      <c r="F108" s="143" t="s">
        <v>101</v>
      </c>
      <c r="G108" s="143" t="s">
        <v>101</v>
      </c>
      <c r="H108" s="143" t="s">
        <v>101</v>
      </c>
      <c r="I108" s="143" t="s">
        <v>101</v>
      </c>
      <c r="J108" s="143" t="s">
        <v>101</v>
      </c>
      <c r="K108" s="144">
        <f>SUM(K102:K107)</f>
        <v>10.799999999999999</v>
      </c>
      <c r="L108" s="145">
        <f>SUM(L102:L107)</f>
        <v>1147.5944999999999</v>
      </c>
      <c r="M108" s="8">
        <v>0</v>
      </c>
      <c r="N108" s="8">
        <f>+$D$16</f>
        <v>2</v>
      </c>
      <c r="O108" s="19">
        <f>(((B105+C105)/(M108+N108))*(D105+E105+F105+G105))</f>
        <v>0</v>
      </c>
      <c r="P108" s="17">
        <v>1</v>
      </c>
      <c r="Q108" s="8"/>
      <c r="R108" s="8"/>
      <c r="S108" s="26">
        <f>+I105*(B105+C105)</f>
        <v>0</v>
      </c>
      <c r="T108" s="26">
        <f>+J105*(B105+C105)</f>
        <v>0</v>
      </c>
    </row>
    <row r="109" spans="1:20" x14ac:dyDescent="0.2">
      <c r="A109" s="335" t="s">
        <v>416</v>
      </c>
      <c r="B109" s="336"/>
      <c r="C109" s="336"/>
      <c r="D109" s="337"/>
      <c r="E109" s="338"/>
      <c r="F109" s="338"/>
      <c r="G109" s="338"/>
      <c r="H109" s="338"/>
      <c r="I109" s="339"/>
      <c r="J109" s="339"/>
      <c r="K109" s="338"/>
      <c r="L109" s="340"/>
      <c r="M109" s="8">
        <f>+$C$16</f>
        <v>538</v>
      </c>
      <c r="N109" s="8">
        <f>+$D$16</f>
        <v>2</v>
      </c>
      <c r="O109" s="19">
        <f>(((B106+C106)/(M109+N109))*(D106+E106+F106+G106))</f>
        <v>1.4999999999999998E-2</v>
      </c>
      <c r="P109" s="17">
        <v>1</v>
      </c>
      <c r="Q109" s="8"/>
      <c r="R109" s="8"/>
      <c r="S109" s="26">
        <f>+I106*(B106+C106)</f>
        <v>0</v>
      </c>
      <c r="T109" s="26">
        <f>+J106*(B106+C106)</f>
        <v>0</v>
      </c>
    </row>
    <row r="110" spans="1:20" x14ac:dyDescent="0.2">
      <c r="A110" s="54" t="s">
        <v>250</v>
      </c>
      <c r="B110" s="31"/>
      <c r="C110" s="31"/>
      <c r="D110" s="32"/>
      <c r="E110" s="55"/>
      <c r="F110" s="55"/>
      <c r="G110" s="55"/>
      <c r="H110" s="55"/>
      <c r="I110" s="55"/>
      <c r="J110" s="55"/>
      <c r="K110" s="31"/>
      <c r="L110" s="58"/>
      <c r="M110" s="8"/>
      <c r="N110" s="8"/>
      <c r="O110" s="19"/>
      <c r="P110" s="17"/>
      <c r="Q110" s="8"/>
      <c r="R110" s="8"/>
      <c r="S110" s="8"/>
      <c r="T110" s="8"/>
    </row>
    <row r="111" spans="1:20" ht="11.25" customHeight="1" x14ac:dyDescent="0.2">
      <c r="A111" s="59" t="s">
        <v>251</v>
      </c>
      <c r="B111" s="60">
        <v>0</v>
      </c>
      <c r="C111" s="60">
        <v>0</v>
      </c>
      <c r="D111" s="62">
        <v>1</v>
      </c>
      <c r="E111" s="64">
        <v>0.25</v>
      </c>
      <c r="F111" s="64">
        <v>2</v>
      </c>
      <c r="G111" s="64">
        <v>0.75</v>
      </c>
      <c r="H111" s="63">
        <f>+($B$4*D111)+($C$4*E111)+($E$4*F111)+($F$4*G111)</f>
        <v>302.16249999999997</v>
      </c>
      <c r="I111" s="63">
        <v>0</v>
      </c>
      <c r="J111" s="63">
        <v>0.73</v>
      </c>
      <c r="K111" s="60">
        <f>(D111+E111+F111+G111)*(B111+C111)</f>
        <v>0</v>
      </c>
      <c r="L111" s="65">
        <f>(H111+I111+J111)*(C111+B111)</f>
        <v>0</v>
      </c>
      <c r="M111" s="8"/>
      <c r="N111" s="8"/>
      <c r="O111" s="19"/>
      <c r="P111" s="17"/>
      <c r="Q111" s="8"/>
      <c r="R111" s="8"/>
      <c r="S111" s="8"/>
      <c r="T111" s="8"/>
    </row>
    <row r="112" spans="1:20" x14ac:dyDescent="0.2">
      <c r="A112" s="54" t="s">
        <v>252</v>
      </c>
      <c r="B112" s="31"/>
      <c r="C112" s="31"/>
      <c r="D112" s="32"/>
      <c r="E112" s="55"/>
      <c r="F112" s="55"/>
      <c r="G112" s="55"/>
      <c r="H112" s="55"/>
      <c r="I112" s="55"/>
      <c r="J112" s="55"/>
      <c r="K112" s="31"/>
      <c r="L112" s="58"/>
      <c r="M112" s="8"/>
      <c r="N112" s="8"/>
      <c r="O112" s="19"/>
      <c r="P112" s="17"/>
      <c r="Q112" s="8"/>
      <c r="R112" s="8"/>
      <c r="S112" s="8"/>
      <c r="T112" s="8"/>
    </row>
    <row r="113" spans="1:20" x14ac:dyDescent="0.2">
      <c r="A113" s="59" t="s">
        <v>253</v>
      </c>
      <c r="B113" s="60">
        <v>0</v>
      </c>
      <c r="C113" s="60">
        <v>0</v>
      </c>
      <c r="D113" s="62">
        <v>0</v>
      </c>
      <c r="E113" s="64">
        <v>0</v>
      </c>
      <c r="F113" s="64">
        <v>0</v>
      </c>
      <c r="G113" s="64">
        <v>1</v>
      </c>
      <c r="H113" s="63">
        <f>+($B$4*D113)+($C$4*E113)+($E$4*F113)+($F$4*G113)</f>
        <v>35.94</v>
      </c>
      <c r="I113" s="63">
        <v>0</v>
      </c>
      <c r="J113" s="63">
        <v>9.85</v>
      </c>
      <c r="K113" s="60">
        <f>(D113+E113+F113+G113)*(B113+C113)</f>
        <v>0</v>
      </c>
      <c r="L113" s="65">
        <f>(H113+I113+J113)*(C113+B113)</f>
        <v>0</v>
      </c>
      <c r="M113" s="8"/>
      <c r="N113" s="8"/>
      <c r="O113" s="19"/>
      <c r="P113" s="17"/>
      <c r="Q113" s="8"/>
      <c r="R113" s="8"/>
      <c r="S113" s="8"/>
      <c r="T113" s="8"/>
    </row>
    <row r="114" spans="1:20" x14ac:dyDescent="0.2">
      <c r="A114" s="114" t="s">
        <v>254</v>
      </c>
      <c r="B114" s="94">
        <f>$C$13*0.5</f>
        <v>538</v>
      </c>
      <c r="C114" s="94">
        <f>$D$13*0.5</f>
        <v>2</v>
      </c>
      <c r="D114" s="95">
        <v>0</v>
      </c>
      <c r="E114" s="104">
        <v>0</v>
      </c>
      <c r="F114" s="104">
        <v>0</v>
      </c>
      <c r="G114" s="104">
        <v>4</v>
      </c>
      <c r="H114" s="96">
        <f>+($B$4*D114)+($C$4*E114)+($E$4*F114)+($F$4*G114)</f>
        <v>143.76</v>
      </c>
      <c r="I114" s="96">
        <v>0</v>
      </c>
      <c r="J114" s="96">
        <v>9.85</v>
      </c>
      <c r="K114" s="94">
        <f>(D114+E114+F114+G114)*(B114+C114)</f>
        <v>2160</v>
      </c>
      <c r="L114" s="115">
        <f>(H114+I114+J114)*(C114+B114)</f>
        <v>82949.399999999994</v>
      </c>
      <c r="M114" s="8"/>
      <c r="N114" s="8"/>
      <c r="O114" s="19"/>
      <c r="P114" s="17"/>
      <c r="Q114" s="8"/>
      <c r="R114" s="8"/>
      <c r="S114" s="8"/>
      <c r="T114" s="8"/>
    </row>
    <row r="115" spans="1:20" x14ac:dyDescent="0.2">
      <c r="A115" s="54" t="s">
        <v>420</v>
      </c>
      <c r="B115" s="31"/>
      <c r="C115" s="31"/>
      <c r="D115" s="32"/>
      <c r="E115" s="55"/>
      <c r="F115" s="55"/>
      <c r="G115" s="55"/>
      <c r="H115" s="55"/>
      <c r="I115" s="55"/>
      <c r="J115" s="55"/>
      <c r="K115" s="31"/>
      <c r="L115" s="58"/>
      <c r="M115" s="8"/>
      <c r="N115" s="8"/>
      <c r="O115" s="19"/>
      <c r="P115" s="17"/>
      <c r="Q115" s="8"/>
      <c r="R115" s="8"/>
      <c r="S115" s="8"/>
      <c r="T115" s="8"/>
    </row>
    <row r="116" spans="1:20" x14ac:dyDescent="0.2">
      <c r="A116" s="59" t="s">
        <v>421</v>
      </c>
      <c r="B116" s="60">
        <f>$C$13*0.02*0.5</f>
        <v>10.76</v>
      </c>
      <c r="C116" s="60">
        <f>$D$13*0.02*0.5</f>
        <v>0.04</v>
      </c>
      <c r="D116" s="62">
        <v>3.25</v>
      </c>
      <c r="E116" s="64">
        <v>0.25</v>
      </c>
      <c r="F116" s="64">
        <v>0</v>
      </c>
      <c r="G116" s="64">
        <v>0.5</v>
      </c>
      <c r="H116" s="63">
        <f>+($B$4*D116)+($C$4*E116)+($E$4*F116)+($F$4*G116)</f>
        <v>478.91250000000002</v>
      </c>
      <c r="I116" s="63">
        <v>0</v>
      </c>
      <c r="J116" s="63">
        <v>0.73</v>
      </c>
      <c r="K116" s="60">
        <f>(D116+E116+F116+G116)*(B116+C116)</f>
        <v>43.199999999999996</v>
      </c>
      <c r="L116" s="65">
        <f>(H116+I116+J116)*(C116+B116)</f>
        <v>5180.1390000000001</v>
      </c>
      <c r="M116" s="8"/>
      <c r="N116" s="8"/>
      <c r="O116" s="19"/>
      <c r="P116" s="17"/>
      <c r="Q116" s="8"/>
      <c r="R116" s="8"/>
      <c r="S116" s="8"/>
      <c r="T116" s="8"/>
    </row>
    <row r="117" spans="1:20" x14ac:dyDescent="0.2">
      <c r="A117" s="54" t="s">
        <v>255</v>
      </c>
      <c r="B117" s="31"/>
      <c r="C117" s="31"/>
      <c r="D117" s="32"/>
      <c r="E117" s="55"/>
      <c r="F117" s="55"/>
      <c r="G117" s="55"/>
      <c r="H117" s="55"/>
      <c r="I117" s="55"/>
      <c r="J117" s="55"/>
      <c r="K117" s="31"/>
      <c r="L117" s="58"/>
      <c r="M117" s="8">
        <v>0</v>
      </c>
      <c r="N117" s="8">
        <f>+$D$16</f>
        <v>2</v>
      </c>
      <c r="O117" s="19">
        <f>(((B113+C113)/(M117+N117))*(D113+E113+F113+G113))</f>
        <v>0</v>
      </c>
      <c r="P117" s="17">
        <v>1</v>
      </c>
      <c r="Q117" s="8"/>
      <c r="R117" s="8"/>
      <c r="S117" s="26">
        <f>+I113*(B113+C113)</f>
        <v>0</v>
      </c>
      <c r="T117" s="26">
        <f>+J113*(B113+C113)</f>
        <v>0</v>
      </c>
    </row>
    <row r="118" spans="1:20" x14ac:dyDescent="0.2">
      <c r="A118" s="59" t="s">
        <v>256</v>
      </c>
      <c r="B118" s="60">
        <f>$C$13*0.02*0.5</f>
        <v>10.76</v>
      </c>
      <c r="C118" s="60">
        <f>$D$13*0.02*0.5</f>
        <v>0.04</v>
      </c>
      <c r="D118" s="62">
        <v>2.25</v>
      </c>
      <c r="E118" s="64">
        <v>0.25</v>
      </c>
      <c r="F118" s="64">
        <v>1</v>
      </c>
      <c r="G118" s="64">
        <v>0.5</v>
      </c>
      <c r="H118" s="63">
        <f>+($B$4*D118)+($C$4*E118)+($E$4*F118)+($F$4*G118)</f>
        <v>403.00250000000005</v>
      </c>
      <c r="I118" s="63">
        <v>0</v>
      </c>
      <c r="J118" s="63">
        <v>9.85</v>
      </c>
      <c r="K118" s="60">
        <f>(D118+E118+F118+G118)*(B118+C118)</f>
        <v>43.199999999999996</v>
      </c>
      <c r="L118" s="65">
        <f>(H118+I118+J118)*(C118+B118)</f>
        <v>4458.8070000000007</v>
      </c>
      <c r="M118" s="8">
        <f>+$C$16</f>
        <v>538</v>
      </c>
      <c r="N118" s="8">
        <f>+$D$16</f>
        <v>2</v>
      </c>
      <c r="O118" s="19">
        <f>(((B114+C114)/(M118+N118))*(D114+E114+F114+G114))</f>
        <v>4</v>
      </c>
      <c r="P118" s="17">
        <v>1</v>
      </c>
      <c r="Q118" s="8"/>
      <c r="R118" s="8"/>
      <c r="S118" s="26">
        <f>+I114*(B114+C114)</f>
        <v>0</v>
      </c>
      <c r="T118" s="26">
        <f>+J114*(B114+C114)</f>
        <v>5319</v>
      </c>
    </row>
    <row r="119" spans="1:20" x14ac:dyDescent="0.2">
      <c r="A119" s="54" t="s">
        <v>257</v>
      </c>
      <c r="B119" s="31"/>
      <c r="C119" s="31"/>
      <c r="D119" s="32"/>
      <c r="E119" s="55"/>
      <c r="F119" s="55"/>
      <c r="G119" s="55"/>
      <c r="H119" s="55"/>
      <c r="I119" s="55"/>
      <c r="J119" s="55"/>
      <c r="K119" s="31"/>
      <c r="L119" s="58"/>
      <c r="M119" s="8"/>
      <c r="N119" s="8"/>
      <c r="O119" s="19"/>
      <c r="P119" s="17"/>
      <c r="Q119" s="8"/>
      <c r="R119" s="8"/>
      <c r="S119" s="8"/>
      <c r="T119" s="8"/>
    </row>
    <row r="120" spans="1:20" ht="10.8" thickBot="1" x14ac:dyDescent="0.25">
      <c r="A120" s="4" t="s">
        <v>258</v>
      </c>
      <c r="B120" s="5">
        <v>0</v>
      </c>
      <c r="C120" s="5">
        <v>0</v>
      </c>
      <c r="D120" s="6">
        <v>0</v>
      </c>
      <c r="E120" s="146">
        <v>0</v>
      </c>
      <c r="F120" s="146">
        <v>0</v>
      </c>
      <c r="G120" s="146">
        <v>1</v>
      </c>
      <c r="H120" s="147">
        <f>+($B$4*D120)+($C$4*E120)+($E$4*F120)+($F$4*G120)</f>
        <v>35.94</v>
      </c>
      <c r="I120" s="147">
        <v>0</v>
      </c>
      <c r="J120" s="147">
        <v>0.73</v>
      </c>
      <c r="K120" s="5">
        <f>(D120+E120+F120+G120)*(B120+C120)</f>
        <v>0</v>
      </c>
      <c r="L120" s="148">
        <f>(H120+I120+J120)*(C120+B120)</f>
        <v>0</v>
      </c>
      <c r="M120" s="8"/>
      <c r="N120" s="8"/>
      <c r="O120" s="19"/>
      <c r="P120" s="17"/>
      <c r="Q120" s="8"/>
      <c r="R120" s="8"/>
      <c r="S120" s="8"/>
      <c r="T120" s="8"/>
    </row>
    <row r="121" spans="1:20" ht="10.8" thickBot="1" x14ac:dyDescent="0.25">
      <c r="A121" s="142" t="s">
        <v>64</v>
      </c>
      <c r="B121" s="143" t="s">
        <v>101</v>
      </c>
      <c r="C121" s="143" t="s">
        <v>101</v>
      </c>
      <c r="D121" s="143" t="s">
        <v>101</v>
      </c>
      <c r="E121" s="143" t="s">
        <v>101</v>
      </c>
      <c r="F121" s="143" t="s">
        <v>101</v>
      </c>
      <c r="G121" s="143" t="s">
        <v>101</v>
      </c>
      <c r="H121" s="143" t="s">
        <v>101</v>
      </c>
      <c r="I121" s="143" t="s">
        <v>101</v>
      </c>
      <c r="J121" s="143" t="s">
        <v>101</v>
      </c>
      <c r="K121" s="144">
        <f>SUM(K110:K120)</f>
        <v>2246.3999999999996</v>
      </c>
      <c r="L121" s="145">
        <f>SUM(L110:L120)</f>
        <v>92588.34599999999</v>
      </c>
      <c r="M121" s="8"/>
      <c r="N121" s="8"/>
      <c r="O121" s="19"/>
      <c r="P121" s="17"/>
      <c r="Q121" s="8"/>
      <c r="R121" s="8"/>
      <c r="S121" s="8"/>
      <c r="T121" s="8"/>
    </row>
    <row r="122" spans="1:20" x14ac:dyDescent="0.2">
      <c r="A122" s="335" t="s">
        <v>422</v>
      </c>
      <c r="B122" s="336"/>
      <c r="C122" s="336"/>
      <c r="D122" s="337"/>
      <c r="E122" s="338"/>
      <c r="F122" s="338"/>
      <c r="G122" s="338"/>
      <c r="H122" s="338"/>
      <c r="I122" s="339"/>
      <c r="J122" s="339"/>
      <c r="K122" s="338"/>
      <c r="L122" s="340"/>
      <c r="M122" s="8"/>
      <c r="N122" s="8"/>
      <c r="O122" s="19"/>
      <c r="P122" s="17"/>
      <c r="Q122" s="8"/>
      <c r="R122" s="8"/>
      <c r="S122" s="8"/>
      <c r="T122" s="8"/>
    </row>
    <row r="123" spans="1:20" x14ac:dyDescent="0.2">
      <c r="A123" s="54" t="s">
        <v>259</v>
      </c>
      <c r="B123" s="31"/>
      <c r="C123" s="31"/>
      <c r="D123" s="32"/>
      <c r="E123" s="141"/>
      <c r="F123" s="141"/>
      <c r="G123" s="141"/>
      <c r="H123" s="141"/>
      <c r="I123" s="141"/>
      <c r="J123" s="141"/>
      <c r="K123" s="31"/>
      <c r="L123" s="33"/>
      <c r="M123" s="8"/>
      <c r="N123" s="8"/>
      <c r="O123" s="19"/>
      <c r="P123" s="17"/>
      <c r="Q123" s="8"/>
      <c r="R123" s="8"/>
      <c r="S123" s="8"/>
      <c r="T123" s="8"/>
    </row>
    <row r="124" spans="1:20" ht="11.25" customHeight="1" x14ac:dyDescent="0.2">
      <c r="A124" s="59" t="s">
        <v>260</v>
      </c>
      <c r="B124" s="60">
        <f>0.005*$C$13</f>
        <v>5.38</v>
      </c>
      <c r="C124" s="60">
        <f>0.005*$D$13</f>
        <v>0.02</v>
      </c>
      <c r="D124" s="62">
        <v>2.5</v>
      </c>
      <c r="E124" s="64">
        <v>1</v>
      </c>
      <c r="F124" s="64">
        <v>0</v>
      </c>
      <c r="G124" s="64">
        <v>0.5</v>
      </c>
      <c r="H124" s="63">
        <f>+($B$4*D124)+($C$4*E124)+($E$4*F124)+($F$4*G124)</f>
        <v>437.30999999999995</v>
      </c>
      <c r="I124" s="63">
        <v>0</v>
      </c>
      <c r="J124" s="63">
        <v>0.73</v>
      </c>
      <c r="K124" s="60">
        <f>(D124+E124+F124+G124)*(B124+C124)</f>
        <v>21.599999999999998</v>
      </c>
      <c r="L124" s="65">
        <f>(H124+I124+J124)*(C124+B124)</f>
        <v>2365.4159999999997</v>
      </c>
      <c r="M124" s="8"/>
      <c r="N124" s="8"/>
      <c r="O124" s="19"/>
      <c r="P124" s="17"/>
      <c r="Q124" s="8"/>
      <c r="R124" s="8"/>
      <c r="S124" s="8"/>
      <c r="T124" s="8"/>
    </row>
    <row r="125" spans="1:20" x14ac:dyDescent="0.2">
      <c r="A125" s="54" t="s">
        <v>423</v>
      </c>
      <c r="B125" s="31"/>
      <c r="C125" s="31"/>
      <c r="D125" s="32"/>
      <c r="E125" s="55"/>
      <c r="F125" s="55"/>
      <c r="G125" s="55"/>
      <c r="H125" s="55"/>
      <c r="I125" s="55"/>
      <c r="J125" s="55"/>
      <c r="K125" s="31"/>
      <c r="L125" s="58"/>
      <c r="M125" s="8"/>
      <c r="N125" s="8"/>
      <c r="O125" s="19"/>
      <c r="P125" s="17"/>
      <c r="Q125" s="8"/>
      <c r="R125" s="8"/>
      <c r="S125" s="8"/>
      <c r="T125" s="8"/>
    </row>
    <row r="126" spans="1:20" ht="10.8" thickBot="1" x14ac:dyDescent="0.25">
      <c r="A126" s="4" t="s">
        <v>424</v>
      </c>
      <c r="B126" s="5">
        <f>0.02*$C$13</f>
        <v>21.52</v>
      </c>
      <c r="C126" s="5">
        <f>0.02*$D$13</f>
        <v>0.08</v>
      </c>
      <c r="D126" s="6">
        <v>2</v>
      </c>
      <c r="E126" s="146">
        <v>1</v>
      </c>
      <c r="F126" s="146">
        <v>0.5</v>
      </c>
      <c r="G126" s="146">
        <v>0.5</v>
      </c>
      <c r="H126" s="147">
        <f>+($B$4*D126)+($C$4*E126)+($E$4*F126)+($F$4*G126)</f>
        <v>399.35500000000002</v>
      </c>
      <c r="I126" s="147">
        <v>0</v>
      </c>
      <c r="J126" s="147">
        <v>0.73</v>
      </c>
      <c r="K126" s="5">
        <f>(D126+E126+F126+G126)*(B126+C126)</f>
        <v>86.399999999999991</v>
      </c>
      <c r="L126" s="148">
        <f>(H126+I126+J126)*(C126+B126)</f>
        <v>8641.8359999999993</v>
      </c>
      <c r="M126" s="8"/>
      <c r="N126" s="8"/>
      <c r="O126" s="19"/>
      <c r="P126" s="17"/>
      <c r="Q126" s="8"/>
      <c r="R126" s="8"/>
      <c r="S126" s="8"/>
      <c r="T126" s="8"/>
    </row>
    <row r="127" spans="1:20" ht="10.8" thickBot="1" x14ac:dyDescent="0.25">
      <c r="A127" s="142" t="s">
        <v>64</v>
      </c>
      <c r="B127" s="143" t="s">
        <v>101</v>
      </c>
      <c r="C127" s="143" t="s">
        <v>101</v>
      </c>
      <c r="D127" s="143" t="s">
        <v>101</v>
      </c>
      <c r="E127" s="143" t="s">
        <v>101</v>
      </c>
      <c r="F127" s="143" t="s">
        <v>101</v>
      </c>
      <c r="G127" s="143" t="s">
        <v>101</v>
      </c>
      <c r="H127" s="149" t="s">
        <v>101</v>
      </c>
      <c r="I127" s="149" t="s">
        <v>101</v>
      </c>
      <c r="J127" s="149" t="s">
        <v>101</v>
      </c>
      <c r="K127" s="144">
        <f>SUM(K123:K126)</f>
        <v>107.99999999999999</v>
      </c>
      <c r="L127" s="145">
        <f>SUM(L123:L126)</f>
        <v>11007.251999999999</v>
      </c>
      <c r="M127" s="8">
        <f>+$C$16</f>
        <v>538</v>
      </c>
      <c r="N127" s="8">
        <f>+$D$16</f>
        <v>2</v>
      </c>
      <c r="O127" s="19">
        <f>(((B124+C124)/(M127+N127))*(D124+E124+F124+G124))</f>
        <v>3.9999999999999994E-2</v>
      </c>
      <c r="P127" s="17">
        <v>1</v>
      </c>
      <c r="Q127" s="8"/>
      <c r="R127" s="8"/>
      <c r="S127" s="26">
        <f>+I124*(B124+C124)</f>
        <v>0</v>
      </c>
      <c r="T127" s="26">
        <f>+J124*(B124+C124)</f>
        <v>3.9419999999999997</v>
      </c>
    </row>
    <row r="128" spans="1:20" x14ac:dyDescent="0.2">
      <c r="A128" s="335" t="s">
        <v>261</v>
      </c>
      <c r="B128" s="336"/>
      <c r="C128" s="336"/>
      <c r="D128" s="337"/>
      <c r="E128" s="338"/>
      <c r="F128" s="338"/>
      <c r="G128" s="338"/>
      <c r="H128" s="338"/>
      <c r="I128" s="339"/>
      <c r="J128" s="339"/>
      <c r="K128" s="338"/>
      <c r="L128" s="340"/>
      <c r="M128" s="8"/>
      <c r="N128" s="8"/>
      <c r="O128" s="19"/>
      <c r="P128" s="17"/>
      <c r="Q128" s="8"/>
      <c r="R128" s="8"/>
      <c r="S128" s="8"/>
      <c r="T128" s="8"/>
    </row>
    <row r="129" spans="1:20" x14ac:dyDescent="0.2">
      <c r="A129" s="114" t="s">
        <v>262</v>
      </c>
      <c r="B129" s="102">
        <v>0</v>
      </c>
      <c r="C129" s="102">
        <v>0</v>
      </c>
      <c r="D129" s="95">
        <v>0.5</v>
      </c>
      <c r="E129" s="104">
        <v>0.5</v>
      </c>
      <c r="F129" s="104">
        <v>0.5</v>
      </c>
      <c r="G129" s="104">
        <v>0</v>
      </c>
      <c r="H129" s="96">
        <f>+($B$4*D129)+($C$4*E129)+($E$4*F129)+($F$4*G129)</f>
        <v>137.80000000000001</v>
      </c>
      <c r="I129" s="96">
        <v>0</v>
      </c>
      <c r="J129" s="96">
        <v>9.85</v>
      </c>
      <c r="K129" s="94">
        <f>(D129+E129+F129+G129)*(B129+C129)</f>
        <v>0</v>
      </c>
      <c r="L129" s="115">
        <f>(H129+I129+J129)*(C129+B129)</f>
        <v>0</v>
      </c>
      <c r="M129" s="8">
        <f>+$C$16</f>
        <v>538</v>
      </c>
      <c r="N129" s="8">
        <f>+$D$16</f>
        <v>2</v>
      </c>
      <c r="O129" s="19">
        <f>(((B126+C126)/(M129+N129))*(D126+E126+F126+G126))</f>
        <v>0.15999999999999998</v>
      </c>
      <c r="P129" s="17">
        <v>1</v>
      </c>
      <c r="Q129" s="8"/>
      <c r="R129" s="8"/>
      <c r="S129" s="26">
        <f>+I126*(B126+C126)</f>
        <v>0</v>
      </c>
      <c r="T129" s="26">
        <f>+J126*(B126+C126)</f>
        <v>15.767999999999999</v>
      </c>
    </row>
    <row r="130" spans="1:20" ht="1.05" customHeight="1" x14ac:dyDescent="0.2">
      <c r="A130" s="116"/>
      <c r="B130" s="97"/>
      <c r="C130" s="97"/>
      <c r="D130" s="97"/>
      <c r="E130" s="97"/>
      <c r="F130" s="97"/>
      <c r="G130" s="97"/>
      <c r="H130" s="97">
        <f>SUM(H128:H129)</f>
        <v>137.80000000000001</v>
      </c>
      <c r="I130" s="97"/>
      <c r="J130" s="97"/>
      <c r="K130" s="98"/>
      <c r="L130" s="119"/>
      <c r="M130" s="8"/>
      <c r="N130" s="8"/>
      <c r="O130" s="19"/>
      <c r="P130" s="17"/>
      <c r="Q130" s="8"/>
      <c r="R130" s="8"/>
      <c r="S130" s="8"/>
      <c r="T130" s="8"/>
    </row>
    <row r="131" spans="1:20" x14ac:dyDescent="0.2">
      <c r="A131" s="114" t="s">
        <v>64</v>
      </c>
      <c r="B131" s="102">
        <f>SUM(B128:B130)</f>
        <v>0</v>
      </c>
      <c r="C131" s="102">
        <v>0</v>
      </c>
      <c r="D131" s="95">
        <f t="shared" ref="D131:L131" si="1">SUM(D128:D130)</f>
        <v>0.5</v>
      </c>
      <c r="E131" s="95">
        <f t="shared" si="1"/>
        <v>0.5</v>
      </c>
      <c r="F131" s="95">
        <f t="shared" si="1"/>
        <v>0.5</v>
      </c>
      <c r="G131" s="95">
        <f t="shared" si="1"/>
        <v>0</v>
      </c>
      <c r="H131" s="96">
        <f t="shared" si="1"/>
        <v>275.60000000000002</v>
      </c>
      <c r="I131" s="96">
        <f t="shared" si="1"/>
        <v>0</v>
      </c>
      <c r="J131" s="96">
        <f t="shared" si="1"/>
        <v>9.85</v>
      </c>
      <c r="K131" s="94">
        <f t="shared" si="1"/>
        <v>0</v>
      </c>
      <c r="L131" s="115">
        <f t="shared" si="1"/>
        <v>0</v>
      </c>
      <c r="M131" s="8"/>
      <c r="N131" s="8"/>
      <c r="O131" s="19"/>
      <c r="P131" s="17"/>
      <c r="Q131" s="8"/>
      <c r="R131" s="8"/>
      <c r="S131" s="8"/>
      <c r="T131" s="8"/>
    </row>
    <row r="132" spans="1:20" x14ac:dyDescent="0.2">
      <c r="A132" s="335" t="s">
        <v>425</v>
      </c>
      <c r="B132" s="336"/>
      <c r="C132" s="336"/>
      <c r="D132" s="337"/>
      <c r="E132" s="338"/>
      <c r="F132" s="338"/>
      <c r="G132" s="338"/>
      <c r="H132" s="338"/>
      <c r="I132" s="339"/>
      <c r="J132" s="339"/>
      <c r="K132" s="338"/>
      <c r="L132" s="340"/>
      <c r="M132" s="8"/>
      <c r="N132" s="8"/>
      <c r="O132" s="19"/>
      <c r="P132" s="17"/>
      <c r="Q132" s="8"/>
      <c r="R132" s="8"/>
      <c r="S132" s="8"/>
      <c r="T132" s="8"/>
    </row>
    <row r="133" spans="1:20" ht="11.25" customHeight="1" x14ac:dyDescent="0.2">
      <c r="A133" s="54" t="s">
        <v>263</v>
      </c>
      <c r="B133" s="31"/>
      <c r="C133" s="31"/>
      <c r="D133" s="32"/>
      <c r="E133" s="55"/>
      <c r="F133" s="55"/>
      <c r="G133" s="55"/>
      <c r="H133" s="55"/>
      <c r="I133" s="55"/>
      <c r="J133" s="55"/>
      <c r="K133" s="31"/>
      <c r="L133" s="58"/>
      <c r="M133" s="8"/>
      <c r="N133" s="8"/>
      <c r="O133" s="19"/>
      <c r="P133" s="17"/>
      <c r="Q133" s="8"/>
      <c r="R133" s="8"/>
      <c r="S133" s="8"/>
      <c r="T133" s="8"/>
    </row>
    <row r="134" spans="1:20" x14ac:dyDescent="0.2">
      <c r="A134" s="59" t="s">
        <v>264</v>
      </c>
      <c r="B134" s="60">
        <v>0</v>
      </c>
      <c r="C134" s="60">
        <v>0</v>
      </c>
      <c r="D134" s="62">
        <v>1</v>
      </c>
      <c r="E134" s="64">
        <v>0.25</v>
      </c>
      <c r="F134" s="64">
        <v>2</v>
      </c>
      <c r="G134" s="64">
        <v>0.75</v>
      </c>
      <c r="H134" s="63">
        <f>+($B$4*D134)+($C$4*E134)+($E$4*F134)+($F$4*G134)</f>
        <v>302.16249999999997</v>
      </c>
      <c r="I134" s="63">
        <v>0</v>
      </c>
      <c r="J134" s="63">
        <v>0.73</v>
      </c>
      <c r="K134" s="60">
        <f>(D134+E134+F134+G134)*(B134+C134)</f>
        <v>0</v>
      </c>
      <c r="L134" s="65">
        <f>(H134+I134+J134)*(C134+B134)</f>
        <v>0</v>
      </c>
      <c r="M134" s="8"/>
      <c r="N134" s="8"/>
      <c r="O134" s="19"/>
      <c r="P134" s="17"/>
      <c r="Q134" s="8"/>
      <c r="R134" s="8"/>
      <c r="S134" s="8"/>
      <c r="T134" s="8"/>
    </row>
    <row r="135" spans="1:20" ht="11.25" customHeight="1" x14ac:dyDescent="0.2">
      <c r="A135" s="54" t="s">
        <v>252</v>
      </c>
      <c r="B135" s="31"/>
      <c r="C135" s="31"/>
      <c r="D135" s="32"/>
      <c r="E135" s="55"/>
      <c r="F135" s="55"/>
      <c r="G135" s="55"/>
      <c r="H135" s="55"/>
      <c r="I135" s="55"/>
      <c r="J135" s="55"/>
      <c r="K135" s="31"/>
      <c r="L135" s="58"/>
      <c r="M135" s="8"/>
      <c r="N135" s="8"/>
      <c r="O135" s="19"/>
      <c r="P135" s="17"/>
      <c r="Q135" s="8"/>
      <c r="R135" s="8"/>
      <c r="S135" s="8"/>
      <c r="T135" s="8"/>
    </row>
    <row r="136" spans="1:20" x14ac:dyDescent="0.2">
      <c r="A136" s="59" t="s">
        <v>253</v>
      </c>
      <c r="B136" s="60">
        <v>0</v>
      </c>
      <c r="C136" s="60">
        <v>0</v>
      </c>
      <c r="D136" s="62">
        <v>0</v>
      </c>
      <c r="E136" s="64">
        <v>0</v>
      </c>
      <c r="F136" s="64">
        <v>0</v>
      </c>
      <c r="G136" s="64">
        <v>1</v>
      </c>
      <c r="H136" s="63">
        <f>+($B$4*D136)+($C$4*E136)+($E$4*F136)+($F$4*G136)</f>
        <v>35.94</v>
      </c>
      <c r="I136" s="63">
        <v>0</v>
      </c>
      <c r="J136" s="63">
        <v>9.85</v>
      </c>
      <c r="K136" s="60">
        <f>(D136+E136+F136+G136)*(B136+C136)</f>
        <v>0</v>
      </c>
      <c r="L136" s="65">
        <f>(H136+I136+J136)*(C136+B136)</f>
        <v>0</v>
      </c>
      <c r="M136" s="8"/>
      <c r="N136" s="8"/>
      <c r="O136" s="19"/>
      <c r="P136" s="17"/>
      <c r="Q136" s="8"/>
      <c r="R136" s="8"/>
      <c r="S136" s="8"/>
      <c r="T136" s="8"/>
    </row>
    <row r="137" spans="1:20" x14ac:dyDescent="0.2">
      <c r="A137" s="114" t="s">
        <v>254</v>
      </c>
      <c r="B137" s="94">
        <f>0.5*0.5*$C$13</f>
        <v>269</v>
      </c>
      <c r="C137" s="94">
        <f>0.5*0.5*$D$13</f>
        <v>1</v>
      </c>
      <c r="D137" s="95">
        <v>0</v>
      </c>
      <c r="E137" s="104">
        <v>0</v>
      </c>
      <c r="F137" s="104">
        <v>0</v>
      </c>
      <c r="G137" s="104">
        <v>4</v>
      </c>
      <c r="H137" s="96">
        <f>+($B$4*D137)+($C$4*E137)+($E$4*F137)+($F$4*G137)</f>
        <v>143.76</v>
      </c>
      <c r="I137" s="96">
        <v>0</v>
      </c>
      <c r="J137" s="96">
        <v>9.85</v>
      </c>
      <c r="K137" s="94">
        <f>(D137+E137+F137+G137)*(B137+C137)</f>
        <v>1080</v>
      </c>
      <c r="L137" s="115">
        <f>(H137+I137+J137)*(C137+B137)</f>
        <v>41474.699999999997</v>
      </c>
      <c r="M137" s="8"/>
      <c r="N137" s="8"/>
      <c r="O137" s="19"/>
      <c r="P137" s="17"/>
      <c r="Q137" s="8"/>
      <c r="R137" s="8"/>
      <c r="S137" s="8"/>
      <c r="T137" s="8"/>
    </row>
    <row r="138" spans="1:20" x14ac:dyDescent="0.2">
      <c r="A138" s="54" t="s">
        <v>265</v>
      </c>
      <c r="B138" s="31"/>
      <c r="C138" s="31"/>
      <c r="D138" s="32"/>
      <c r="E138" s="55"/>
      <c r="F138" s="55"/>
      <c r="G138" s="55"/>
      <c r="H138" s="55"/>
      <c r="I138" s="55"/>
      <c r="J138" s="55"/>
      <c r="K138" s="31"/>
      <c r="L138" s="33"/>
      <c r="M138" s="8"/>
      <c r="N138" s="8"/>
      <c r="O138" s="19"/>
      <c r="P138" s="17"/>
      <c r="Q138" s="8"/>
      <c r="R138" s="8"/>
      <c r="S138" s="8"/>
      <c r="T138" s="8"/>
    </row>
    <row r="139" spans="1:20" ht="10.8" thickBot="1" x14ac:dyDescent="0.25">
      <c r="A139" s="4" t="s">
        <v>266</v>
      </c>
      <c r="B139" s="5">
        <f>0.01*$C$13</f>
        <v>10.76</v>
      </c>
      <c r="C139" s="5">
        <f>0.01*$D$13</f>
        <v>0.04</v>
      </c>
      <c r="D139" s="6">
        <v>0</v>
      </c>
      <c r="E139" s="146">
        <v>0</v>
      </c>
      <c r="F139" s="146">
        <v>0</v>
      </c>
      <c r="G139" s="146">
        <v>2</v>
      </c>
      <c r="H139" s="147">
        <f>+($B$4*D139)+($C$4*E139)+($E$4*F139)+($F$4*G139)</f>
        <v>71.88</v>
      </c>
      <c r="I139" s="147">
        <v>0</v>
      </c>
      <c r="J139" s="147">
        <v>9.85</v>
      </c>
      <c r="K139" s="5">
        <f>(D139+E139+F139+G139)*(B139+C139)</f>
        <v>21.599999999999998</v>
      </c>
      <c r="L139" s="148">
        <f>(H139+I139+J139)*(C139+B139)</f>
        <v>882.68399999999986</v>
      </c>
      <c r="M139" s="8">
        <v>0</v>
      </c>
      <c r="N139" s="8">
        <f>+$D$16</f>
        <v>2</v>
      </c>
      <c r="O139" s="19">
        <f>(((B134+C134)/(M139+N139))*(D134+E134+F134+G134))</f>
        <v>0</v>
      </c>
      <c r="P139" s="17">
        <v>1</v>
      </c>
      <c r="Q139" s="8"/>
      <c r="R139" s="8"/>
      <c r="S139" s="26">
        <f>+I134*(B134+C134)</f>
        <v>0</v>
      </c>
      <c r="T139" s="26">
        <f>+J134*(B134+C134)</f>
        <v>0</v>
      </c>
    </row>
    <row r="140" spans="1:20" ht="10.8" thickBot="1" x14ac:dyDescent="0.25">
      <c r="A140" s="142" t="s">
        <v>64</v>
      </c>
      <c r="B140" s="143" t="s">
        <v>101</v>
      </c>
      <c r="C140" s="143" t="s">
        <v>101</v>
      </c>
      <c r="D140" s="143" t="s">
        <v>101</v>
      </c>
      <c r="E140" s="143" t="s">
        <v>101</v>
      </c>
      <c r="F140" s="143" t="s">
        <v>101</v>
      </c>
      <c r="G140" s="143" t="s">
        <v>101</v>
      </c>
      <c r="H140" s="150" t="s">
        <v>101</v>
      </c>
      <c r="I140" s="150" t="s">
        <v>101</v>
      </c>
      <c r="J140" s="150" t="s">
        <v>101</v>
      </c>
      <c r="K140" s="144">
        <f>SUM(K133:K139)</f>
        <v>1101.5999999999999</v>
      </c>
      <c r="L140" s="145">
        <f>SUM(L133:L139)</f>
        <v>42357.383999999998</v>
      </c>
      <c r="M140" s="8">
        <v>0</v>
      </c>
      <c r="N140" s="8">
        <f>+$D$16</f>
        <v>2</v>
      </c>
      <c r="O140" s="19">
        <f>(((B136+C136)/(M140+N140))*(D136+E136+F136+G136))</f>
        <v>0</v>
      </c>
      <c r="P140" s="17">
        <v>1</v>
      </c>
      <c r="Q140" s="8"/>
      <c r="R140" s="8"/>
      <c r="S140" s="26">
        <f>+I136*(B136+C136)</f>
        <v>0</v>
      </c>
      <c r="T140" s="26">
        <f>+J136*(B136+C136)</f>
        <v>0</v>
      </c>
    </row>
    <row r="141" spans="1:20" x14ac:dyDescent="0.2">
      <c r="A141" s="335" t="s">
        <v>426</v>
      </c>
      <c r="B141" s="336"/>
      <c r="C141" s="336"/>
      <c r="D141" s="337"/>
      <c r="E141" s="338"/>
      <c r="F141" s="338"/>
      <c r="G141" s="338"/>
      <c r="H141" s="338"/>
      <c r="I141" s="339"/>
      <c r="J141" s="339"/>
      <c r="K141" s="338"/>
      <c r="L141" s="340"/>
      <c r="M141" s="8"/>
      <c r="N141" s="8"/>
      <c r="O141" s="19"/>
      <c r="P141" s="17"/>
      <c r="Q141" s="8"/>
      <c r="R141" s="8"/>
      <c r="S141" s="8"/>
      <c r="T141" s="8"/>
    </row>
    <row r="142" spans="1:20" ht="11.25" customHeight="1" x14ac:dyDescent="0.2">
      <c r="A142" s="54" t="s">
        <v>267</v>
      </c>
      <c r="B142" s="31"/>
      <c r="C142" s="31"/>
      <c r="D142" s="32"/>
      <c r="E142" s="55"/>
      <c r="F142" s="55"/>
      <c r="G142" s="55"/>
      <c r="H142" s="55"/>
      <c r="I142" s="55"/>
      <c r="J142" s="55"/>
      <c r="K142" s="31"/>
      <c r="L142" s="58"/>
      <c r="M142" s="8"/>
      <c r="N142" s="8"/>
      <c r="O142" s="19"/>
      <c r="P142" s="17"/>
      <c r="Q142" s="8"/>
      <c r="R142" s="8"/>
      <c r="S142" s="8"/>
      <c r="T142" s="8"/>
    </row>
    <row r="143" spans="1:20" x14ac:dyDescent="0.2">
      <c r="A143" s="59" t="s">
        <v>268</v>
      </c>
      <c r="B143" s="60">
        <v>0</v>
      </c>
      <c r="C143" s="60">
        <v>0</v>
      </c>
      <c r="D143" s="62">
        <v>0.5</v>
      </c>
      <c r="E143" s="64">
        <v>0.5</v>
      </c>
      <c r="F143" s="64">
        <v>0.5</v>
      </c>
      <c r="G143" s="64">
        <v>0.5</v>
      </c>
      <c r="H143" s="63">
        <f>+($B$4*D143)+($C$4*E143)+($E$4*F143)+($F$4*G143)</f>
        <v>155.77000000000001</v>
      </c>
      <c r="I143" s="63">
        <v>0</v>
      </c>
      <c r="J143" s="63">
        <v>0.73</v>
      </c>
      <c r="K143" s="60">
        <f>(D143+E143+F143+G143)*(B143+C143)</f>
        <v>0</v>
      </c>
      <c r="L143" s="65">
        <f>(H143+I143+J143)*(C143+B143)</f>
        <v>0</v>
      </c>
      <c r="M143" s="8"/>
      <c r="N143" s="8"/>
      <c r="O143" s="19"/>
      <c r="P143" s="17"/>
      <c r="Q143" s="8"/>
      <c r="R143" s="8"/>
      <c r="S143" s="8"/>
      <c r="T143" s="8"/>
    </row>
    <row r="144" spans="1:20" ht="11.25" customHeight="1" x14ac:dyDescent="0.2">
      <c r="A144" s="54" t="s">
        <v>269</v>
      </c>
      <c r="B144" s="31"/>
      <c r="C144" s="31"/>
      <c r="D144" s="32"/>
      <c r="E144" s="55"/>
      <c r="F144" s="55"/>
      <c r="G144" s="55"/>
      <c r="H144" s="55"/>
      <c r="I144" s="55"/>
      <c r="J144" s="55"/>
      <c r="K144" s="31"/>
      <c r="L144" s="58"/>
      <c r="M144" s="8"/>
      <c r="N144" s="8"/>
      <c r="O144" s="19"/>
      <c r="P144" s="17"/>
      <c r="Q144" s="8"/>
      <c r="R144" s="8"/>
      <c r="S144" s="8"/>
      <c r="T144" s="8"/>
    </row>
    <row r="145" spans="1:20" x14ac:dyDescent="0.2">
      <c r="A145" s="59" t="s">
        <v>251</v>
      </c>
      <c r="B145" s="60">
        <v>0</v>
      </c>
      <c r="C145" s="60">
        <v>0</v>
      </c>
      <c r="D145" s="62">
        <v>0</v>
      </c>
      <c r="E145" s="64">
        <v>0</v>
      </c>
      <c r="F145" s="64">
        <v>0</v>
      </c>
      <c r="G145" s="64">
        <v>1</v>
      </c>
      <c r="H145" s="63">
        <f>+($B$4*D145)+($C$4*E145)+($E$4*F145)+($F$4*G145)</f>
        <v>35.94</v>
      </c>
      <c r="I145" s="63">
        <v>0</v>
      </c>
      <c r="J145" s="63">
        <v>0.73</v>
      </c>
      <c r="K145" s="60">
        <f>(D145+E145+F145+G145)*(B145+C145)</f>
        <v>0</v>
      </c>
      <c r="L145" s="65">
        <f>(H145+I145+J145)*(C145+B145)</f>
        <v>0</v>
      </c>
      <c r="M145" s="8"/>
      <c r="N145" s="8"/>
      <c r="O145" s="19"/>
      <c r="P145" s="17"/>
      <c r="Q145" s="8"/>
      <c r="R145" s="8"/>
      <c r="S145" s="8"/>
      <c r="T145" s="8"/>
    </row>
    <row r="146" spans="1:20" ht="10.8" thickBot="1" x14ac:dyDescent="0.25">
      <c r="A146" s="54" t="s">
        <v>254</v>
      </c>
      <c r="B146" s="31">
        <f>0.5*0.5*$C$13</f>
        <v>269</v>
      </c>
      <c r="C146" s="31">
        <f>0.5*0.5*$D$13</f>
        <v>1</v>
      </c>
      <c r="D146" s="32">
        <v>0</v>
      </c>
      <c r="E146" s="141">
        <v>0</v>
      </c>
      <c r="F146" s="141">
        <v>0</v>
      </c>
      <c r="G146" s="141">
        <v>4</v>
      </c>
      <c r="H146" s="57">
        <f>+($B$4*D146)+($C$4*E146)+($E$4*F146)+($F$4*G146)</f>
        <v>143.76</v>
      </c>
      <c r="I146" s="57">
        <v>0</v>
      </c>
      <c r="J146" s="57">
        <v>9.85</v>
      </c>
      <c r="K146" s="31">
        <f>(D146+E146+F146+G146)*(B146+C146)</f>
        <v>1080</v>
      </c>
      <c r="L146" s="33">
        <f>(H146+I146+J146)*(C146+B146)</f>
        <v>41474.699999999997</v>
      </c>
      <c r="M146" s="8"/>
      <c r="N146" s="8"/>
      <c r="O146" s="19"/>
      <c r="P146" s="17"/>
      <c r="Q146" s="8"/>
      <c r="R146" s="8"/>
      <c r="S146" s="8"/>
      <c r="T146" s="8"/>
    </row>
    <row r="147" spans="1:20" ht="10.8" thickBot="1" x14ac:dyDescent="0.25">
      <c r="A147" s="142" t="s">
        <v>64</v>
      </c>
      <c r="B147" s="143" t="s">
        <v>101</v>
      </c>
      <c r="C147" s="143" t="s">
        <v>101</v>
      </c>
      <c r="D147" s="143" t="s">
        <v>101</v>
      </c>
      <c r="E147" s="150" t="s">
        <v>101</v>
      </c>
      <c r="F147" s="150" t="s">
        <v>101</v>
      </c>
      <c r="G147" s="150" t="s">
        <v>101</v>
      </c>
      <c r="H147" s="150" t="s">
        <v>101</v>
      </c>
      <c r="I147" s="150" t="s">
        <v>101</v>
      </c>
      <c r="J147" s="150" t="s">
        <v>101</v>
      </c>
      <c r="K147" s="144">
        <f>SUM(K142:K146)</f>
        <v>1080</v>
      </c>
      <c r="L147" s="145">
        <f>SUM(L142:L146)</f>
        <v>41474.699999999997</v>
      </c>
      <c r="M147" s="8">
        <v>0</v>
      </c>
      <c r="N147" s="8">
        <f>+$D$16</f>
        <v>2</v>
      </c>
      <c r="O147" s="19">
        <f>(((B143+C143)/(M147+N147))*(D143+E143+F143+G143))</f>
        <v>0</v>
      </c>
      <c r="P147" s="17">
        <v>1</v>
      </c>
      <c r="Q147" s="8"/>
      <c r="R147" s="8"/>
      <c r="S147" s="26">
        <f>+I143*(B143+C143)</f>
        <v>0</v>
      </c>
      <c r="T147" s="26">
        <f>+J143*(B143+C143)</f>
        <v>0</v>
      </c>
    </row>
    <row r="148" spans="1:20" x14ac:dyDescent="0.2">
      <c r="A148" s="335" t="s">
        <v>427</v>
      </c>
      <c r="B148" s="336"/>
      <c r="C148" s="336"/>
      <c r="D148" s="337"/>
      <c r="E148" s="338"/>
      <c r="F148" s="338"/>
      <c r="G148" s="338"/>
      <c r="H148" s="338"/>
      <c r="I148" s="339"/>
      <c r="J148" s="339"/>
      <c r="K148" s="338"/>
      <c r="L148" s="340"/>
      <c r="M148" s="8">
        <v>0</v>
      </c>
      <c r="N148" s="8">
        <f>+$D$16</f>
        <v>2</v>
      </c>
      <c r="O148" s="19">
        <f>(((B145+C145)/(M148+N148))*(D145+E145+F145+G145))</f>
        <v>0</v>
      </c>
      <c r="P148" s="17">
        <v>1</v>
      </c>
      <c r="Q148" s="8"/>
      <c r="R148" s="8"/>
      <c r="S148" s="26">
        <f>+I145*(B145+C145)</f>
        <v>0</v>
      </c>
      <c r="T148" s="26">
        <f>+J145*(B145+C145)</f>
        <v>0</v>
      </c>
    </row>
    <row r="149" spans="1:20" ht="11.25" customHeight="1" thickBot="1" x14ac:dyDescent="0.25">
      <c r="A149" s="54" t="s">
        <v>270</v>
      </c>
      <c r="B149" s="31">
        <v>0</v>
      </c>
      <c r="C149" s="31">
        <v>0</v>
      </c>
      <c r="D149" s="32">
        <v>4</v>
      </c>
      <c r="E149" s="141">
        <v>1</v>
      </c>
      <c r="F149" s="141">
        <v>2</v>
      </c>
      <c r="G149" s="141">
        <v>1</v>
      </c>
      <c r="H149" s="57">
        <f>+($B$4*D149)+($C$4*E149)+($E$4*F149)+($F$4*G149)</f>
        <v>778.27</v>
      </c>
      <c r="I149" s="57">
        <v>0</v>
      </c>
      <c r="J149" s="57">
        <v>0.73</v>
      </c>
      <c r="K149" s="31">
        <f>(D149+E149+F149+G149)*(B149+C149)</f>
        <v>0</v>
      </c>
      <c r="L149" s="33">
        <f>(H149+I149+J149)*(C149+B149)</f>
        <v>0</v>
      </c>
      <c r="M149" s="8"/>
      <c r="N149" s="8"/>
      <c r="O149" s="19"/>
      <c r="P149" s="17"/>
      <c r="Q149" s="8"/>
      <c r="R149" s="8"/>
      <c r="S149" s="8"/>
      <c r="T149" s="8"/>
    </row>
    <row r="150" spans="1:20" ht="11.25" customHeight="1" thickBot="1" x14ac:dyDescent="0.25">
      <c r="A150" s="142" t="s">
        <v>64</v>
      </c>
      <c r="B150" s="144">
        <f>SUM(B149)</f>
        <v>0</v>
      </c>
      <c r="C150" s="144">
        <f>SUM(C149)</f>
        <v>0</v>
      </c>
      <c r="D150" s="151">
        <v>4</v>
      </c>
      <c r="E150" s="151">
        <f>(E149)</f>
        <v>1</v>
      </c>
      <c r="F150" s="151">
        <f>(F149)</f>
        <v>2</v>
      </c>
      <c r="G150" s="151">
        <f>(G149)</f>
        <v>1</v>
      </c>
      <c r="H150" s="152">
        <f>SUM(H148:H149)</f>
        <v>778.27</v>
      </c>
      <c r="I150" s="152">
        <f>SUM(I148:I149)</f>
        <v>0</v>
      </c>
      <c r="J150" s="152">
        <f>SUM(J148:J149)</f>
        <v>0.73</v>
      </c>
      <c r="K150" s="144">
        <f>(K149)</f>
        <v>0</v>
      </c>
      <c r="L150" s="145">
        <f>SUM(L149)</f>
        <v>0</v>
      </c>
      <c r="M150" s="8"/>
      <c r="N150" s="8"/>
      <c r="O150" s="19"/>
      <c r="P150" s="17"/>
      <c r="Q150" s="8"/>
      <c r="R150" s="8"/>
      <c r="S150" s="8"/>
      <c r="T150" s="8"/>
    </row>
    <row r="151" spans="1:20" x14ac:dyDescent="0.2">
      <c r="A151" s="335" t="s">
        <v>428</v>
      </c>
      <c r="B151" s="336"/>
      <c r="C151" s="336"/>
      <c r="D151" s="337"/>
      <c r="E151" s="338"/>
      <c r="F151" s="338"/>
      <c r="G151" s="338"/>
      <c r="H151" s="338"/>
      <c r="I151" s="339"/>
      <c r="J151" s="339"/>
      <c r="K151" s="338"/>
      <c r="L151" s="340"/>
      <c r="M151" s="8"/>
      <c r="N151" s="8"/>
      <c r="O151" s="19"/>
      <c r="P151" s="17"/>
      <c r="Q151" s="8"/>
      <c r="R151" s="8"/>
      <c r="S151" s="8"/>
      <c r="T151" s="8"/>
    </row>
    <row r="152" spans="1:20" x14ac:dyDescent="0.2">
      <c r="A152" s="114" t="s">
        <v>429</v>
      </c>
      <c r="B152" s="94">
        <v>0</v>
      </c>
      <c r="C152" s="94">
        <f>0.4*0.25*($D$28+$D$31)</f>
        <v>0</v>
      </c>
      <c r="D152" s="95">
        <v>4</v>
      </c>
      <c r="E152" s="104">
        <v>1</v>
      </c>
      <c r="F152" s="104">
        <v>2</v>
      </c>
      <c r="G152" s="104">
        <v>1</v>
      </c>
      <c r="H152" s="96">
        <f>+($B$4*D152)+($C$4*E152)+($E$4*F152)+($F$4*G152)</f>
        <v>778.27</v>
      </c>
      <c r="I152" s="96">
        <v>0</v>
      </c>
      <c r="J152" s="96">
        <v>9.85</v>
      </c>
      <c r="K152" s="94">
        <f>(D152+E152+F152+G152)*(B152+C152)</f>
        <v>0</v>
      </c>
      <c r="L152" s="115">
        <f>(H152+I152+J152)*(C152+B152)</f>
        <v>0</v>
      </c>
      <c r="M152" s="8"/>
      <c r="N152" s="8"/>
      <c r="O152" s="19"/>
      <c r="P152" s="17"/>
      <c r="Q152" s="8"/>
      <c r="R152" s="8"/>
      <c r="S152" s="8"/>
      <c r="T152" s="8"/>
    </row>
    <row r="153" spans="1:20" ht="1.05" customHeight="1" x14ac:dyDescent="0.2">
      <c r="A153" s="116"/>
      <c r="B153" s="98"/>
      <c r="C153" s="98"/>
      <c r="D153" s="99"/>
      <c r="E153" s="97"/>
      <c r="F153" s="97"/>
      <c r="G153" s="97"/>
      <c r="H153" s="97"/>
      <c r="I153" s="97"/>
      <c r="J153" s="97"/>
      <c r="K153" s="98"/>
      <c r="L153" s="119"/>
      <c r="M153" s="8"/>
      <c r="N153" s="8"/>
      <c r="O153" s="19"/>
      <c r="P153" s="17"/>
      <c r="Q153" s="8"/>
      <c r="R153" s="8"/>
      <c r="S153" s="8"/>
      <c r="T153" s="8"/>
    </row>
    <row r="154" spans="1:20" x14ac:dyDescent="0.2">
      <c r="A154" s="114" t="s">
        <v>64</v>
      </c>
      <c r="B154" s="94">
        <f>SUM(B152)</f>
        <v>0</v>
      </c>
      <c r="C154" s="94">
        <f>+C152</f>
        <v>0</v>
      </c>
      <c r="D154" s="104">
        <f t="shared" ref="D154:L154" si="2">SUM(D152:D152)</f>
        <v>4</v>
      </c>
      <c r="E154" s="104">
        <f t="shared" si="2"/>
        <v>1</v>
      </c>
      <c r="F154" s="104">
        <f t="shared" si="2"/>
        <v>2</v>
      </c>
      <c r="G154" s="104">
        <f t="shared" si="2"/>
        <v>1</v>
      </c>
      <c r="H154" s="96">
        <f t="shared" si="2"/>
        <v>778.27</v>
      </c>
      <c r="I154" s="96">
        <f t="shared" si="2"/>
        <v>0</v>
      </c>
      <c r="J154" s="96">
        <f t="shared" si="2"/>
        <v>9.85</v>
      </c>
      <c r="K154" s="94">
        <f t="shared" si="2"/>
        <v>0</v>
      </c>
      <c r="L154" s="115">
        <f t="shared" si="2"/>
        <v>0</v>
      </c>
      <c r="M154" s="8"/>
      <c r="N154" s="8"/>
      <c r="O154" s="19"/>
      <c r="P154" s="17"/>
      <c r="Q154" s="8"/>
      <c r="R154" s="8"/>
      <c r="S154" s="8"/>
      <c r="T154" s="8"/>
    </row>
    <row r="155" spans="1:20" x14ac:dyDescent="0.2">
      <c r="A155" s="335" t="s">
        <v>430</v>
      </c>
      <c r="B155" s="336"/>
      <c r="C155" s="336"/>
      <c r="D155" s="337"/>
      <c r="E155" s="338"/>
      <c r="F155" s="338"/>
      <c r="G155" s="338"/>
      <c r="H155" s="338"/>
      <c r="I155" s="339"/>
      <c r="J155" s="339"/>
      <c r="K155" s="338"/>
      <c r="L155" s="340"/>
      <c r="M155" s="8"/>
      <c r="N155" s="8"/>
      <c r="O155" s="19"/>
      <c r="P155" s="17"/>
      <c r="Q155" s="8"/>
      <c r="R155" s="8"/>
      <c r="S155" s="8"/>
      <c r="T155" s="8"/>
    </row>
    <row r="156" spans="1:20" ht="11.25" customHeight="1" thickBot="1" x14ac:dyDescent="0.25">
      <c r="A156" s="54" t="s">
        <v>271</v>
      </c>
      <c r="B156" s="31">
        <v>0</v>
      </c>
      <c r="C156" s="31">
        <f>0.4*0.25*($D$28+$D$31)</f>
        <v>0</v>
      </c>
      <c r="D156" s="32">
        <v>4</v>
      </c>
      <c r="E156" s="141">
        <v>1</v>
      </c>
      <c r="F156" s="141">
        <v>2</v>
      </c>
      <c r="G156" s="141">
        <v>1</v>
      </c>
      <c r="H156" s="57">
        <f>+($B$4*D156)+($C$4*E156)+($E$4*F156)+($F$4*G156)</f>
        <v>778.27</v>
      </c>
      <c r="I156" s="57">
        <v>0</v>
      </c>
      <c r="J156" s="57">
        <v>0.73</v>
      </c>
      <c r="K156" s="31">
        <f>(D156+E156+F156+G156)*(B156+C156)</f>
        <v>0</v>
      </c>
      <c r="L156" s="33">
        <f>(H156+I156+J156)*(C156+B156)</f>
        <v>0</v>
      </c>
      <c r="M156" s="8"/>
      <c r="N156" s="8"/>
      <c r="O156" s="19"/>
      <c r="P156" s="17"/>
      <c r="Q156" s="8"/>
      <c r="R156" s="8"/>
      <c r="S156" s="8"/>
      <c r="T156" s="8"/>
    </row>
    <row r="157" spans="1:20" ht="11.25" customHeight="1" thickBot="1" x14ac:dyDescent="0.25">
      <c r="A157" s="142" t="s">
        <v>64</v>
      </c>
      <c r="B157" s="144">
        <f>SUM(B156)</f>
        <v>0</v>
      </c>
      <c r="C157" s="144">
        <f>SUM(C156)</f>
        <v>0</v>
      </c>
      <c r="D157" s="153">
        <f>SUM(D156:D156)</f>
        <v>4</v>
      </c>
      <c r="E157" s="153">
        <f>SUM(E156:E156)</f>
        <v>1</v>
      </c>
      <c r="F157" s="153">
        <f>SUM(F156:F156)</f>
        <v>2</v>
      </c>
      <c r="G157" s="153">
        <f>SUM(G156:G156)</f>
        <v>1</v>
      </c>
      <c r="H157" s="152">
        <f>SUM(H155:H156)</f>
        <v>778.27</v>
      </c>
      <c r="I157" s="152">
        <f>SUM(I155:I156)</f>
        <v>0</v>
      </c>
      <c r="J157" s="152">
        <f>SUM(J155:J156)</f>
        <v>0.73</v>
      </c>
      <c r="K157" s="144">
        <f>SUM(K155:K156)</f>
        <v>0</v>
      </c>
      <c r="L157" s="145">
        <f>SUM(L156:L156)</f>
        <v>0</v>
      </c>
      <c r="M157" s="8"/>
      <c r="N157" s="8"/>
      <c r="O157" s="19"/>
      <c r="P157" s="17"/>
      <c r="Q157" s="8"/>
      <c r="R157" s="8"/>
      <c r="S157" s="8"/>
      <c r="T157" s="8"/>
    </row>
    <row r="158" spans="1:20" x14ac:dyDescent="0.2">
      <c r="A158" s="335" t="s">
        <v>431</v>
      </c>
      <c r="B158" s="336"/>
      <c r="C158" s="336"/>
      <c r="D158" s="337"/>
      <c r="E158" s="338"/>
      <c r="F158" s="338"/>
      <c r="G158" s="338"/>
      <c r="H158" s="338"/>
      <c r="I158" s="339"/>
      <c r="J158" s="339"/>
      <c r="K158" s="338"/>
      <c r="L158" s="340"/>
      <c r="M158" s="8"/>
      <c r="N158" s="8"/>
      <c r="O158" s="19"/>
      <c r="P158" s="17"/>
      <c r="Q158" s="8"/>
      <c r="R158" s="8"/>
      <c r="S158" s="8"/>
      <c r="T158" s="8"/>
    </row>
    <row r="159" spans="1:20" ht="11.25" customHeight="1" x14ac:dyDescent="0.2">
      <c r="A159" s="114" t="s">
        <v>272</v>
      </c>
      <c r="B159" s="94">
        <v>0</v>
      </c>
      <c r="C159" s="94">
        <f>0.4*0.25*($D$28+$D$31)</f>
        <v>0</v>
      </c>
      <c r="D159" s="95">
        <v>4.5</v>
      </c>
      <c r="E159" s="104">
        <v>1.5</v>
      </c>
      <c r="F159" s="104">
        <v>1</v>
      </c>
      <c r="G159" s="104">
        <v>1</v>
      </c>
      <c r="H159" s="96">
        <f>+($B$4*D159)+($C$4*E159)+($E$4*F159)+($F$4*G159)</f>
        <v>826.44499999999994</v>
      </c>
      <c r="I159" s="96">
        <v>0</v>
      </c>
      <c r="J159" s="96">
        <v>0</v>
      </c>
      <c r="K159" s="94">
        <f>(D159+E159+F159+G159)*(B159+C159)</f>
        <v>0</v>
      </c>
      <c r="L159" s="115">
        <f>(H159+I159+J159)*(C159+B159)</f>
        <v>0</v>
      </c>
      <c r="M159" s="8"/>
      <c r="N159" s="8"/>
      <c r="O159" s="19"/>
      <c r="P159" s="17"/>
      <c r="Q159" s="8"/>
      <c r="R159" s="8"/>
      <c r="S159" s="8"/>
      <c r="T159" s="8"/>
    </row>
    <row r="160" spans="1:20" x14ac:dyDescent="0.2">
      <c r="A160" s="54" t="s">
        <v>273</v>
      </c>
      <c r="B160" s="31"/>
      <c r="C160" s="31"/>
      <c r="D160" s="32"/>
      <c r="E160" s="55"/>
      <c r="F160" s="55"/>
      <c r="G160" s="55"/>
      <c r="H160" s="55"/>
      <c r="I160" s="55"/>
      <c r="J160" s="55"/>
      <c r="K160" s="31"/>
      <c r="L160" s="58"/>
      <c r="M160" s="8"/>
      <c r="N160" s="8"/>
      <c r="O160" s="19"/>
      <c r="P160" s="17"/>
      <c r="Q160" s="8"/>
      <c r="R160" s="8"/>
      <c r="S160" s="8"/>
      <c r="T160" s="8"/>
    </row>
    <row r="161" spans="1:20" ht="11.25" customHeight="1" thickBot="1" x14ac:dyDescent="0.25">
      <c r="A161" s="4" t="s">
        <v>274</v>
      </c>
      <c r="B161" s="5">
        <v>0</v>
      </c>
      <c r="C161" s="5">
        <f>0.4*0.25*($D$28+$D$31)</f>
        <v>0</v>
      </c>
      <c r="D161" s="6">
        <v>0</v>
      </c>
      <c r="E161" s="146">
        <v>0</v>
      </c>
      <c r="F161" s="146">
        <v>0</v>
      </c>
      <c r="G161" s="146">
        <v>1</v>
      </c>
      <c r="H161" s="147">
        <f>+($B$4*D161)+($C$4*E161)+($E$4*F161)+($F$4*G161)</f>
        <v>35.94</v>
      </c>
      <c r="I161" s="147">
        <v>0</v>
      </c>
      <c r="J161" s="147">
        <v>9.85</v>
      </c>
      <c r="K161" s="5">
        <f>(D161+E161+F161+G161)*(B161+C161)</f>
        <v>0</v>
      </c>
      <c r="L161" s="148">
        <f>(H161+I161+J161)*(C161+B161)</f>
        <v>0</v>
      </c>
      <c r="M161" s="8"/>
      <c r="N161" s="8"/>
      <c r="O161" s="19"/>
      <c r="P161" s="17"/>
      <c r="Q161" s="8"/>
      <c r="R161" s="8"/>
      <c r="S161" s="8"/>
      <c r="T161" s="8"/>
    </row>
    <row r="162" spans="1:20" ht="10.8" thickBot="1" x14ac:dyDescent="0.25">
      <c r="A162" s="142" t="s">
        <v>64</v>
      </c>
      <c r="B162" s="144">
        <v>0</v>
      </c>
      <c r="C162" s="144">
        <f>+C161</f>
        <v>0</v>
      </c>
      <c r="D162" s="151">
        <f t="shared" ref="D162:L162" si="3">SUM(D159:D161)</f>
        <v>4.5</v>
      </c>
      <c r="E162" s="153">
        <f t="shared" si="3"/>
        <v>1.5</v>
      </c>
      <c r="F162" s="153">
        <f t="shared" si="3"/>
        <v>1</v>
      </c>
      <c r="G162" s="153">
        <f t="shared" si="3"/>
        <v>2</v>
      </c>
      <c r="H162" s="152">
        <f t="shared" si="3"/>
        <v>862.38499999999999</v>
      </c>
      <c r="I162" s="152">
        <f t="shared" si="3"/>
        <v>0</v>
      </c>
      <c r="J162" s="152">
        <f t="shared" si="3"/>
        <v>9.85</v>
      </c>
      <c r="K162" s="144">
        <f t="shared" si="3"/>
        <v>0</v>
      </c>
      <c r="L162" s="145">
        <f t="shared" si="3"/>
        <v>0</v>
      </c>
      <c r="M162" s="8"/>
      <c r="N162" s="8"/>
      <c r="O162" s="19"/>
      <c r="P162" s="17"/>
      <c r="Q162" s="8"/>
      <c r="R162" s="8"/>
      <c r="S162" s="8"/>
      <c r="T162" s="8"/>
    </row>
    <row r="163" spans="1:20" x14ac:dyDescent="0.2">
      <c r="A163" s="335" t="s">
        <v>432</v>
      </c>
      <c r="B163" s="336"/>
      <c r="C163" s="336"/>
      <c r="D163" s="337"/>
      <c r="E163" s="338"/>
      <c r="F163" s="338"/>
      <c r="G163" s="338"/>
      <c r="H163" s="338"/>
      <c r="I163" s="339"/>
      <c r="J163" s="339"/>
      <c r="K163" s="338"/>
      <c r="L163" s="340"/>
      <c r="M163" s="8"/>
      <c r="N163" s="8"/>
      <c r="O163" s="19"/>
      <c r="P163" s="17"/>
      <c r="Q163" s="8"/>
      <c r="R163" s="8"/>
      <c r="S163" s="8"/>
      <c r="T163" s="8"/>
    </row>
    <row r="164" spans="1:20" x14ac:dyDescent="0.2">
      <c r="A164" s="54" t="s">
        <v>275</v>
      </c>
      <c r="B164" s="31"/>
      <c r="C164" s="31"/>
      <c r="D164" s="32"/>
      <c r="E164" s="55"/>
      <c r="F164" s="55"/>
      <c r="G164" s="55"/>
      <c r="H164" s="55"/>
      <c r="I164" s="55"/>
      <c r="J164" s="55"/>
      <c r="K164" s="31"/>
      <c r="L164" s="58"/>
      <c r="M164" s="8"/>
      <c r="N164" s="8"/>
      <c r="O164" s="19"/>
      <c r="P164" s="17"/>
      <c r="Q164" s="8"/>
      <c r="R164" s="8"/>
      <c r="S164" s="8"/>
      <c r="T164" s="8"/>
    </row>
    <row r="165" spans="1:20" ht="11.25" customHeight="1" thickBot="1" x14ac:dyDescent="0.25">
      <c r="A165" s="4" t="s">
        <v>276</v>
      </c>
      <c r="B165" s="5">
        <f>0.01*C13</f>
        <v>10.76</v>
      </c>
      <c r="C165" s="5">
        <f>0.01*D13</f>
        <v>0.04</v>
      </c>
      <c r="D165" s="6">
        <v>0</v>
      </c>
      <c r="E165" s="146">
        <v>0</v>
      </c>
      <c r="F165" s="146">
        <v>0</v>
      </c>
      <c r="G165" s="146">
        <v>1</v>
      </c>
      <c r="H165" s="147">
        <f>+($B$4*D165)+($C$4*E165)+($E$4*F165)+($F$4*G165)</f>
        <v>35.94</v>
      </c>
      <c r="I165" s="147">
        <v>0</v>
      </c>
      <c r="J165" s="147">
        <v>0.73</v>
      </c>
      <c r="K165" s="5">
        <f>(D165+E165+F165+G165)*(B165+C165)</f>
        <v>10.799999999999999</v>
      </c>
      <c r="L165" s="148">
        <f>(H165+I165+J165)*(C165+B165)</f>
        <v>396.03599999999989</v>
      </c>
      <c r="M165" s="8"/>
      <c r="N165" s="8"/>
      <c r="O165" s="19"/>
      <c r="P165" s="17"/>
      <c r="Q165" s="8"/>
      <c r="R165" s="8"/>
      <c r="S165" s="8"/>
      <c r="T165" s="8"/>
    </row>
    <row r="166" spans="1:20" ht="10.8" thickBot="1" x14ac:dyDescent="0.25">
      <c r="A166" s="142" t="s">
        <v>64</v>
      </c>
      <c r="B166" s="144">
        <f>+B165</f>
        <v>10.76</v>
      </c>
      <c r="C166" s="144">
        <f>+C165</f>
        <v>0.04</v>
      </c>
      <c r="D166" s="151">
        <v>0</v>
      </c>
      <c r="E166" s="153">
        <f t="shared" ref="E166:L166" si="4">SUM(E164:E165)</f>
        <v>0</v>
      </c>
      <c r="F166" s="153">
        <f t="shared" si="4"/>
        <v>0</v>
      </c>
      <c r="G166" s="153">
        <f t="shared" si="4"/>
        <v>1</v>
      </c>
      <c r="H166" s="152">
        <f t="shared" si="4"/>
        <v>35.94</v>
      </c>
      <c r="I166" s="152">
        <f t="shared" si="4"/>
        <v>0</v>
      </c>
      <c r="J166" s="152">
        <f t="shared" si="4"/>
        <v>0.73</v>
      </c>
      <c r="K166" s="144">
        <f t="shared" si="4"/>
        <v>10.799999999999999</v>
      </c>
      <c r="L166" s="145">
        <f t="shared" si="4"/>
        <v>396.03599999999989</v>
      </c>
      <c r="M166" s="8"/>
      <c r="N166" s="8"/>
      <c r="O166" s="19"/>
      <c r="P166" s="17"/>
      <c r="Q166" s="8"/>
      <c r="R166" s="8"/>
      <c r="S166" s="8"/>
      <c r="T166" s="8"/>
    </row>
    <row r="167" spans="1:20" x14ac:dyDescent="0.2">
      <c r="A167" s="335" t="s">
        <v>433</v>
      </c>
      <c r="B167" s="336"/>
      <c r="C167" s="336"/>
      <c r="D167" s="337"/>
      <c r="E167" s="338"/>
      <c r="F167" s="338"/>
      <c r="G167" s="338"/>
      <c r="H167" s="338"/>
      <c r="I167" s="339"/>
      <c r="J167" s="339"/>
      <c r="K167" s="338"/>
      <c r="L167" s="340"/>
      <c r="M167" s="8"/>
      <c r="N167" s="8"/>
      <c r="O167" s="19"/>
      <c r="P167" s="17"/>
      <c r="Q167" s="8"/>
      <c r="R167" s="8"/>
      <c r="S167" s="8"/>
      <c r="T167" s="8"/>
    </row>
    <row r="168" spans="1:20" ht="11.25" customHeight="1" x14ac:dyDescent="0.2">
      <c r="A168" s="114" t="s">
        <v>277</v>
      </c>
      <c r="B168" s="94">
        <v>0</v>
      </c>
      <c r="C168" s="94">
        <f>0.01*$D$13</f>
        <v>0.04</v>
      </c>
      <c r="D168" s="95">
        <v>0</v>
      </c>
      <c r="E168" s="104">
        <f>SUM(E166:E167)</f>
        <v>0</v>
      </c>
      <c r="F168" s="104">
        <f>SUM(F166:F167)</f>
        <v>0</v>
      </c>
      <c r="G168" s="104">
        <v>4</v>
      </c>
      <c r="H168" s="96">
        <f>+($B$4*D168)+($C$4*E168)+($E$4*F168)+($F$4*G168)</f>
        <v>143.76</v>
      </c>
      <c r="I168" s="96">
        <v>0</v>
      </c>
      <c r="J168" s="96">
        <v>0.73</v>
      </c>
      <c r="K168" s="94">
        <f>(D168+E168+F168+G168)*(B168+C168)</f>
        <v>0.16</v>
      </c>
      <c r="L168" s="115">
        <f>(H168+I168+J168)*(C168+B168)</f>
        <v>5.7795999999999994</v>
      </c>
      <c r="M168" s="8"/>
      <c r="N168" s="8"/>
      <c r="O168" s="19"/>
      <c r="P168" s="17"/>
      <c r="Q168" s="8"/>
      <c r="R168" s="8"/>
      <c r="S168" s="8"/>
      <c r="T168" s="8"/>
    </row>
    <row r="169" spans="1:20" x14ac:dyDescent="0.2">
      <c r="A169" s="54" t="s">
        <v>278</v>
      </c>
      <c r="B169" s="31"/>
      <c r="C169" s="31"/>
      <c r="D169" s="32"/>
      <c r="E169" s="55"/>
      <c r="F169" s="55"/>
      <c r="G169" s="55"/>
      <c r="H169" s="55"/>
      <c r="I169" s="55"/>
      <c r="J169" s="55"/>
      <c r="K169" s="31"/>
      <c r="L169" s="58"/>
      <c r="M169" s="8"/>
      <c r="N169" s="8"/>
      <c r="O169" s="19"/>
      <c r="P169" s="17"/>
      <c r="Q169" s="8"/>
      <c r="R169" s="8"/>
      <c r="S169" s="8"/>
      <c r="T169" s="8"/>
    </row>
    <row r="170" spans="1:20" ht="11.25" customHeight="1" thickBot="1" x14ac:dyDescent="0.25">
      <c r="A170" s="4" t="s">
        <v>279</v>
      </c>
      <c r="B170" s="5">
        <v>0</v>
      </c>
      <c r="C170" s="5">
        <f>0.01*$D$13</f>
        <v>0.04</v>
      </c>
      <c r="D170" s="6">
        <v>0</v>
      </c>
      <c r="E170" s="146">
        <v>0</v>
      </c>
      <c r="F170" s="146">
        <v>0</v>
      </c>
      <c r="G170" s="146">
        <v>2</v>
      </c>
      <c r="H170" s="147">
        <f>+($B$4*D170)+($C$4*E170)+($E$4*F170)+($F$4*G170)</f>
        <v>71.88</v>
      </c>
      <c r="I170" s="147">
        <v>0</v>
      </c>
      <c r="J170" s="147">
        <v>9.85</v>
      </c>
      <c r="K170" s="5">
        <f>(D170+E170+F170+G170)*(B170+C170)</f>
        <v>0.08</v>
      </c>
      <c r="L170" s="148">
        <f>(H170+I170+J170)*(C170+B170)</f>
        <v>3.2691999999999997</v>
      </c>
      <c r="M170" s="8"/>
      <c r="N170" s="8"/>
      <c r="O170" s="19"/>
      <c r="P170" s="17"/>
      <c r="Q170" s="8"/>
      <c r="R170" s="8"/>
      <c r="S170" s="8"/>
      <c r="T170" s="8"/>
    </row>
    <row r="171" spans="1:20" ht="10.8" thickBot="1" x14ac:dyDescent="0.25">
      <c r="A171" s="142" t="s">
        <v>64</v>
      </c>
      <c r="B171" s="144">
        <f>SUM(B168:B170)</f>
        <v>0</v>
      </c>
      <c r="C171" s="144">
        <f>C170</f>
        <v>0.04</v>
      </c>
      <c r="D171" s="151">
        <v>0</v>
      </c>
      <c r="E171" s="153">
        <f>SUM(E168:E170)</f>
        <v>0</v>
      </c>
      <c r="F171" s="153">
        <f>SUM(F168:F170)</f>
        <v>0</v>
      </c>
      <c r="G171" s="153">
        <f t="shared" ref="G171:L171" si="5">SUM(G168:G170)</f>
        <v>6</v>
      </c>
      <c r="H171" s="152">
        <f t="shared" si="5"/>
        <v>215.64</v>
      </c>
      <c r="I171" s="152">
        <f t="shared" si="5"/>
        <v>0</v>
      </c>
      <c r="J171" s="152">
        <f t="shared" si="5"/>
        <v>10.58</v>
      </c>
      <c r="K171" s="144">
        <f t="shared" si="5"/>
        <v>0.24</v>
      </c>
      <c r="L171" s="145">
        <f t="shared" si="5"/>
        <v>9.0488</v>
      </c>
      <c r="M171" s="8"/>
      <c r="N171" s="8"/>
      <c r="O171" s="19"/>
      <c r="P171" s="17"/>
      <c r="Q171" s="8"/>
      <c r="R171" s="8"/>
      <c r="S171" s="8"/>
      <c r="T171" s="8"/>
    </row>
    <row r="172" spans="1:20" x14ac:dyDescent="0.2">
      <c r="A172" s="335" t="s">
        <v>434</v>
      </c>
      <c r="B172" s="336"/>
      <c r="C172" s="336"/>
      <c r="D172" s="337"/>
      <c r="E172" s="338"/>
      <c r="F172" s="338"/>
      <c r="G172" s="338"/>
      <c r="H172" s="338"/>
      <c r="I172" s="339"/>
      <c r="J172" s="339"/>
      <c r="K172" s="338"/>
      <c r="L172" s="340"/>
      <c r="M172" s="8"/>
      <c r="N172" s="8"/>
      <c r="O172" s="19"/>
      <c r="P172" s="17"/>
      <c r="Q172" s="8"/>
      <c r="R172" s="8"/>
      <c r="S172" s="8"/>
      <c r="T172" s="8"/>
    </row>
    <row r="173" spans="1:20" ht="11.25" customHeight="1" x14ac:dyDescent="0.2">
      <c r="A173" s="54" t="s">
        <v>280</v>
      </c>
      <c r="B173" s="31"/>
      <c r="C173" s="31"/>
      <c r="D173" s="32"/>
      <c r="E173" s="141"/>
      <c r="F173" s="141"/>
      <c r="G173" s="141"/>
      <c r="H173" s="141"/>
      <c r="I173" s="141"/>
      <c r="J173" s="141"/>
      <c r="K173" s="31"/>
      <c r="L173" s="33"/>
      <c r="M173" s="8"/>
      <c r="N173" s="8"/>
      <c r="O173" s="19"/>
      <c r="P173" s="17"/>
      <c r="Q173" s="8"/>
      <c r="R173" s="8"/>
      <c r="S173" s="8"/>
      <c r="T173" s="8"/>
    </row>
    <row r="174" spans="1:20" x14ac:dyDescent="0.2">
      <c r="A174" s="59" t="s">
        <v>281</v>
      </c>
      <c r="B174" s="60">
        <v>0</v>
      </c>
      <c r="C174" s="60">
        <f>0.01*$D$13</f>
        <v>0.04</v>
      </c>
      <c r="D174" s="62">
        <v>1</v>
      </c>
      <c r="E174" s="64">
        <v>5</v>
      </c>
      <c r="F174" s="64">
        <v>2</v>
      </c>
      <c r="G174" s="64">
        <v>0.5</v>
      </c>
      <c r="H174" s="63">
        <f>+($B$4*D174)+($C$4*E174)+($E$4*F174)+($F$4*G174)</f>
        <v>674.08</v>
      </c>
      <c r="I174" s="63">
        <v>0</v>
      </c>
      <c r="J174" s="63">
        <v>0.73</v>
      </c>
      <c r="K174" s="60">
        <f>(D174+E174+F174+G174)*(B174+C174)</f>
        <v>0.34</v>
      </c>
      <c r="L174" s="65">
        <f>(H174+I174+J174)*(C174+B174)</f>
        <v>26.992400000000004</v>
      </c>
      <c r="M174" s="8"/>
      <c r="N174" s="8"/>
      <c r="O174" s="19"/>
      <c r="P174" s="17"/>
      <c r="Q174" s="8"/>
      <c r="R174" s="8"/>
      <c r="S174" s="8"/>
      <c r="T174" s="8"/>
    </row>
    <row r="175" spans="1:20" ht="11.25" customHeight="1" x14ac:dyDescent="0.2">
      <c r="A175" s="54" t="s">
        <v>282</v>
      </c>
      <c r="B175" s="31"/>
      <c r="C175" s="31"/>
      <c r="D175" s="32"/>
      <c r="E175" s="55"/>
      <c r="F175" s="55"/>
      <c r="G175" s="55"/>
      <c r="H175" s="55"/>
      <c r="I175" s="55"/>
      <c r="J175" s="55"/>
      <c r="K175" s="31"/>
      <c r="L175" s="58"/>
      <c r="M175" s="8"/>
      <c r="N175" s="8"/>
      <c r="O175" s="19"/>
      <c r="P175" s="17"/>
      <c r="Q175" s="8"/>
      <c r="R175" s="8"/>
      <c r="S175" s="8"/>
      <c r="T175" s="8"/>
    </row>
    <row r="176" spans="1:20" x14ac:dyDescent="0.2">
      <c r="A176" s="59" t="s">
        <v>283</v>
      </c>
      <c r="B176" s="60">
        <v>0</v>
      </c>
      <c r="C176" s="60">
        <f>0.01*$D$13</f>
        <v>0.04</v>
      </c>
      <c r="D176" s="62">
        <v>0</v>
      </c>
      <c r="E176" s="64">
        <v>0</v>
      </c>
      <c r="F176" s="64">
        <v>0</v>
      </c>
      <c r="G176" s="64">
        <v>1</v>
      </c>
      <c r="H176" s="63">
        <f>+($B$4*D176)+($C$4*E176)+($E$4*F176)+($F$4*G176)</f>
        <v>35.94</v>
      </c>
      <c r="I176" s="63">
        <v>0</v>
      </c>
      <c r="J176" s="63">
        <v>0.73</v>
      </c>
      <c r="K176" s="60">
        <f>(D176+E176+F176+G176)*(B176+C176)</f>
        <v>0.04</v>
      </c>
      <c r="L176" s="65">
        <f>(H176+I176+J176)*(C176+B176)</f>
        <v>1.4667999999999999</v>
      </c>
      <c r="M176" s="8"/>
      <c r="N176" s="8"/>
      <c r="O176" s="19"/>
      <c r="P176" s="17"/>
      <c r="Q176" s="8"/>
      <c r="R176" s="8"/>
      <c r="S176" s="8"/>
      <c r="T176" s="8"/>
    </row>
    <row r="177" spans="1:20" x14ac:dyDescent="0.2">
      <c r="A177" s="54" t="s">
        <v>284</v>
      </c>
      <c r="B177" s="31"/>
      <c r="C177" s="31"/>
      <c r="D177" s="32"/>
      <c r="E177" s="55"/>
      <c r="F177" s="55"/>
      <c r="G177" s="55"/>
      <c r="H177" s="55"/>
      <c r="I177" s="55"/>
      <c r="J177" s="55"/>
      <c r="K177" s="31"/>
      <c r="L177" s="58"/>
      <c r="M177" s="8"/>
      <c r="N177" s="8"/>
      <c r="O177" s="19"/>
      <c r="P177" s="17"/>
      <c r="Q177" s="8"/>
      <c r="R177" s="8"/>
      <c r="S177" s="8"/>
      <c r="T177" s="8"/>
    </row>
    <row r="178" spans="1:20" ht="10.8" thickBot="1" x14ac:dyDescent="0.25">
      <c r="A178" s="4" t="s">
        <v>285</v>
      </c>
      <c r="B178" s="5">
        <v>0</v>
      </c>
      <c r="C178" s="154">
        <f>0.01*$D$13*0.01</f>
        <v>4.0000000000000002E-4</v>
      </c>
      <c r="D178" s="6">
        <v>0.75</v>
      </c>
      <c r="E178" s="146">
        <v>0.25</v>
      </c>
      <c r="F178" s="146">
        <v>0.75</v>
      </c>
      <c r="G178" s="146">
        <v>0.25</v>
      </c>
      <c r="H178" s="147">
        <f>+($B$4*D178)+($C$4*E178)+($E$4*F178)+($F$4*G178)</f>
        <v>175.59000000000003</v>
      </c>
      <c r="I178" s="147">
        <v>0</v>
      </c>
      <c r="J178" s="147">
        <v>9.85</v>
      </c>
      <c r="K178" s="5">
        <f>(D178+E178+F178+G178)*(B178+C178)</f>
        <v>8.0000000000000004E-4</v>
      </c>
      <c r="L178" s="148">
        <f>(H178+I178+J178)*(C178+B178)</f>
        <v>7.417600000000002E-2</v>
      </c>
      <c r="M178" s="8"/>
      <c r="N178" s="8"/>
      <c r="O178" s="19"/>
      <c r="P178" s="17"/>
      <c r="Q178" s="8"/>
      <c r="R178" s="8"/>
      <c r="S178" s="8"/>
      <c r="T178" s="8"/>
    </row>
    <row r="179" spans="1:20" ht="10.8" thickBot="1" x14ac:dyDescent="0.25">
      <c r="A179" s="142" t="s">
        <v>64</v>
      </c>
      <c r="B179" s="143" t="s">
        <v>101</v>
      </c>
      <c r="C179" s="143" t="s">
        <v>101</v>
      </c>
      <c r="D179" s="150" t="s">
        <v>101</v>
      </c>
      <c r="E179" s="150" t="s">
        <v>101</v>
      </c>
      <c r="F179" s="150" t="s">
        <v>101</v>
      </c>
      <c r="G179" s="143" t="s">
        <v>101</v>
      </c>
      <c r="H179" s="143" t="s">
        <v>101</v>
      </c>
      <c r="I179" s="143" t="s">
        <v>101</v>
      </c>
      <c r="J179" s="143" t="s">
        <v>101</v>
      </c>
      <c r="K179" s="144">
        <f>SUM(K173:K178)</f>
        <v>0.38080000000000003</v>
      </c>
      <c r="L179" s="145">
        <f>SUM(L173:L178)</f>
        <v>28.533376000000004</v>
      </c>
      <c r="M179" s="8"/>
      <c r="N179" s="8"/>
      <c r="O179" s="19"/>
      <c r="P179" s="17"/>
      <c r="Q179" s="8"/>
      <c r="R179" s="8"/>
      <c r="S179" s="8"/>
      <c r="T179" s="8"/>
    </row>
    <row r="180" spans="1:20" x14ac:dyDescent="0.2">
      <c r="A180" s="155" t="s">
        <v>286</v>
      </c>
      <c r="B180" s="156"/>
      <c r="C180" s="156"/>
      <c r="D180" s="157"/>
      <c r="E180" s="158"/>
      <c r="F180" s="158"/>
      <c r="G180" s="158"/>
      <c r="H180" s="158"/>
      <c r="I180" s="158"/>
      <c r="J180" s="158"/>
      <c r="K180" s="156"/>
      <c r="L180" s="159"/>
      <c r="M180" s="8"/>
      <c r="N180" s="8"/>
      <c r="O180" s="19"/>
      <c r="P180" s="17"/>
      <c r="Q180" s="8"/>
      <c r="R180" s="8"/>
      <c r="S180" s="8"/>
      <c r="T180" s="8"/>
    </row>
    <row r="181" spans="1:20" x14ac:dyDescent="0.2">
      <c r="A181" s="4" t="s">
        <v>287</v>
      </c>
      <c r="B181" s="5"/>
      <c r="C181" s="5"/>
      <c r="D181" s="6"/>
      <c r="E181" s="7"/>
      <c r="F181" s="7"/>
      <c r="G181" s="7"/>
      <c r="H181" s="7"/>
      <c r="I181" s="7"/>
      <c r="J181" s="7"/>
      <c r="K181" s="5"/>
      <c r="L181" s="140"/>
      <c r="M181" s="8">
        <v>0</v>
      </c>
      <c r="N181" s="8">
        <f>+$D$16</f>
        <v>2</v>
      </c>
      <c r="O181" s="19">
        <f>(((B178+C178)/(M181+N181))*(D178+E178+F178+G178))</f>
        <v>4.0000000000000002E-4</v>
      </c>
      <c r="P181" s="17">
        <v>1</v>
      </c>
      <c r="Q181" s="8"/>
      <c r="R181" s="8"/>
      <c r="S181" s="26">
        <f>+I178*(B178+C178)</f>
        <v>0</v>
      </c>
      <c r="T181" s="26">
        <f>+J178*(B178+C178)</f>
        <v>3.9399999999999999E-3</v>
      </c>
    </row>
    <row r="182" spans="1:20" ht="11.25" customHeight="1" thickBot="1" x14ac:dyDescent="0.25">
      <c r="A182" s="160" t="s">
        <v>288</v>
      </c>
      <c r="B182" s="161">
        <v>0</v>
      </c>
      <c r="C182" s="161">
        <f>0.01*$D$13</f>
        <v>0.04</v>
      </c>
      <c r="D182" s="162">
        <v>5</v>
      </c>
      <c r="E182" s="163">
        <v>3</v>
      </c>
      <c r="F182" s="163">
        <v>11</v>
      </c>
      <c r="G182" s="163">
        <v>3</v>
      </c>
      <c r="H182" s="164">
        <f>+($B$4*D182)+($C$4*E182)+($E$4*F182)+($F$4*G182)</f>
        <v>1683.9399999999998</v>
      </c>
      <c r="I182" s="164">
        <v>0</v>
      </c>
      <c r="J182" s="164">
        <v>0</v>
      </c>
      <c r="K182" s="161">
        <f>(D182+E182+F182+G182)*(B182+C182)</f>
        <v>0.88</v>
      </c>
      <c r="L182" s="165">
        <f>(H182+I182+J182)*(C182+B182)</f>
        <v>67.357599999999991</v>
      </c>
      <c r="M182" s="8"/>
      <c r="N182" s="8"/>
      <c r="O182" s="19"/>
      <c r="P182" s="17"/>
      <c r="Q182" s="8"/>
      <c r="R182" s="8"/>
      <c r="S182" s="8"/>
      <c r="T182" s="8"/>
    </row>
    <row r="183" spans="1:20" ht="11.25" customHeight="1" thickBot="1" x14ac:dyDescent="0.25">
      <c r="A183" s="142" t="s">
        <v>64</v>
      </c>
      <c r="B183" s="144">
        <f>SUM(B179:B182)</f>
        <v>0</v>
      </c>
      <c r="C183" s="143">
        <f>+C182</f>
        <v>0.04</v>
      </c>
      <c r="D183" s="150">
        <v>5</v>
      </c>
      <c r="E183" s="150">
        <v>3</v>
      </c>
      <c r="F183" s="150">
        <v>11</v>
      </c>
      <c r="G183" s="150">
        <v>3</v>
      </c>
      <c r="H183" s="152">
        <f>SUM(H182:H182)</f>
        <v>1683.9399999999998</v>
      </c>
      <c r="I183" s="152">
        <f>SUM(I182:I182)</f>
        <v>0</v>
      </c>
      <c r="J183" s="152">
        <f>SUM(J182:J182)</f>
        <v>0</v>
      </c>
      <c r="K183" s="144">
        <f>SUM(K182:K182)</f>
        <v>0.88</v>
      </c>
      <c r="L183" s="145">
        <f>SUM(L182:L182)</f>
        <v>67.357599999999991</v>
      </c>
      <c r="M183" s="8"/>
      <c r="N183" s="8"/>
      <c r="O183" s="19"/>
      <c r="P183" s="17"/>
      <c r="Q183" s="8"/>
      <c r="R183" s="8"/>
      <c r="S183" s="8"/>
      <c r="T183" s="8"/>
    </row>
    <row r="184" spans="1:20" ht="10.8" thickBot="1" x14ac:dyDescent="0.25">
      <c r="A184" s="142" t="s">
        <v>12</v>
      </c>
      <c r="B184" s="143" t="s">
        <v>101</v>
      </c>
      <c r="C184" s="143" t="s">
        <v>101</v>
      </c>
      <c r="D184" s="151">
        <v>0</v>
      </c>
      <c r="E184" s="143" t="s">
        <v>101</v>
      </c>
      <c r="F184" s="143" t="s">
        <v>101</v>
      </c>
      <c r="G184" s="143" t="s">
        <v>101</v>
      </c>
      <c r="H184" s="143" t="s">
        <v>101</v>
      </c>
      <c r="I184" s="143" t="s">
        <v>101</v>
      </c>
      <c r="J184" s="143" t="s">
        <v>101</v>
      </c>
      <c r="K184" s="144">
        <f>K52+K60+K67+K80+K90+K100+K108+K121+K127+K131+K140+K147+K150+K154+K157+K162+K166+K171+K179+K183</f>
        <v>11342.6024</v>
      </c>
      <c r="L184" s="145">
        <f>L52+L60+L67+L80+L90+L100+L108+L121+L127+L131+L140+L147+L150+L154+L157+L162+L166+L171+L179+L183</f>
        <v>810346.77116399992</v>
      </c>
      <c r="M184" s="8"/>
      <c r="N184" s="8"/>
      <c r="O184" s="19"/>
      <c r="P184" s="17"/>
      <c r="Q184" s="8"/>
      <c r="R184" s="8"/>
      <c r="S184" s="8"/>
      <c r="T184" s="8"/>
    </row>
    <row r="185" spans="1:20" x14ac:dyDescent="0.2">
      <c r="A185" s="8"/>
      <c r="B185" s="17"/>
      <c r="C185" s="17"/>
      <c r="D185" s="20"/>
      <c r="E185" s="8"/>
      <c r="F185" s="8"/>
      <c r="G185" s="8"/>
      <c r="H185" s="8"/>
      <c r="I185" s="8"/>
      <c r="J185" s="8"/>
      <c r="K185" s="17"/>
      <c r="L185" s="8"/>
      <c r="M185" s="8">
        <v>0</v>
      </c>
      <c r="N185" s="8">
        <f>+$D$16</f>
        <v>2</v>
      </c>
      <c r="O185" s="19">
        <f>(((B182+C182)/(M185+N185))*(D182+E182+F182+G182))</f>
        <v>0.44</v>
      </c>
      <c r="P185" s="17">
        <v>1</v>
      </c>
      <c r="Q185" s="8"/>
      <c r="R185" s="8"/>
      <c r="S185" s="26">
        <f>+I182*(B182+C182)</f>
        <v>0</v>
      </c>
      <c r="T185" s="26">
        <f>+J182*(B182+C182)</f>
        <v>0</v>
      </c>
    </row>
    <row r="186" spans="1:20" ht="1.0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17"/>
      <c r="L186" s="8"/>
      <c r="M186" s="8"/>
      <c r="N186" s="8"/>
      <c r="O186" s="19"/>
      <c r="P186" s="17"/>
      <c r="Q186" s="8"/>
      <c r="R186" s="8"/>
      <c r="S186" s="8"/>
      <c r="T186" s="8"/>
    </row>
    <row r="187" spans="1:20" x14ac:dyDescent="0.2">
      <c r="M187" s="8"/>
      <c r="N187" s="8"/>
      <c r="O187" s="19"/>
      <c r="P187" s="17"/>
      <c r="Q187" s="8"/>
      <c r="R187" s="8"/>
      <c r="S187" s="8"/>
      <c r="T187" s="8"/>
    </row>
    <row r="188" spans="1:20" ht="1.05" customHeight="1" x14ac:dyDescent="0.2">
      <c r="M188" s="8"/>
      <c r="N188" s="8"/>
      <c r="O188" s="19"/>
      <c r="P188" s="17"/>
      <c r="Q188" s="8"/>
      <c r="R188" s="8"/>
      <c r="S188" s="8"/>
      <c r="T188" s="8"/>
    </row>
    <row r="189" spans="1:20" x14ac:dyDescent="0.2">
      <c r="M189" s="8"/>
      <c r="N189" s="8"/>
      <c r="O189" s="29" t="s">
        <v>32</v>
      </c>
      <c r="P189" s="45" t="s">
        <v>44</v>
      </c>
      <c r="Q189" s="18" t="s">
        <v>130</v>
      </c>
      <c r="R189" s="8"/>
      <c r="S189" s="8"/>
      <c r="T189" s="8"/>
    </row>
    <row r="190" spans="1:20" x14ac:dyDescent="0.2">
      <c r="M190" s="8"/>
      <c r="N190" s="8"/>
      <c r="O190" s="46" t="s">
        <v>125</v>
      </c>
      <c r="P190" s="46" t="s">
        <v>125</v>
      </c>
      <c r="Q190" s="46" t="s">
        <v>125</v>
      </c>
      <c r="R190" s="8"/>
      <c r="S190" s="8"/>
      <c r="T190" s="8"/>
    </row>
    <row r="191" spans="1:20" x14ac:dyDescent="0.2">
      <c r="M191" s="8"/>
      <c r="N191" s="8"/>
      <c r="O191" s="9">
        <f>SUM(O47:O185)</f>
        <v>12.840773333333333</v>
      </c>
      <c r="P191" s="9">
        <f>DSUM(O47:P185,1,$K$1:$K$2)</f>
        <v>12.70744</v>
      </c>
      <c r="Q191" s="9">
        <f>DSUM(O47:P185,1,$K$5:$K$6)</f>
        <v>0</v>
      </c>
      <c r="R191" s="8"/>
      <c r="S191" s="12">
        <f>SUM(S50:S185)</f>
        <v>0</v>
      </c>
      <c r="T191" s="12">
        <f>SUM(T50:T185)</f>
        <v>5952.2921799999995</v>
      </c>
    </row>
  </sheetData>
  <phoneticPr fontId="0" type="noConversion"/>
  <pageMargins left="0.4597222222222222" right="0.43958333333333333" top="0.18958333333333333" bottom="0.23958333333333334" header="0" footer="0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396D-72E4-451D-9E81-E8E8065A25DF}">
  <dimension ref="A1:T71"/>
  <sheetViews>
    <sheetView showOutlineSymbols="0" topLeftCell="A36" zoomScaleNormal="100" zoomScaleSheetLayoutView="100" workbookViewId="0">
      <selection activeCell="Z54" sqref="Z54"/>
    </sheetView>
  </sheetViews>
  <sheetFormatPr defaultColWidth="9.7265625" defaultRowHeight="10.199999999999999" x14ac:dyDescent="0.2"/>
  <cols>
    <col min="1" max="1" width="27.7265625" style="1" customWidth="1"/>
    <col min="2" max="2" width="8.453125" style="1" customWidth="1"/>
    <col min="3" max="3" width="7.81640625" style="1" customWidth="1"/>
    <col min="4" max="4" width="8.453125" style="1" customWidth="1"/>
    <col min="5" max="5" width="8.7265625" style="1" customWidth="1"/>
    <col min="6" max="6" width="8.54296875" style="1" customWidth="1"/>
    <col min="7" max="7" width="8.26953125" style="1" customWidth="1"/>
    <col min="8" max="8" width="8.08984375" style="1" customWidth="1"/>
    <col min="9" max="9" width="8.7265625" style="1" customWidth="1"/>
    <col min="10" max="10" width="8.08984375" style="1" customWidth="1"/>
    <col min="11" max="11" width="9.08984375" style="1" customWidth="1"/>
    <col min="12" max="12" width="9.54296875" style="1" customWidth="1"/>
    <col min="13" max="14" width="13.7265625" style="1" hidden="1" customWidth="1"/>
    <col min="15" max="17" width="9.7265625" style="1" hidden="1" customWidth="1"/>
    <col min="18" max="18" width="6.7265625" style="1" hidden="1" customWidth="1"/>
    <col min="19" max="21" width="0" style="1" hidden="1" customWidth="1"/>
    <col min="22" max="16384" width="9.7265625" style="1"/>
  </cols>
  <sheetData>
    <row r="1" spans="1:19" hidden="1" x14ac:dyDescent="0.2">
      <c r="A1" s="11" t="s">
        <v>33</v>
      </c>
      <c r="B1" s="15" t="s">
        <v>40</v>
      </c>
      <c r="C1" s="15" t="s">
        <v>46</v>
      </c>
      <c r="D1" s="8"/>
      <c r="E1" s="15" t="s">
        <v>48</v>
      </c>
      <c r="F1" s="15" t="s">
        <v>49</v>
      </c>
      <c r="G1" s="8"/>
      <c r="H1" s="8"/>
      <c r="I1" s="8"/>
      <c r="J1" s="8"/>
      <c r="K1" s="18" t="s">
        <v>50</v>
      </c>
      <c r="L1" s="8"/>
      <c r="M1" s="8"/>
      <c r="N1" s="8"/>
      <c r="O1" s="8"/>
      <c r="P1" s="19"/>
      <c r="Q1" s="8"/>
      <c r="R1" s="8"/>
      <c r="S1" s="8"/>
    </row>
    <row r="2" spans="1:19" hidden="1" x14ac:dyDescent="0.2">
      <c r="A2" s="11" t="s">
        <v>34</v>
      </c>
      <c r="B2" s="8"/>
      <c r="C2" s="12"/>
      <c r="D2" s="8"/>
      <c r="E2" s="12"/>
      <c r="F2" s="12"/>
      <c r="G2" s="8"/>
      <c r="H2" s="8"/>
      <c r="I2" s="8"/>
      <c r="J2" s="8"/>
      <c r="K2" s="8">
        <v>1</v>
      </c>
      <c r="L2" s="8"/>
      <c r="M2" s="8"/>
      <c r="N2" s="8"/>
      <c r="O2" s="8"/>
      <c r="P2" s="19"/>
      <c r="Q2" s="8"/>
      <c r="R2" s="8"/>
      <c r="S2" s="8"/>
    </row>
    <row r="3" spans="1:19" hidden="1" x14ac:dyDescent="0.2">
      <c r="A3" s="11" t="s">
        <v>35</v>
      </c>
      <c r="B3" s="8"/>
      <c r="C3" s="20"/>
      <c r="D3" s="8"/>
      <c r="E3" s="20"/>
      <c r="F3" s="20"/>
      <c r="G3" s="8"/>
      <c r="H3" s="8"/>
      <c r="I3" s="8"/>
      <c r="J3" s="8"/>
      <c r="K3" s="8"/>
      <c r="L3" s="8"/>
      <c r="M3" s="8"/>
      <c r="N3" s="8"/>
      <c r="O3" s="8"/>
      <c r="P3" s="19"/>
      <c r="Q3" s="8"/>
      <c r="R3" s="8"/>
      <c r="S3" s="8"/>
    </row>
    <row r="4" spans="1:19" hidden="1" x14ac:dyDescent="0.2">
      <c r="A4" s="11" t="s">
        <v>36</v>
      </c>
      <c r="B4" s="68">
        <v>135.66</v>
      </c>
      <c r="C4" s="12">
        <v>80.19</v>
      </c>
      <c r="D4" s="8">
        <v>0</v>
      </c>
      <c r="E4" s="12">
        <v>59.75</v>
      </c>
      <c r="F4" s="12">
        <v>35.94</v>
      </c>
      <c r="G4" s="8"/>
      <c r="H4" s="8"/>
      <c r="I4" s="8"/>
      <c r="J4" s="8"/>
      <c r="K4" s="8"/>
      <c r="L4" s="8"/>
      <c r="M4" s="8"/>
      <c r="N4" s="8"/>
      <c r="O4" s="8"/>
      <c r="P4" s="19"/>
      <c r="Q4" s="8"/>
      <c r="R4" s="8"/>
      <c r="S4" s="8"/>
    </row>
    <row r="5" spans="1:19" hidden="1" x14ac:dyDescent="0.2">
      <c r="A5" s="8"/>
      <c r="B5" s="8"/>
      <c r="C5" s="12"/>
      <c r="D5" s="8"/>
      <c r="E5" s="8"/>
      <c r="F5" s="8"/>
      <c r="G5" s="8"/>
      <c r="H5" s="8"/>
      <c r="I5" s="8"/>
      <c r="J5" s="8"/>
      <c r="K5" s="18" t="s">
        <v>50</v>
      </c>
      <c r="L5" s="8"/>
      <c r="M5" s="8"/>
      <c r="N5" s="8"/>
      <c r="O5" s="8"/>
      <c r="P5" s="19"/>
      <c r="Q5" s="8"/>
      <c r="R5" s="8"/>
      <c r="S5" s="8"/>
    </row>
    <row r="6" spans="1:19" hidden="1" x14ac:dyDescent="0.2">
      <c r="A6" s="11" t="s">
        <v>37</v>
      </c>
      <c r="B6" s="8"/>
      <c r="C6" s="15" t="s">
        <v>46</v>
      </c>
      <c r="D6" s="8"/>
      <c r="E6" s="15" t="s">
        <v>48</v>
      </c>
      <c r="F6" s="15" t="s">
        <v>49</v>
      </c>
      <c r="G6" s="8"/>
      <c r="H6" s="8"/>
      <c r="I6" s="8"/>
      <c r="J6" s="8"/>
      <c r="K6" s="8">
        <v>2</v>
      </c>
      <c r="L6" s="8"/>
      <c r="M6" s="8"/>
      <c r="N6" s="8"/>
      <c r="O6" s="8"/>
      <c r="P6" s="19"/>
      <c r="Q6" s="8"/>
      <c r="R6" s="8"/>
      <c r="S6" s="8"/>
    </row>
    <row r="7" spans="1:19" hidden="1" x14ac:dyDescent="0.2">
      <c r="A7" s="11" t="s">
        <v>34</v>
      </c>
      <c r="B7" s="8"/>
      <c r="C7" s="12"/>
      <c r="D7" s="8"/>
      <c r="E7" s="12"/>
      <c r="F7" s="12"/>
      <c r="G7" s="8"/>
      <c r="H7" s="8"/>
      <c r="I7" s="8"/>
      <c r="J7" s="8"/>
      <c r="K7" s="8"/>
      <c r="L7" s="8"/>
      <c r="M7" s="8"/>
      <c r="N7" s="8"/>
      <c r="O7" s="8"/>
      <c r="P7" s="19"/>
      <c r="Q7" s="8"/>
      <c r="R7" s="8"/>
      <c r="S7" s="8"/>
    </row>
    <row r="8" spans="1:19" hidden="1" x14ac:dyDescent="0.2">
      <c r="A8" s="11" t="s">
        <v>35</v>
      </c>
      <c r="B8" s="8"/>
      <c r="C8" s="20"/>
      <c r="D8" s="8"/>
      <c r="E8" s="20"/>
      <c r="F8" s="20"/>
      <c r="G8" s="8"/>
      <c r="H8" s="8"/>
      <c r="I8" s="8"/>
      <c r="J8" s="8"/>
      <c r="K8" s="8"/>
      <c r="L8" s="8"/>
      <c r="M8" s="8"/>
      <c r="N8" s="8"/>
      <c r="O8" s="8"/>
      <c r="P8" s="19"/>
      <c r="Q8" s="8"/>
      <c r="R8" s="8"/>
      <c r="S8" s="8"/>
    </row>
    <row r="9" spans="1:19" hidden="1" x14ac:dyDescent="0.2">
      <c r="A9" s="11" t="s">
        <v>36</v>
      </c>
      <c r="B9" s="68" t="s">
        <v>379</v>
      </c>
      <c r="C9" s="12" t="s">
        <v>379</v>
      </c>
      <c r="D9" s="8"/>
      <c r="E9" s="12" t="s">
        <v>379</v>
      </c>
      <c r="F9" s="12" t="s">
        <v>379</v>
      </c>
      <c r="G9" s="8"/>
      <c r="H9" s="8"/>
      <c r="I9" s="8"/>
      <c r="J9" s="8"/>
      <c r="K9" s="8"/>
      <c r="L9" s="8"/>
      <c r="M9" s="8"/>
      <c r="N9" s="8"/>
      <c r="O9" s="8"/>
      <c r="P9" s="19"/>
      <c r="Q9" s="8"/>
      <c r="R9" s="8"/>
      <c r="S9" s="8"/>
    </row>
    <row r="10" spans="1:19" hidden="1" x14ac:dyDescent="0.2">
      <c r="A10" s="11"/>
      <c r="B10" s="8"/>
      <c r="C10" s="12" t="s">
        <v>379</v>
      </c>
      <c r="D10" s="8"/>
      <c r="E10" s="12"/>
      <c r="F10" s="12"/>
      <c r="G10" s="8"/>
      <c r="H10" s="8"/>
      <c r="I10" s="8"/>
      <c r="J10" s="8"/>
      <c r="K10" s="8"/>
      <c r="L10" s="8"/>
      <c r="M10" s="8"/>
      <c r="N10" s="8"/>
      <c r="O10" s="8"/>
      <c r="P10" s="19"/>
      <c r="Q10" s="8"/>
      <c r="R10" s="8"/>
      <c r="S10" s="8"/>
    </row>
    <row r="11" spans="1:19" hidden="1" x14ac:dyDescent="0.2">
      <c r="A11" s="11" t="s">
        <v>13</v>
      </c>
      <c r="B11" s="8"/>
      <c r="C11" s="12"/>
      <c r="D11" s="8" t="s">
        <v>30</v>
      </c>
      <c r="E11" s="12"/>
      <c r="F11" s="12"/>
      <c r="G11" s="8"/>
      <c r="H11" s="8"/>
      <c r="I11" s="8"/>
      <c r="J11" s="8"/>
      <c r="K11" s="8"/>
      <c r="L11" s="8"/>
      <c r="M11" s="8"/>
      <c r="N11" s="8"/>
      <c r="O11" s="8"/>
      <c r="P11" s="19"/>
      <c r="Q11" s="8"/>
      <c r="R11" s="8"/>
      <c r="S11" s="8"/>
    </row>
    <row r="12" spans="1:19" hidden="1" x14ac:dyDescent="0.2">
      <c r="A12" s="11"/>
      <c r="B12" s="8"/>
      <c r="C12" s="14" t="s">
        <v>29</v>
      </c>
      <c r="D12" s="15" t="s">
        <v>31</v>
      </c>
      <c r="E12" s="14" t="s">
        <v>32</v>
      </c>
      <c r="F12" s="12"/>
      <c r="G12" s="8"/>
      <c r="H12" s="8"/>
      <c r="I12" s="8"/>
      <c r="J12" s="8"/>
      <c r="K12" s="8"/>
      <c r="L12" s="8"/>
      <c r="M12" s="8"/>
      <c r="N12" s="8"/>
      <c r="O12" s="8"/>
      <c r="P12" s="19"/>
      <c r="Q12" s="8"/>
      <c r="R12" s="8"/>
      <c r="S12" s="8"/>
    </row>
    <row r="13" spans="1:19" hidden="1" x14ac:dyDescent="0.2">
      <c r="A13" s="11" t="s">
        <v>14</v>
      </c>
      <c r="B13" s="8"/>
      <c r="C13" s="8">
        <v>1076</v>
      </c>
      <c r="D13" s="8">
        <v>4</v>
      </c>
      <c r="E13" s="28">
        <f t="shared" ref="E13:E25" si="0">+C13+D13</f>
        <v>1080</v>
      </c>
      <c r="F13" s="12"/>
      <c r="G13" s="21"/>
      <c r="H13" s="8"/>
      <c r="I13" s="8"/>
      <c r="J13" s="8"/>
      <c r="K13" s="8"/>
      <c r="L13" s="8"/>
      <c r="M13" s="8"/>
      <c r="N13" s="8"/>
      <c r="O13" s="8"/>
      <c r="P13" s="22"/>
      <c r="Q13" s="16"/>
      <c r="R13" s="16"/>
      <c r="S13" s="16"/>
    </row>
    <row r="14" spans="1:19" hidden="1" x14ac:dyDescent="0.2">
      <c r="A14" s="11" t="s">
        <v>15</v>
      </c>
      <c r="B14" s="8"/>
      <c r="C14" s="17">
        <v>323</v>
      </c>
      <c r="D14" s="17">
        <v>1</v>
      </c>
      <c r="E14" s="17">
        <f t="shared" si="0"/>
        <v>324</v>
      </c>
      <c r="F14" s="10">
        <v>0.25</v>
      </c>
      <c r="G14" s="8"/>
      <c r="H14" s="8"/>
      <c r="I14" s="8"/>
      <c r="J14" s="8"/>
      <c r="K14" s="8"/>
      <c r="L14" s="8"/>
      <c r="M14" s="8"/>
      <c r="N14" s="8"/>
      <c r="O14" s="8"/>
      <c r="P14" s="19"/>
      <c r="Q14" s="8"/>
      <c r="R14" s="8"/>
      <c r="S14" s="8"/>
    </row>
    <row r="15" spans="1:19" hidden="1" x14ac:dyDescent="0.2">
      <c r="A15" s="11" t="s">
        <v>16</v>
      </c>
      <c r="B15" s="8"/>
      <c r="C15" s="17">
        <v>215</v>
      </c>
      <c r="D15" s="17">
        <v>1</v>
      </c>
      <c r="E15" s="17">
        <f t="shared" si="0"/>
        <v>216</v>
      </c>
      <c r="F15" s="10">
        <v>0.75</v>
      </c>
      <c r="G15" s="8"/>
      <c r="H15" s="8"/>
      <c r="I15" s="8"/>
      <c r="J15" s="8"/>
      <c r="K15" s="8"/>
      <c r="L15" s="8"/>
      <c r="M15" s="8"/>
      <c r="N15" s="8"/>
      <c r="O15" s="8"/>
      <c r="P15" s="19"/>
      <c r="Q15" s="8"/>
      <c r="R15" s="8"/>
      <c r="S15" s="8"/>
    </row>
    <row r="16" spans="1:19" hidden="1" x14ac:dyDescent="0.2">
      <c r="A16" s="11" t="s">
        <v>17</v>
      </c>
      <c r="B16" s="8"/>
      <c r="C16" s="28">
        <v>538</v>
      </c>
      <c r="D16" s="28">
        <v>2</v>
      </c>
      <c r="E16" s="8">
        <f t="shared" si="0"/>
        <v>540</v>
      </c>
      <c r="F16" s="12"/>
      <c r="G16" s="8"/>
      <c r="H16" s="8"/>
      <c r="I16" s="8"/>
      <c r="J16" s="8"/>
      <c r="K16" s="8"/>
      <c r="L16" s="8"/>
      <c r="M16" s="8"/>
      <c r="N16" s="8"/>
      <c r="O16" s="8"/>
      <c r="P16" s="19"/>
      <c r="Q16" s="8"/>
      <c r="R16" s="8"/>
      <c r="S16" s="8"/>
    </row>
    <row r="17" spans="1:16" hidden="1" x14ac:dyDescent="0.2">
      <c r="A17" s="11" t="s">
        <v>18</v>
      </c>
      <c r="B17" s="8"/>
      <c r="C17" s="28">
        <v>0</v>
      </c>
      <c r="D17" s="28">
        <v>0</v>
      </c>
      <c r="E17" s="28">
        <f t="shared" si="0"/>
        <v>0</v>
      </c>
      <c r="F17" s="12"/>
      <c r="G17" s="8"/>
      <c r="H17" s="8"/>
      <c r="I17" s="8"/>
      <c r="J17" s="8"/>
      <c r="K17" s="8"/>
      <c r="L17" s="8"/>
      <c r="M17" s="8"/>
      <c r="N17" s="8"/>
      <c r="O17" s="8"/>
      <c r="P17" s="19"/>
    </row>
    <row r="18" spans="1:16" hidden="1" x14ac:dyDescent="0.2">
      <c r="A18" s="11" t="s">
        <v>19</v>
      </c>
      <c r="B18" s="8"/>
      <c r="C18" s="8">
        <v>418</v>
      </c>
      <c r="D18" s="8">
        <v>2</v>
      </c>
      <c r="E18" s="8">
        <f t="shared" si="0"/>
        <v>420</v>
      </c>
      <c r="F18" s="12"/>
      <c r="G18" s="8"/>
      <c r="H18" s="8"/>
      <c r="I18" s="8"/>
      <c r="J18" s="8"/>
      <c r="K18" s="8"/>
      <c r="L18" s="8"/>
      <c r="M18" s="8"/>
      <c r="N18" s="8"/>
      <c r="O18" s="8"/>
      <c r="P18" s="19"/>
    </row>
    <row r="19" spans="1:16" hidden="1" x14ac:dyDescent="0.2">
      <c r="A19" s="11" t="s">
        <v>20</v>
      </c>
      <c r="B19" s="8"/>
      <c r="C19" s="28">
        <v>341</v>
      </c>
      <c r="D19" s="28">
        <v>1</v>
      </c>
      <c r="E19" s="28">
        <f t="shared" si="0"/>
        <v>342</v>
      </c>
      <c r="F19" s="12"/>
      <c r="G19" s="8"/>
      <c r="H19" s="8"/>
      <c r="I19" s="8"/>
      <c r="J19" s="8"/>
      <c r="K19" s="8"/>
      <c r="L19" s="8"/>
      <c r="M19" s="8"/>
      <c r="N19" s="8"/>
      <c r="O19" s="8"/>
      <c r="P19" s="19"/>
    </row>
    <row r="20" spans="1:16" hidden="1" x14ac:dyDescent="0.2">
      <c r="A20" s="11" t="s">
        <v>51</v>
      </c>
      <c r="B20" s="8"/>
      <c r="C20" s="28">
        <v>46</v>
      </c>
      <c r="D20" s="28">
        <v>0</v>
      </c>
      <c r="E20" s="28">
        <f t="shared" si="0"/>
        <v>46</v>
      </c>
      <c r="F20" s="12"/>
      <c r="G20" s="8"/>
      <c r="H20" s="8"/>
      <c r="I20" s="8"/>
      <c r="J20" s="8"/>
      <c r="K20" s="8"/>
      <c r="L20" s="8"/>
      <c r="M20" s="8"/>
      <c r="N20" s="8"/>
      <c r="O20" s="8"/>
      <c r="P20" s="19"/>
    </row>
    <row r="21" spans="1:16" hidden="1" x14ac:dyDescent="0.2">
      <c r="A21" s="11" t="s">
        <v>52</v>
      </c>
      <c r="B21" s="8"/>
      <c r="C21" s="28">
        <v>1</v>
      </c>
      <c r="D21" s="28">
        <v>0</v>
      </c>
      <c r="E21" s="28">
        <f t="shared" si="0"/>
        <v>1</v>
      </c>
      <c r="F21" s="12"/>
      <c r="G21" s="8"/>
      <c r="H21" s="8"/>
      <c r="I21" s="8"/>
      <c r="J21" s="8"/>
      <c r="K21" s="8"/>
      <c r="L21" s="8"/>
      <c r="M21" s="8"/>
      <c r="N21" s="8"/>
      <c r="O21" s="8"/>
      <c r="P21" s="19"/>
    </row>
    <row r="22" spans="1:16" hidden="1" x14ac:dyDescent="0.2">
      <c r="A22" s="11" t="s">
        <v>53</v>
      </c>
      <c r="B22" s="8"/>
      <c r="C22" s="28">
        <v>294</v>
      </c>
      <c r="D22" s="28">
        <v>1</v>
      </c>
      <c r="E22" s="28">
        <f t="shared" si="0"/>
        <v>295</v>
      </c>
      <c r="F22" s="12"/>
      <c r="G22" s="8"/>
      <c r="H22" s="8"/>
      <c r="I22" s="8"/>
      <c r="J22" s="8"/>
      <c r="K22" s="8"/>
      <c r="L22" s="8"/>
      <c r="M22" s="8"/>
      <c r="N22" s="8"/>
      <c r="O22" s="8"/>
      <c r="P22" s="19"/>
    </row>
    <row r="23" spans="1:16" hidden="1" x14ac:dyDescent="0.2">
      <c r="A23" s="11" t="s">
        <v>54</v>
      </c>
      <c r="B23" s="8"/>
      <c r="C23" s="28">
        <v>295</v>
      </c>
      <c r="D23" s="28">
        <v>1</v>
      </c>
      <c r="E23" s="28">
        <f t="shared" si="0"/>
        <v>296</v>
      </c>
      <c r="F23" s="12"/>
      <c r="G23" s="8"/>
      <c r="H23" s="8"/>
      <c r="I23" s="8"/>
      <c r="J23" s="8"/>
      <c r="K23" s="8"/>
      <c r="L23" s="8"/>
      <c r="M23" s="8"/>
      <c r="N23" s="8"/>
      <c r="O23" s="8"/>
      <c r="P23" s="19"/>
    </row>
    <row r="24" spans="1:16" hidden="1" x14ac:dyDescent="0.2">
      <c r="A24" s="11" t="s">
        <v>22</v>
      </c>
      <c r="B24" s="8"/>
      <c r="C24" s="17">
        <v>40</v>
      </c>
      <c r="D24" s="17">
        <v>0</v>
      </c>
      <c r="E24" s="17">
        <f t="shared" si="0"/>
        <v>40</v>
      </c>
      <c r="F24" s="12"/>
      <c r="G24" s="8"/>
      <c r="H24" s="8"/>
      <c r="I24" s="8"/>
      <c r="J24" s="8"/>
      <c r="K24" s="8"/>
      <c r="L24" s="8"/>
      <c r="M24" s="8"/>
      <c r="N24" s="8"/>
      <c r="O24" s="8"/>
      <c r="P24" s="19"/>
    </row>
    <row r="25" spans="1:16" hidden="1" x14ac:dyDescent="0.2">
      <c r="A25" s="11" t="s">
        <v>55</v>
      </c>
      <c r="B25" s="8" t="s">
        <v>379</v>
      </c>
      <c r="C25" s="8">
        <v>1</v>
      </c>
      <c r="D25" s="8">
        <v>0</v>
      </c>
      <c r="E25" s="8">
        <f t="shared" si="0"/>
        <v>1</v>
      </c>
      <c r="F25" s="12"/>
      <c r="G25" s="8"/>
      <c r="H25" s="8"/>
      <c r="I25" s="8"/>
      <c r="J25" s="8"/>
      <c r="K25" s="8"/>
      <c r="L25" s="8"/>
      <c r="M25" s="8"/>
      <c r="N25" s="8"/>
      <c r="O25" s="8"/>
      <c r="P25" s="19"/>
    </row>
    <row r="26" spans="1:16" hidden="1" x14ac:dyDescent="0.2">
      <c r="A26" s="11" t="s">
        <v>23</v>
      </c>
      <c r="B26" s="8"/>
      <c r="C26" s="8">
        <v>0</v>
      </c>
      <c r="D26" s="8">
        <v>0</v>
      </c>
      <c r="E26" s="8">
        <v>0</v>
      </c>
      <c r="F26" s="12"/>
      <c r="G26" s="8"/>
      <c r="H26" s="8"/>
      <c r="I26" s="8"/>
      <c r="J26" s="8"/>
      <c r="K26" s="8"/>
      <c r="L26" s="8"/>
      <c r="M26" s="8"/>
      <c r="N26" s="8"/>
      <c r="O26" s="8"/>
      <c r="P26" s="19"/>
    </row>
    <row r="27" spans="1:16" hidden="1" x14ac:dyDescent="0.2">
      <c r="A27" s="11" t="s">
        <v>24</v>
      </c>
      <c r="B27" s="8" t="s">
        <v>379</v>
      </c>
      <c r="C27" s="8">
        <v>1</v>
      </c>
      <c r="D27" s="8">
        <v>0</v>
      </c>
      <c r="E27" s="8">
        <v>1</v>
      </c>
      <c r="F27" s="12"/>
      <c r="G27" s="8"/>
      <c r="H27" s="8"/>
      <c r="I27" s="8"/>
      <c r="J27" s="8"/>
      <c r="K27" s="8"/>
      <c r="L27" s="8"/>
      <c r="M27" s="8"/>
      <c r="N27" s="8"/>
      <c r="O27" s="8"/>
      <c r="P27" s="19"/>
    </row>
    <row r="28" spans="1:16" hidden="1" x14ac:dyDescent="0.2">
      <c r="A28" s="11" t="s">
        <v>25</v>
      </c>
      <c r="B28" s="8"/>
      <c r="C28" s="28">
        <v>7</v>
      </c>
      <c r="D28" s="28">
        <v>0</v>
      </c>
      <c r="E28" s="28">
        <f>+C28+D28</f>
        <v>7</v>
      </c>
      <c r="F28" s="10">
        <v>0.05</v>
      </c>
      <c r="G28" s="8"/>
      <c r="H28" s="8"/>
      <c r="I28" s="8"/>
      <c r="J28" s="8"/>
      <c r="K28" s="8"/>
      <c r="L28" s="8"/>
      <c r="M28" s="8"/>
      <c r="N28" s="8"/>
      <c r="O28" s="8"/>
      <c r="P28" s="19"/>
    </row>
    <row r="29" spans="1:16" hidden="1" x14ac:dyDescent="0.2">
      <c r="A29" s="11" t="s">
        <v>26</v>
      </c>
      <c r="B29" s="8"/>
      <c r="C29" s="28">
        <v>1</v>
      </c>
      <c r="D29" s="28">
        <v>0</v>
      </c>
      <c r="E29" s="28">
        <f>+C29+D29</f>
        <v>1</v>
      </c>
      <c r="F29" s="12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idden="1" x14ac:dyDescent="0.2">
      <c r="A30" s="11" t="s">
        <v>56</v>
      </c>
      <c r="B30" s="8"/>
      <c r="C30" s="8">
        <v>512</v>
      </c>
      <c r="D30" s="8">
        <v>2</v>
      </c>
      <c r="E30" s="8">
        <f>+C30+D30</f>
        <v>514</v>
      </c>
      <c r="F30" s="12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idden="1" x14ac:dyDescent="0.2">
      <c r="A31" s="11" t="s">
        <v>27</v>
      </c>
      <c r="B31" s="8"/>
      <c r="C31" s="8">
        <v>32</v>
      </c>
      <c r="D31" s="8">
        <v>0</v>
      </c>
      <c r="E31" s="8">
        <f>+C31+D31</f>
        <v>32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idden="1" x14ac:dyDescent="0.2">
      <c r="A32" s="11" t="s">
        <v>57</v>
      </c>
      <c r="B32" s="8"/>
      <c r="C32" s="8">
        <v>3</v>
      </c>
      <c r="D32" s="8">
        <v>0</v>
      </c>
      <c r="E32" s="8">
        <f>+C32+D32</f>
        <v>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20" hidden="1" x14ac:dyDescent="0.2">
      <c r="A33" s="11" t="s">
        <v>28</v>
      </c>
      <c r="B33" s="8"/>
      <c r="C33" s="8">
        <v>0</v>
      </c>
      <c r="D33" s="8">
        <v>0</v>
      </c>
      <c r="E33" s="8">
        <f>C33+D33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idden="1" x14ac:dyDescent="0.2">
      <c r="A34" s="8"/>
      <c r="B34" s="17"/>
      <c r="C34" s="17"/>
      <c r="D34" s="20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idden="1" x14ac:dyDescent="0.2">
      <c r="A35" s="8"/>
      <c r="B35" s="17"/>
      <c r="C35" s="17"/>
      <c r="D35" s="20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7.399999999999999" x14ac:dyDescent="0.3">
      <c r="A36" s="366" t="s">
        <v>444</v>
      </c>
      <c r="B36" s="168"/>
      <c r="C36" s="168"/>
      <c r="D36" s="169"/>
      <c r="E36" s="170"/>
      <c r="F36" s="170"/>
      <c r="G36" s="170"/>
      <c r="H36" s="170"/>
      <c r="I36" s="170"/>
      <c r="J36" s="170"/>
      <c r="K36" s="170"/>
      <c r="L36" s="170"/>
      <c r="M36" s="8"/>
      <c r="N36" s="8"/>
      <c r="O36" s="19"/>
      <c r="P36" s="17"/>
      <c r="Q36" s="8"/>
      <c r="R36" s="8"/>
      <c r="S36" s="8"/>
      <c r="T36" s="8"/>
    </row>
    <row r="37" spans="1:20" ht="17.399999999999999" x14ac:dyDescent="0.3">
      <c r="A37" s="366" t="s">
        <v>58</v>
      </c>
      <c r="B37" s="170"/>
      <c r="C37" s="170"/>
      <c r="D37" s="169"/>
      <c r="E37" s="170"/>
      <c r="F37" s="170"/>
      <c r="G37" s="170"/>
      <c r="H37" s="170"/>
      <c r="I37" s="170"/>
      <c r="J37" s="170"/>
      <c r="K37" s="170"/>
      <c r="L37" s="170"/>
      <c r="M37" s="8"/>
      <c r="N37" s="8"/>
      <c r="O37" s="19"/>
      <c r="P37" s="17"/>
      <c r="Q37" s="8"/>
      <c r="R37" s="8"/>
      <c r="S37" s="8"/>
      <c r="T37" s="8"/>
    </row>
    <row r="38" spans="1:20" ht="17.399999999999999" x14ac:dyDescent="0.3">
      <c r="A38" s="366" t="s">
        <v>291</v>
      </c>
      <c r="B38" s="168"/>
      <c r="C38" s="168"/>
      <c r="D38" s="169"/>
      <c r="E38" s="170"/>
      <c r="F38" s="170"/>
      <c r="G38" s="170"/>
      <c r="H38" s="170"/>
      <c r="I38" s="170"/>
      <c r="J38" s="170"/>
      <c r="K38" s="170"/>
      <c r="L38" s="170"/>
      <c r="M38" s="8"/>
      <c r="N38" s="8"/>
      <c r="O38" s="19"/>
      <c r="P38" s="17"/>
      <c r="Q38" s="8"/>
      <c r="R38" s="8"/>
      <c r="S38" s="8"/>
      <c r="T38" s="8"/>
    </row>
    <row r="39" spans="1:20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8"/>
      <c r="N39" s="8"/>
      <c r="O39" s="19"/>
      <c r="P39" s="17"/>
      <c r="Q39" s="8"/>
      <c r="R39" s="8"/>
      <c r="S39" s="8"/>
      <c r="T39" s="8"/>
    </row>
    <row r="40" spans="1:20" x14ac:dyDescent="0.2">
      <c r="A40" s="170"/>
      <c r="B40" s="170"/>
      <c r="C40" s="170"/>
      <c r="D40" s="170"/>
      <c r="E40" s="170"/>
      <c r="F40" s="170"/>
      <c r="G40" s="170"/>
      <c r="H40" s="170"/>
      <c r="I40" s="171"/>
      <c r="J40" s="171"/>
      <c r="K40" s="170"/>
      <c r="L40" s="170"/>
      <c r="M40" s="8"/>
      <c r="N40" s="8"/>
      <c r="O40" s="19"/>
      <c r="P40" s="17"/>
      <c r="Q40" s="8"/>
      <c r="R40" s="8"/>
      <c r="S40" s="8"/>
      <c r="T40" s="8"/>
    </row>
    <row r="41" spans="1:20" x14ac:dyDescent="0.2">
      <c r="A41" s="170"/>
      <c r="B41" s="167" t="s">
        <v>100</v>
      </c>
      <c r="C41" s="167"/>
      <c r="D41" s="167"/>
      <c r="E41" s="167"/>
      <c r="F41" s="167"/>
      <c r="G41" s="167"/>
      <c r="H41" s="167"/>
      <c r="I41" s="172"/>
      <c r="J41" s="172"/>
      <c r="K41" s="167"/>
      <c r="L41" s="167"/>
      <c r="M41" s="8"/>
      <c r="N41" s="8"/>
      <c r="O41" s="19"/>
      <c r="P41" s="17"/>
      <c r="Q41" s="8"/>
      <c r="R41" s="8"/>
      <c r="S41" s="8"/>
      <c r="T41" s="8"/>
    </row>
    <row r="42" spans="1:20" x14ac:dyDescent="0.2">
      <c r="A42" s="170"/>
      <c r="B42" s="167" t="s">
        <v>33</v>
      </c>
      <c r="C42" s="167"/>
      <c r="D42" s="167" t="s">
        <v>289</v>
      </c>
      <c r="E42" s="167"/>
      <c r="F42" s="167"/>
      <c r="G42" s="167"/>
      <c r="H42" s="167"/>
      <c r="I42" s="167"/>
      <c r="J42" s="167"/>
      <c r="K42" s="167" t="s">
        <v>112</v>
      </c>
      <c r="L42" s="167"/>
      <c r="M42" s="15" t="s">
        <v>115</v>
      </c>
      <c r="N42" s="15" t="s">
        <v>115</v>
      </c>
      <c r="O42" s="15" t="s">
        <v>123</v>
      </c>
      <c r="P42" s="29" t="s">
        <v>126</v>
      </c>
      <c r="Q42" s="8"/>
      <c r="R42" s="8"/>
      <c r="S42" s="8"/>
      <c r="T42" s="8"/>
    </row>
    <row r="43" spans="1:20" x14ac:dyDescent="0.2">
      <c r="A43" s="170"/>
      <c r="B43" s="86"/>
      <c r="C43" s="87"/>
      <c r="D43" s="135"/>
      <c r="E43" s="136"/>
      <c r="F43" s="136"/>
      <c r="G43" s="136"/>
      <c r="H43" s="136"/>
      <c r="I43" s="136"/>
      <c r="J43" s="137"/>
      <c r="K43" s="135"/>
      <c r="L43" s="136"/>
      <c r="M43" s="15"/>
      <c r="N43" s="15"/>
      <c r="O43" s="15"/>
      <c r="P43" s="29"/>
      <c r="Q43" s="8"/>
      <c r="R43" s="8"/>
      <c r="S43" s="8"/>
      <c r="T43" s="8"/>
    </row>
    <row r="44" spans="1:20" x14ac:dyDescent="0.2">
      <c r="A44" s="170"/>
      <c r="B44" s="170"/>
      <c r="C44" s="170"/>
      <c r="D44" s="173" t="s">
        <v>40</v>
      </c>
      <c r="E44" s="173" t="s">
        <v>46</v>
      </c>
      <c r="F44" s="173" t="s">
        <v>48</v>
      </c>
      <c r="G44" s="173" t="s">
        <v>49</v>
      </c>
      <c r="H44" s="173" t="s">
        <v>106</v>
      </c>
      <c r="I44" s="174" t="s">
        <v>109</v>
      </c>
      <c r="J44" s="174"/>
      <c r="K44" s="173" t="s">
        <v>32</v>
      </c>
      <c r="L44" s="173" t="s">
        <v>32</v>
      </c>
      <c r="M44" s="15" t="s">
        <v>29</v>
      </c>
      <c r="N44" s="15" t="s">
        <v>122</v>
      </c>
      <c r="O44" s="15" t="s">
        <v>43</v>
      </c>
      <c r="P44" s="29" t="s">
        <v>127</v>
      </c>
      <c r="Q44" s="8"/>
      <c r="R44" s="8"/>
      <c r="S44" s="8"/>
      <c r="T44" s="8"/>
    </row>
    <row r="45" spans="1:20" x14ac:dyDescent="0.2">
      <c r="A45" s="170"/>
      <c r="B45" s="170"/>
      <c r="C45" s="173" t="s">
        <v>103</v>
      </c>
      <c r="D45" s="248">
        <f>B4</f>
        <v>135.66</v>
      </c>
      <c r="E45" s="74">
        <f>C4</f>
        <v>80.19</v>
      </c>
      <c r="F45" s="74">
        <f>E4</f>
        <v>59.75</v>
      </c>
      <c r="G45" s="74">
        <f>F4</f>
        <v>35.94</v>
      </c>
      <c r="H45" s="173" t="s">
        <v>107</v>
      </c>
      <c r="I45" s="174" t="s">
        <v>110</v>
      </c>
      <c r="J45" s="174" t="s">
        <v>111</v>
      </c>
      <c r="K45" s="173" t="s">
        <v>41</v>
      </c>
      <c r="L45" s="173" t="s">
        <v>47</v>
      </c>
      <c r="M45" s="15" t="s">
        <v>116</v>
      </c>
      <c r="N45" s="15" t="s">
        <v>116</v>
      </c>
      <c r="O45" s="15" t="s">
        <v>124</v>
      </c>
      <c r="P45" s="29" t="s">
        <v>128</v>
      </c>
      <c r="Q45" s="8"/>
      <c r="R45" s="8"/>
      <c r="S45" s="8"/>
      <c r="T45" s="8"/>
    </row>
    <row r="46" spans="1:20" x14ac:dyDescent="0.2">
      <c r="A46" s="167" t="s">
        <v>60</v>
      </c>
      <c r="B46" s="173" t="s">
        <v>29</v>
      </c>
      <c r="C46" s="173" t="s">
        <v>31</v>
      </c>
      <c r="D46" s="73" t="s">
        <v>439</v>
      </c>
      <c r="E46" s="73" t="s">
        <v>439</v>
      </c>
      <c r="F46" s="73" t="s">
        <v>439</v>
      </c>
      <c r="G46" s="73" t="s">
        <v>439</v>
      </c>
      <c r="H46" s="173" t="s">
        <v>108</v>
      </c>
      <c r="I46" s="174" t="s">
        <v>107</v>
      </c>
      <c r="J46" s="174" t="s">
        <v>107</v>
      </c>
      <c r="K46" s="173" t="s">
        <v>42</v>
      </c>
      <c r="L46" s="173" t="s">
        <v>42</v>
      </c>
      <c r="M46" s="15" t="s">
        <v>33</v>
      </c>
      <c r="N46" s="15" t="s">
        <v>33</v>
      </c>
      <c r="O46" s="15" t="s">
        <v>45</v>
      </c>
      <c r="P46" s="29" t="s">
        <v>129</v>
      </c>
      <c r="Q46" s="8"/>
      <c r="R46" s="8"/>
      <c r="S46" s="26" t="s">
        <v>132</v>
      </c>
      <c r="T46" s="26" t="s">
        <v>111</v>
      </c>
    </row>
    <row r="47" spans="1:20" ht="1.05" customHeight="1" x14ac:dyDescent="0.2">
      <c r="A47" s="175"/>
      <c r="B47" s="176"/>
      <c r="C47" s="176"/>
      <c r="D47" s="177"/>
      <c r="E47" s="175"/>
      <c r="F47" s="175"/>
      <c r="G47" s="175"/>
      <c r="H47" s="175"/>
      <c r="I47" s="175"/>
      <c r="J47" s="175"/>
      <c r="K47" s="175"/>
      <c r="L47" s="175"/>
      <c r="M47" s="8"/>
      <c r="N47" s="8"/>
      <c r="O47" s="19"/>
      <c r="P47" s="17"/>
      <c r="Q47" s="8"/>
      <c r="R47" s="8"/>
      <c r="S47" s="26"/>
      <c r="T47" s="26"/>
    </row>
    <row r="48" spans="1:20" x14ac:dyDescent="0.2">
      <c r="A48" s="335" t="s">
        <v>292</v>
      </c>
      <c r="B48" s="336"/>
      <c r="C48" s="336"/>
      <c r="D48" s="337"/>
      <c r="E48" s="338"/>
      <c r="F48" s="338"/>
      <c r="G48" s="338"/>
      <c r="H48" s="338"/>
      <c r="I48" s="339"/>
      <c r="J48" s="339"/>
      <c r="K48" s="338"/>
      <c r="L48" s="340"/>
      <c r="M48" s="8"/>
      <c r="N48" s="8"/>
      <c r="O48" s="19"/>
      <c r="P48" s="17"/>
      <c r="Q48" s="8"/>
      <c r="R48" s="8"/>
      <c r="S48" s="26"/>
      <c r="T48" s="26"/>
    </row>
    <row r="49" spans="1:20" x14ac:dyDescent="0.2">
      <c r="A49" s="54" t="s">
        <v>293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8"/>
      <c r="M49" s="8"/>
      <c r="N49" s="8"/>
      <c r="O49" s="29" t="s">
        <v>173</v>
      </c>
      <c r="P49" s="45" t="s">
        <v>174</v>
      </c>
      <c r="Q49" s="8"/>
      <c r="R49" s="8"/>
      <c r="S49" s="8"/>
      <c r="T49" s="8"/>
    </row>
    <row r="50" spans="1:20" x14ac:dyDescent="0.2">
      <c r="A50" s="59" t="s">
        <v>294</v>
      </c>
      <c r="B50" s="44">
        <v>173</v>
      </c>
      <c r="C50" s="43" t="s">
        <v>102</v>
      </c>
      <c r="D50" s="62">
        <v>0</v>
      </c>
      <c r="E50" s="62">
        <v>0.25</v>
      </c>
      <c r="F50" s="62">
        <v>1</v>
      </c>
      <c r="G50" s="62">
        <v>0.25</v>
      </c>
      <c r="H50" s="63">
        <f>+($B$4*D50)+($C$4*E50)+($E$4*F50)+($F$4*G50)</f>
        <v>88.782499999999999</v>
      </c>
      <c r="I50" s="63">
        <v>0</v>
      </c>
      <c r="J50" s="63">
        <v>9.85</v>
      </c>
      <c r="K50" s="62">
        <f>(D50+E50+F50+G50)*(B50)</f>
        <v>259.5</v>
      </c>
      <c r="L50" s="65">
        <f>(H50+I50+J50)*(B50)</f>
        <v>17063.422500000001</v>
      </c>
      <c r="M50" s="8">
        <v>173</v>
      </c>
      <c r="N50" s="8">
        <v>0</v>
      </c>
      <c r="O50" s="67">
        <f>(((B50)/(M50+N50))*(D50+E50+F50+G50))</f>
        <v>1.5</v>
      </c>
      <c r="P50" s="17">
        <v>1</v>
      </c>
      <c r="Q50" s="8"/>
      <c r="R50" s="8"/>
      <c r="S50" s="26">
        <f>+I50*(B50)</f>
        <v>0</v>
      </c>
      <c r="T50" s="26">
        <f>+J50*(B50)</f>
        <v>1704.05</v>
      </c>
    </row>
    <row r="51" spans="1:20" x14ac:dyDescent="0.2">
      <c r="A51" s="54" t="s">
        <v>295</v>
      </c>
      <c r="B51" s="55"/>
      <c r="C51" s="56"/>
      <c r="D51" s="32"/>
      <c r="E51" s="32"/>
      <c r="F51" s="32"/>
      <c r="G51" s="32"/>
      <c r="H51" s="32"/>
      <c r="I51" s="32"/>
      <c r="J51" s="32"/>
      <c r="K51" s="141"/>
      <c r="L51" s="33"/>
      <c r="M51" s="8">
        <v>173</v>
      </c>
      <c r="N51" s="8"/>
      <c r="O51" s="67"/>
      <c r="P51" s="17"/>
      <c r="Q51" s="8"/>
      <c r="R51" s="8"/>
      <c r="S51" s="8"/>
      <c r="T51" s="8"/>
    </row>
    <row r="52" spans="1:20" x14ac:dyDescent="0.2">
      <c r="A52" s="59" t="s">
        <v>296</v>
      </c>
      <c r="B52" s="44">
        <v>155</v>
      </c>
      <c r="C52" s="43" t="s">
        <v>102</v>
      </c>
      <c r="D52" s="62">
        <v>0</v>
      </c>
      <c r="E52" s="62">
        <v>0.25</v>
      </c>
      <c r="F52" s="62">
        <v>1</v>
      </c>
      <c r="G52" s="62">
        <v>0.25</v>
      </c>
      <c r="H52" s="63">
        <f>+($B$4*D52)+($C$4*E52)+($E$4*F52)+($F$4*G52)</f>
        <v>88.782499999999999</v>
      </c>
      <c r="I52" s="63">
        <v>0</v>
      </c>
      <c r="J52" s="63">
        <v>0.73</v>
      </c>
      <c r="K52" s="62">
        <f>(D52+E52+F52+G52)*(B52)</f>
        <v>232.5</v>
      </c>
      <c r="L52" s="65">
        <f>(H52+I52+J52)*(B52)</f>
        <v>13874.4375</v>
      </c>
      <c r="M52" s="8">
        <v>173</v>
      </c>
      <c r="N52" s="8">
        <v>0</v>
      </c>
      <c r="O52" s="67">
        <f>(((B52)/(M52+N52))*(D52+E52+F52+G52))</f>
        <v>1.3439306358381504</v>
      </c>
      <c r="P52" s="17">
        <v>1</v>
      </c>
      <c r="Q52" s="8"/>
      <c r="R52" s="8"/>
      <c r="S52" s="26">
        <f>+I52*(B52)</f>
        <v>0</v>
      </c>
      <c r="T52" s="26">
        <f>+J52*(B52)</f>
        <v>113.14999999999999</v>
      </c>
    </row>
    <row r="53" spans="1:20" x14ac:dyDescent="0.2">
      <c r="A53" s="54" t="s">
        <v>297</v>
      </c>
      <c r="B53" s="55"/>
      <c r="C53" s="56"/>
      <c r="D53" s="32"/>
      <c r="E53" s="32"/>
      <c r="F53" s="32"/>
      <c r="G53" s="32"/>
      <c r="H53" s="32"/>
      <c r="I53" s="32"/>
      <c r="J53" s="32"/>
      <c r="K53" s="141"/>
      <c r="L53" s="33"/>
      <c r="M53" s="8"/>
      <c r="N53" s="8"/>
      <c r="O53" s="67"/>
      <c r="P53" s="17"/>
      <c r="Q53" s="8"/>
      <c r="R53" s="8"/>
      <c r="S53" s="8"/>
      <c r="T53" s="8"/>
    </row>
    <row r="54" spans="1:20" x14ac:dyDescent="0.2">
      <c r="A54" s="59" t="s">
        <v>435</v>
      </c>
      <c r="B54" s="34">
        <v>78</v>
      </c>
      <c r="C54" s="43" t="s">
        <v>102</v>
      </c>
      <c r="D54" s="62">
        <v>0</v>
      </c>
      <c r="E54" s="62">
        <v>0.25</v>
      </c>
      <c r="F54" s="62">
        <v>1</v>
      </c>
      <c r="G54" s="62">
        <v>0.25</v>
      </c>
      <c r="H54" s="63">
        <f>+($B$4*D54)+($C$4*E54)+($E$4*F54)+($F$4*G54)</f>
        <v>88.782499999999999</v>
      </c>
      <c r="I54" s="63">
        <v>0</v>
      </c>
      <c r="J54" s="63">
        <v>0.73</v>
      </c>
      <c r="K54" s="62">
        <f>(D54+E54+F54+G54)*(B54)</f>
        <v>117</v>
      </c>
      <c r="L54" s="65">
        <f>(H54+I54+J54)*(B54)</f>
        <v>6981.9750000000004</v>
      </c>
      <c r="M54" s="8">
        <v>173</v>
      </c>
      <c r="N54" s="8">
        <v>0</v>
      </c>
      <c r="O54" s="67">
        <f>(((B54)/(M54+N54))*(D54+E54+F54+G54))</f>
        <v>0.67630057803468202</v>
      </c>
      <c r="P54" s="17">
        <v>1</v>
      </c>
      <c r="Q54" s="8"/>
      <c r="R54" s="8"/>
      <c r="S54" s="26">
        <f>+I54*(B54)</f>
        <v>0</v>
      </c>
      <c r="T54" s="26">
        <f>+J54*(B54)</f>
        <v>56.94</v>
      </c>
    </row>
    <row r="55" spans="1:20" x14ac:dyDescent="0.2">
      <c r="A55" s="114" t="s">
        <v>299</v>
      </c>
      <c r="B55" s="127">
        <v>39</v>
      </c>
      <c r="C55" s="103" t="s">
        <v>102</v>
      </c>
      <c r="D55" s="95">
        <v>0</v>
      </c>
      <c r="E55" s="95">
        <v>0.25</v>
      </c>
      <c r="F55" s="95">
        <v>1</v>
      </c>
      <c r="G55" s="95">
        <v>0.25</v>
      </c>
      <c r="H55" s="96">
        <f>+($B$4*D55)+($C$4*E55)+($E$4*F55)+($F$4*G55)</f>
        <v>88.782499999999999</v>
      </c>
      <c r="I55" s="96">
        <v>0</v>
      </c>
      <c r="J55" s="96">
        <v>0.73</v>
      </c>
      <c r="K55" s="95">
        <f>(D55+E55+F55+G55)*(B55)</f>
        <v>58.5</v>
      </c>
      <c r="L55" s="115">
        <f>(H55+I55+J55)*(B55)</f>
        <v>3490.9875000000002</v>
      </c>
      <c r="M55" s="8">
        <v>173</v>
      </c>
      <c r="N55" s="8">
        <v>0</v>
      </c>
      <c r="O55" s="67">
        <f>(((B55)/(M55+N55))*(D55+E55+F55+G55))</f>
        <v>0.33815028901734101</v>
      </c>
      <c r="P55" s="17">
        <v>1</v>
      </c>
      <c r="Q55" s="8"/>
      <c r="R55" s="8"/>
      <c r="S55" s="26">
        <f>+I55*(B55)</f>
        <v>0</v>
      </c>
      <c r="T55" s="26">
        <f>+J55*(B55)</f>
        <v>28.47</v>
      </c>
    </row>
    <row r="56" spans="1:20" x14ac:dyDescent="0.2">
      <c r="A56" s="114" t="s">
        <v>300</v>
      </c>
      <c r="B56" s="94">
        <f>E15</f>
        <v>216</v>
      </c>
      <c r="C56" s="103" t="s">
        <v>102</v>
      </c>
      <c r="D56" s="95">
        <v>0</v>
      </c>
      <c r="E56" s="95">
        <v>0.25</v>
      </c>
      <c r="F56" s="95">
        <v>8</v>
      </c>
      <c r="G56" s="95">
        <v>0.25</v>
      </c>
      <c r="H56" s="96">
        <f>+($B$4*D56)+($C$4*E56)+($E$4*F56)+($F$4*G56)</f>
        <v>507.03250000000003</v>
      </c>
      <c r="I56" s="96">
        <v>0</v>
      </c>
      <c r="J56" s="96">
        <v>9.85</v>
      </c>
      <c r="K56" s="95">
        <f>(D56+E56+F56+G56)*(B56)</f>
        <v>1836</v>
      </c>
      <c r="L56" s="115">
        <f>(H56+I56+J56)*(B56)</f>
        <v>111646.62000000001</v>
      </c>
      <c r="M56" s="8">
        <v>1171</v>
      </c>
      <c r="N56" s="8">
        <v>0</v>
      </c>
      <c r="O56" s="67">
        <f>(((B56)/(M56+N56))*(D56+E56+F56+G56))</f>
        <v>1.5678906917164817</v>
      </c>
      <c r="P56" s="17">
        <v>1</v>
      </c>
      <c r="Q56" s="8"/>
      <c r="R56" s="8"/>
      <c r="S56" s="26">
        <f>+I56*(B56)</f>
        <v>0</v>
      </c>
      <c r="T56" s="26">
        <f>+J56*(B56)</f>
        <v>2127.6</v>
      </c>
    </row>
    <row r="57" spans="1:20" x14ac:dyDescent="0.2">
      <c r="A57" s="54" t="s">
        <v>301</v>
      </c>
      <c r="B57" s="55"/>
      <c r="C57" s="56"/>
      <c r="D57" s="32"/>
      <c r="E57" s="32"/>
      <c r="F57" s="32"/>
      <c r="G57" s="32"/>
      <c r="H57" s="32"/>
      <c r="I57" s="32"/>
      <c r="J57" s="32"/>
      <c r="K57" s="141"/>
      <c r="L57" s="33"/>
      <c r="M57" s="8"/>
      <c r="N57" s="8"/>
      <c r="O57" s="67"/>
      <c r="P57" s="17"/>
      <c r="Q57" s="8"/>
      <c r="R57" s="8"/>
      <c r="S57" s="8"/>
      <c r="T57" s="8"/>
    </row>
    <row r="58" spans="1:20" x14ac:dyDescent="0.2">
      <c r="A58" s="59" t="s">
        <v>302</v>
      </c>
      <c r="B58" s="34">
        <f>0.01*$C$13</f>
        <v>10.76</v>
      </c>
      <c r="C58" s="43" t="s">
        <v>102</v>
      </c>
      <c r="D58" s="62">
        <v>0</v>
      </c>
      <c r="E58" s="62">
        <v>0.25</v>
      </c>
      <c r="F58" s="62">
        <v>2</v>
      </c>
      <c r="G58" s="62">
        <v>1</v>
      </c>
      <c r="H58" s="63">
        <f>+($B$4*D58)+($C$4*E58)+($E$4*F58)+($F$4*G58)</f>
        <v>175.48750000000001</v>
      </c>
      <c r="I58" s="63">
        <v>0</v>
      </c>
      <c r="J58" s="63">
        <v>9.85</v>
      </c>
      <c r="K58" s="62">
        <f>(D58+E58+F58+G58)*(B58)</f>
        <v>34.97</v>
      </c>
      <c r="L58" s="65">
        <f>(H58+I58+J58)*(B58)</f>
        <v>1994.2315000000001</v>
      </c>
      <c r="M58" s="8">
        <f>+$C$13</f>
        <v>1076</v>
      </c>
      <c r="N58" s="8">
        <v>0</v>
      </c>
      <c r="O58" s="67">
        <f>(((B58)/(M58+N58))*(D58+E58+F58+G58))</f>
        <v>3.2500000000000001E-2</v>
      </c>
      <c r="P58" s="17">
        <v>1</v>
      </c>
      <c r="Q58" s="8"/>
      <c r="R58" s="8"/>
      <c r="S58" s="26">
        <f>+I58*(B58)</f>
        <v>0</v>
      </c>
      <c r="T58" s="26">
        <f>+J58*(B58)</f>
        <v>105.98599999999999</v>
      </c>
    </row>
    <row r="59" spans="1:20" x14ac:dyDescent="0.2">
      <c r="A59" s="54" t="s">
        <v>303</v>
      </c>
      <c r="B59" s="55"/>
      <c r="C59" s="56"/>
      <c r="D59" s="32"/>
      <c r="E59" s="32"/>
      <c r="F59" s="32"/>
      <c r="G59" s="32"/>
      <c r="H59" s="32"/>
      <c r="I59" s="32"/>
      <c r="J59" s="32"/>
      <c r="K59" s="141"/>
      <c r="L59" s="33"/>
      <c r="M59" s="8"/>
      <c r="N59" s="8"/>
      <c r="O59" s="67"/>
      <c r="P59" s="17"/>
      <c r="Q59" s="8"/>
      <c r="R59" s="8"/>
      <c r="S59" s="8"/>
      <c r="T59" s="8"/>
    </row>
    <row r="60" spans="1:20" x14ac:dyDescent="0.2">
      <c r="A60" s="4" t="s">
        <v>304</v>
      </c>
      <c r="B60" s="7"/>
      <c r="C60" s="178"/>
      <c r="D60" s="6"/>
      <c r="E60" s="6"/>
      <c r="F60" s="6"/>
      <c r="G60" s="6"/>
      <c r="H60" s="6"/>
      <c r="I60" s="6"/>
      <c r="J60" s="6"/>
      <c r="K60" s="146"/>
      <c r="L60" s="148"/>
      <c r="M60" s="8"/>
      <c r="N60" s="8"/>
      <c r="O60" s="67"/>
      <c r="P60" s="17"/>
      <c r="Q60" s="8"/>
      <c r="R60" s="8"/>
      <c r="S60" s="8"/>
      <c r="T60" s="8"/>
    </row>
    <row r="61" spans="1:20" x14ac:dyDescent="0.2">
      <c r="A61" s="59" t="s">
        <v>305</v>
      </c>
      <c r="B61" s="34">
        <f>0.01*$C$13</f>
        <v>10.76</v>
      </c>
      <c r="C61" s="43" t="s">
        <v>102</v>
      </c>
      <c r="D61" s="62">
        <v>0</v>
      </c>
      <c r="E61" s="62">
        <v>0.5</v>
      </c>
      <c r="F61" s="62">
        <v>8</v>
      </c>
      <c r="G61" s="62">
        <v>0.5</v>
      </c>
      <c r="H61" s="63">
        <f>+($B$4*D61)+($C$4*E61)+($E$4*F61)+($F$4*G61)</f>
        <v>536.06500000000005</v>
      </c>
      <c r="I61" s="63">
        <v>0</v>
      </c>
      <c r="J61" s="63">
        <v>9.85</v>
      </c>
      <c r="K61" s="62">
        <f>(D61+E61+F61+G61)*(B61)</f>
        <v>96.84</v>
      </c>
      <c r="L61" s="65">
        <f>(H61+I61+J61)*(B61)</f>
        <v>5874.0454000000009</v>
      </c>
      <c r="M61" s="8">
        <f>+$C$13</f>
        <v>1076</v>
      </c>
      <c r="N61" s="8">
        <v>0</v>
      </c>
      <c r="O61" s="67">
        <f>(((B61)/(M61+N61))*(D61+E61+F61+G61))</f>
        <v>0.09</v>
      </c>
      <c r="P61" s="17">
        <v>1</v>
      </c>
      <c r="Q61" s="8"/>
      <c r="R61" s="8"/>
      <c r="S61" s="26">
        <f>+I61*(B61)</f>
        <v>0</v>
      </c>
      <c r="T61" s="26">
        <f>+J61*(B61)</f>
        <v>105.98599999999999</v>
      </c>
    </row>
    <row r="62" spans="1:20" x14ac:dyDescent="0.2">
      <c r="A62" s="54" t="s">
        <v>306</v>
      </c>
      <c r="B62" s="55"/>
      <c r="C62" s="56"/>
      <c r="D62" s="32"/>
      <c r="E62" s="32"/>
      <c r="F62" s="32"/>
      <c r="G62" s="32"/>
      <c r="H62" s="32"/>
      <c r="I62" s="32"/>
      <c r="J62" s="32"/>
      <c r="K62" s="141"/>
      <c r="L62" s="33"/>
      <c r="M62" s="8"/>
      <c r="N62" s="8"/>
      <c r="O62" s="67"/>
      <c r="P62" s="17"/>
      <c r="Q62" s="8"/>
      <c r="R62" s="8"/>
      <c r="S62" s="8"/>
      <c r="T62" s="8"/>
    </row>
    <row r="63" spans="1:20" x14ac:dyDescent="0.2">
      <c r="A63" s="59" t="s">
        <v>307</v>
      </c>
      <c r="B63" s="34">
        <f>0.01*$C$13</f>
        <v>10.76</v>
      </c>
      <c r="C63" s="43" t="s">
        <v>102</v>
      </c>
      <c r="D63" s="62">
        <v>0</v>
      </c>
      <c r="E63" s="62">
        <v>0.5</v>
      </c>
      <c r="F63" s="62">
        <v>4</v>
      </c>
      <c r="G63" s="62">
        <v>0.5</v>
      </c>
      <c r="H63" s="63">
        <f>+($B$4*D63)+($C$4*E63)+($E$4*F63)+($F$4*G63)</f>
        <v>297.06500000000005</v>
      </c>
      <c r="I63" s="63">
        <v>0</v>
      </c>
      <c r="J63" s="63">
        <v>0.73</v>
      </c>
      <c r="K63" s="62">
        <f>(D63+E63+F63+G63)*(B63)</f>
        <v>53.8</v>
      </c>
      <c r="L63" s="65">
        <f>(H63+I63+J63)*(B63)</f>
        <v>3204.2742000000007</v>
      </c>
      <c r="M63" s="8">
        <f>+$C$13</f>
        <v>1076</v>
      </c>
      <c r="N63" s="8">
        <v>0</v>
      </c>
      <c r="O63" s="67">
        <f>(((B63)/(M63+N63))*(D63+E63+F63+G63))</f>
        <v>0.05</v>
      </c>
      <c r="P63" s="17">
        <v>1</v>
      </c>
      <c r="Q63" s="8"/>
      <c r="R63" s="8"/>
      <c r="S63" s="26">
        <f>+I63*(B63)</f>
        <v>0</v>
      </c>
      <c r="T63" s="26">
        <f>+J63*(B63)</f>
        <v>7.8548</v>
      </c>
    </row>
    <row r="64" spans="1:20" x14ac:dyDescent="0.2">
      <c r="A64" s="54" t="s">
        <v>308</v>
      </c>
      <c r="B64" s="55"/>
      <c r="C64" s="56"/>
      <c r="D64" s="32"/>
      <c r="E64" s="32"/>
      <c r="F64" s="32"/>
      <c r="G64" s="32"/>
      <c r="H64" s="32"/>
      <c r="I64" s="32"/>
      <c r="J64" s="32"/>
      <c r="K64" s="141"/>
      <c r="L64" s="33"/>
      <c r="M64" s="8"/>
      <c r="N64" s="8"/>
      <c r="O64" s="67"/>
      <c r="P64" s="17"/>
      <c r="Q64" s="8"/>
      <c r="R64" s="8"/>
      <c r="S64" s="8"/>
      <c r="T64" s="8"/>
    </row>
    <row r="65" spans="1:20" x14ac:dyDescent="0.2">
      <c r="A65" s="59" t="s">
        <v>298</v>
      </c>
      <c r="B65" s="34">
        <f>0.02*$C$13</f>
        <v>21.52</v>
      </c>
      <c r="C65" s="61" t="s">
        <v>102</v>
      </c>
      <c r="D65" s="62">
        <v>0</v>
      </c>
      <c r="E65" s="62">
        <v>0.5</v>
      </c>
      <c r="F65" s="62">
        <v>2</v>
      </c>
      <c r="G65" s="62">
        <v>0.5</v>
      </c>
      <c r="H65" s="63">
        <f>+($B$4*D65)+($C$4*E65)+($E$4*F65)+($F$4*G65)</f>
        <v>177.565</v>
      </c>
      <c r="I65" s="63">
        <v>0</v>
      </c>
      <c r="J65" s="63">
        <v>9.85</v>
      </c>
      <c r="K65" s="62">
        <f>(D65+E65+F65+G65)*(B65)</f>
        <v>64.56</v>
      </c>
      <c r="L65" s="65">
        <f>(H65+I65+J65)*(B65)</f>
        <v>4033.1707999999999</v>
      </c>
      <c r="M65" s="8">
        <f>+$C$13</f>
        <v>1076</v>
      </c>
      <c r="N65" s="8">
        <v>0</v>
      </c>
      <c r="O65" s="67">
        <f>(((B65)/(M65+N65))*(D65+E65+F65+G65))</f>
        <v>0.06</v>
      </c>
      <c r="P65" s="17">
        <v>1</v>
      </c>
      <c r="Q65" s="8"/>
      <c r="R65" s="8"/>
      <c r="S65" s="26">
        <f>+I65*(B65)</f>
        <v>0</v>
      </c>
      <c r="T65" s="26">
        <f>+J65*(B65)</f>
        <v>211.97199999999998</v>
      </c>
    </row>
    <row r="66" spans="1:20" x14ac:dyDescent="0.2">
      <c r="A66" s="54" t="s">
        <v>309</v>
      </c>
      <c r="B66" s="55"/>
      <c r="C66" s="56"/>
      <c r="D66" s="32"/>
      <c r="E66" s="32"/>
      <c r="F66" s="32"/>
      <c r="G66" s="32"/>
      <c r="H66" s="32"/>
      <c r="I66" s="32"/>
      <c r="J66" s="32"/>
      <c r="K66" s="141"/>
      <c r="L66" s="33"/>
      <c r="M66" s="8"/>
      <c r="N66" s="8"/>
      <c r="O66" s="67"/>
      <c r="P66" s="17"/>
      <c r="Q66" s="8"/>
      <c r="R66" s="8"/>
      <c r="S66" s="8"/>
      <c r="T66" s="8"/>
    </row>
    <row r="67" spans="1:20" x14ac:dyDescent="0.2">
      <c r="A67" s="59" t="s">
        <v>310</v>
      </c>
      <c r="B67" s="34">
        <f>0.01*$C$13</f>
        <v>10.76</v>
      </c>
      <c r="C67" s="43" t="s">
        <v>102</v>
      </c>
      <c r="D67" s="62">
        <v>0</v>
      </c>
      <c r="E67" s="62">
        <v>0.25</v>
      </c>
      <c r="F67" s="62">
        <v>0.5</v>
      </c>
      <c r="G67" s="62">
        <v>0.25</v>
      </c>
      <c r="H67" s="63">
        <f>+($B$4*D67)+($C$4*E67)+($E$4*F67)+($F$4*G67)</f>
        <v>58.907499999999999</v>
      </c>
      <c r="I67" s="63">
        <v>0</v>
      </c>
      <c r="J67" s="63">
        <v>9.85</v>
      </c>
      <c r="K67" s="62">
        <f>(D67+E67+F67+G67)*(B67)</f>
        <v>10.76</v>
      </c>
      <c r="L67" s="65">
        <f>(H67+I67+J67)*(B67)</f>
        <v>739.83069999999987</v>
      </c>
      <c r="M67" s="8">
        <f>+$C$13</f>
        <v>1076</v>
      </c>
      <c r="N67" s="8">
        <v>0</v>
      </c>
      <c r="O67" s="67">
        <f>(((B67)/(M67+N67))*(D67+E67+F67+G67))</f>
        <v>0.01</v>
      </c>
      <c r="P67" s="17">
        <v>1</v>
      </c>
      <c r="Q67" s="8"/>
      <c r="R67" s="8"/>
      <c r="S67" s="26">
        <f>+I67*(B67)</f>
        <v>0</v>
      </c>
      <c r="T67" s="26">
        <f>+J67*(B67)</f>
        <v>105.98599999999999</v>
      </c>
    </row>
    <row r="68" spans="1:20" ht="1.05" customHeight="1" x14ac:dyDescent="0.2">
      <c r="A68" s="179"/>
      <c r="B68" s="175"/>
      <c r="C68" s="180"/>
      <c r="D68" s="177"/>
      <c r="E68" s="177"/>
      <c r="F68" s="177"/>
      <c r="G68" s="177"/>
      <c r="H68" s="177"/>
      <c r="I68" s="177"/>
      <c r="J68" s="177"/>
      <c r="K68" s="181"/>
      <c r="L68" s="182"/>
      <c r="M68" s="8"/>
      <c r="N68" s="8"/>
      <c r="O68" s="67"/>
      <c r="P68" s="17"/>
      <c r="Q68" s="8"/>
      <c r="R68" s="8"/>
      <c r="S68" s="8"/>
      <c r="T68" s="8"/>
    </row>
    <row r="69" spans="1:20" ht="10.8" thickBot="1" x14ac:dyDescent="0.25">
      <c r="A69" s="183" t="s">
        <v>12</v>
      </c>
      <c r="B69" s="184" t="s">
        <v>101</v>
      </c>
      <c r="C69" s="185" t="s">
        <v>102</v>
      </c>
      <c r="D69" s="185" t="s">
        <v>101</v>
      </c>
      <c r="E69" s="185" t="s">
        <v>101</v>
      </c>
      <c r="F69" s="185" t="s">
        <v>101</v>
      </c>
      <c r="G69" s="185" t="s">
        <v>101</v>
      </c>
      <c r="H69" s="185" t="s">
        <v>101</v>
      </c>
      <c r="I69" s="185" t="s">
        <v>101</v>
      </c>
      <c r="J69" s="185" t="s">
        <v>101</v>
      </c>
      <c r="K69" s="186">
        <f>SUM(K48:K68)</f>
        <v>2764.4300000000003</v>
      </c>
      <c r="L69" s="187">
        <f>SUM(L48:L68)</f>
        <v>168902.9951</v>
      </c>
      <c r="M69" s="8"/>
      <c r="N69" s="8"/>
      <c r="O69" s="29" t="s">
        <v>32</v>
      </c>
      <c r="P69" s="45" t="s">
        <v>44</v>
      </c>
      <c r="Q69" s="18" t="s">
        <v>130</v>
      </c>
      <c r="R69" s="8" t="s">
        <v>131</v>
      </c>
      <c r="S69" s="8"/>
      <c r="T69" s="8"/>
    </row>
    <row r="70" spans="1:2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9"/>
      <c r="L70" s="12"/>
      <c r="M70" s="8"/>
      <c r="N70" s="8"/>
      <c r="O70" s="46" t="s">
        <v>125</v>
      </c>
      <c r="P70" s="46" t="s">
        <v>125</v>
      </c>
      <c r="Q70" s="46" t="s">
        <v>125</v>
      </c>
      <c r="R70" s="8"/>
      <c r="S70" s="8"/>
      <c r="T70" s="8"/>
    </row>
    <row r="71" spans="1:2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9"/>
      <c r="L71" s="12"/>
      <c r="M71" s="8"/>
      <c r="N71" s="8"/>
      <c r="O71" s="9">
        <f>SUM(O50:O67)</f>
        <v>5.668772194606654</v>
      </c>
      <c r="P71" s="9">
        <f>DSUM(O49:P67,1,$K$1:$K$2)</f>
        <v>5.668772194606654</v>
      </c>
      <c r="Q71" s="9">
        <f>DSUM(O49:P67,1,$K$5:$K$6)</f>
        <v>0</v>
      </c>
      <c r="R71" s="8">
        <f>P71+Q71</f>
        <v>5.668772194606654</v>
      </c>
      <c r="S71" s="8">
        <f>SUM(S50:S67)</f>
        <v>0</v>
      </c>
      <c r="T71" s="26">
        <f>SUM(T50:T67)</f>
        <v>4567.9947999999995</v>
      </c>
    </row>
  </sheetData>
  <phoneticPr fontId="0" type="noConversion"/>
  <pageMargins left="0.4597222222222222" right="0.43958333333333333" top="0.18958333333333333" bottom="0.23958333333333334" header="0" footer="0"/>
  <pageSetup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B72D-BEB3-41BD-A680-04304755137C}">
  <dimension ref="A1:P26"/>
  <sheetViews>
    <sheetView showOutlineSymbols="0" zoomScaleNormal="100" workbookViewId="0">
      <selection activeCell="I1" sqref="I1:I65536"/>
    </sheetView>
  </sheetViews>
  <sheetFormatPr defaultColWidth="9.7265625" defaultRowHeight="10.199999999999999" x14ac:dyDescent="0.2"/>
  <cols>
    <col min="1" max="1" width="25.7265625" style="1" customWidth="1"/>
    <col min="2" max="2" width="10.54296875" style="1" customWidth="1"/>
    <col min="3" max="4" width="9.81640625" style="1" customWidth="1"/>
    <col min="5" max="5" width="11.08984375" style="1" customWidth="1"/>
    <col min="6" max="6" width="11.453125" style="1" customWidth="1"/>
    <col min="7" max="8" width="9.7265625" style="1" customWidth="1"/>
    <col min="9" max="9" width="18.7265625" style="1" hidden="1" customWidth="1"/>
    <col min="10" max="16384" width="9.7265625" style="1"/>
  </cols>
  <sheetData>
    <row r="1" spans="1:16" ht="18" x14ac:dyDescent="0.35">
      <c r="A1" s="365" t="s">
        <v>451</v>
      </c>
      <c r="B1" s="8"/>
      <c r="C1" s="8"/>
      <c r="D1" s="8"/>
      <c r="E1" s="8"/>
      <c r="F1" s="8"/>
      <c r="G1" s="8"/>
      <c r="H1" s="8"/>
      <c r="I1" s="8"/>
      <c r="J1" s="8"/>
      <c r="K1" s="9"/>
      <c r="L1" s="12"/>
      <c r="M1" s="8"/>
      <c r="N1" s="8"/>
      <c r="O1" s="19"/>
      <c r="P1" s="17"/>
    </row>
    <row r="2" spans="1:16" ht="18" x14ac:dyDescent="0.35">
      <c r="A2" s="365" t="s">
        <v>38</v>
      </c>
      <c r="B2" s="17"/>
      <c r="C2" s="17"/>
      <c r="D2" s="17"/>
      <c r="E2" s="17"/>
      <c r="F2" s="17"/>
      <c r="G2" s="20"/>
      <c r="H2" s="8"/>
      <c r="I2" s="8"/>
      <c r="J2" s="8"/>
      <c r="K2" s="9"/>
      <c r="L2" s="12"/>
      <c r="M2" s="8"/>
      <c r="N2" s="8"/>
      <c r="O2" s="19"/>
      <c r="P2" s="17"/>
    </row>
    <row r="3" spans="1:16" x14ac:dyDescent="0.2">
      <c r="A3" s="8"/>
      <c r="B3" s="17"/>
      <c r="C3" s="17"/>
      <c r="D3" s="17"/>
      <c r="E3" s="17"/>
      <c r="F3" s="17"/>
      <c r="G3" s="20"/>
      <c r="H3" s="8"/>
      <c r="I3" s="8"/>
      <c r="J3" s="8"/>
      <c r="K3" s="9"/>
      <c r="L3" s="12"/>
      <c r="M3" s="8"/>
      <c r="N3" s="8"/>
      <c r="O3" s="19"/>
      <c r="P3" s="17"/>
    </row>
    <row r="4" spans="1:16" x14ac:dyDescent="0.2">
      <c r="A4" s="8"/>
      <c r="B4" s="17"/>
      <c r="C4" s="17"/>
      <c r="D4" s="17"/>
      <c r="E4" s="17"/>
      <c r="F4" s="17"/>
      <c r="G4" s="20"/>
      <c r="H4" s="8"/>
      <c r="I4" s="8"/>
      <c r="J4" s="8"/>
      <c r="K4" s="9"/>
      <c r="L4" s="8"/>
      <c r="M4" s="8"/>
      <c r="N4" s="8"/>
      <c r="O4" s="19"/>
      <c r="P4" s="17"/>
    </row>
    <row r="5" spans="1:16" x14ac:dyDescent="0.2">
      <c r="A5" s="8"/>
      <c r="B5" s="23" t="s">
        <v>32</v>
      </c>
      <c r="C5" s="23" t="s">
        <v>32</v>
      </c>
      <c r="D5" s="23" t="s">
        <v>32</v>
      </c>
      <c r="E5" s="23" t="s">
        <v>32</v>
      </c>
      <c r="F5" s="23" t="s">
        <v>32</v>
      </c>
      <c r="G5" s="20"/>
      <c r="H5" s="8"/>
      <c r="I5" s="8"/>
      <c r="J5" s="8"/>
      <c r="K5" s="9"/>
      <c r="L5" s="8"/>
      <c r="M5" s="8"/>
      <c r="N5" s="8"/>
      <c r="O5" s="19"/>
      <c r="P5" s="17"/>
    </row>
    <row r="6" spans="1:16" x14ac:dyDescent="0.2">
      <c r="A6" s="8"/>
      <c r="B6" s="23" t="s">
        <v>41</v>
      </c>
      <c r="C6" s="23" t="s">
        <v>311</v>
      </c>
      <c r="D6" s="23" t="s">
        <v>312</v>
      </c>
      <c r="E6" s="23" t="s">
        <v>314</v>
      </c>
      <c r="F6" s="23" t="s">
        <v>47</v>
      </c>
      <c r="G6" s="20"/>
      <c r="H6" s="8"/>
      <c r="I6" s="8"/>
      <c r="J6" s="8"/>
      <c r="K6" s="8"/>
      <c r="L6" s="8"/>
      <c r="M6" s="8"/>
      <c r="N6" s="8"/>
      <c r="O6" s="19"/>
      <c r="P6" s="17"/>
    </row>
    <row r="7" spans="1:16" x14ac:dyDescent="0.2">
      <c r="A7" s="18" t="s">
        <v>39</v>
      </c>
      <c r="B7" s="23" t="s">
        <v>42</v>
      </c>
      <c r="C7" s="23" t="s">
        <v>42</v>
      </c>
      <c r="D7" s="23" t="s">
        <v>42</v>
      </c>
      <c r="E7" s="23" t="s">
        <v>315</v>
      </c>
      <c r="F7" s="23" t="s">
        <v>42</v>
      </c>
      <c r="G7" s="20"/>
      <c r="H7" s="8"/>
      <c r="I7" s="8"/>
      <c r="J7" s="8"/>
      <c r="K7" s="8"/>
      <c r="L7" s="8"/>
      <c r="M7" s="8"/>
      <c r="N7" s="8"/>
      <c r="O7" s="19"/>
      <c r="P7" s="17"/>
    </row>
    <row r="8" spans="1:16" ht="3" customHeight="1" thickBot="1" x14ac:dyDescent="0.25">
      <c r="A8" s="24"/>
      <c r="B8" s="25"/>
      <c r="C8" s="25"/>
      <c r="D8" s="25"/>
      <c r="E8" s="25"/>
      <c r="F8" s="25"/>
      <c r="G8" s="20"/>
      <c r="H8" s="8"/>
      <c r="I8" s="8"/>
      <c r="J8" s="8"/>
      <c r="K8" s="8"/>
      <c r="L8" s="8"/>
      <c r="M8" s="8"/>
      <c r="N8" s="8"/>
      <c r="O8" s="19"/>
      <c r="P8" s="17"/>
    </row>
    <row r="9" spans="1:16" ht="10.8" thickTop="1" x14ac:dyDescent="0.2">
      <c r="A9" s="193" t="s">
        <v>0</v>
      </c>
      <c r="B9" s="194"/>
      <c r="C9" s="194"/>
      <c r="D9" s="194"/>
      <c r="E9" s="194"/>
      <c r="F9" s="195"/>
      <c r="G9" s="20"/>
      <c r="H9" s="8"/>
      <c r="I9" s="8"/>
      <c r="J9" s="8"/>
      <c r="K9" s="8"/>
      <c r="L9" s="8"/>
      <c r="M9" s="8"/>
      <c r="N9" s="8"/>
      <c r="O9" s="19"/>
      <c r="P9" s="17"/>
    </row>
    <row r="10" spans="1:16" x14ac:dyDescent="0.2">
      <c r="A10" s="196" t="s">
        <v>1</v>
      </c>
      <c r="B10" s="197">
        <f>+'Exhibit 1'!K125</f>
        <v>441130.58</v>
      </c>
      <c r="C10" s="198">
        <f>+'Exhibit 1'!S125</f>
        <v>0</v>
      </c>
      <c r="D10" s="198">
        <f>+'Exhibit 1'!T125</f>
        <v>291678.66480000003</v>
      </c>
      <c r="E10" s="198">
        <f>+F10-D10-C10</f>
        <v>32707652.404300001</v>
      </c>
      <c r="F10" s="199">
        <f>+'Exhibit 1'!L125</f>
        <v>32999331.0691</v>
      </c>
      <c r="G10" s="20"/>
      <c r="H10" s="8"/>
      <c r="I10" s="8"/>
      <c r="J10" s="8"/>
      <c r="K10" s="8"/>
      <c r="L10" s="8"/>
      <c r="M10" s="8"/>
      <c r="N10" s="8"/>
      <c r="O10" s="19"/>
      <c r="P10" s="17"/>
    </row>
    <row r="11" spans="1:16" x14ac:dyDescent="0.2">
      <c r="A11" s="200" t="s">
        <v>2</v>
      </c>
      <c r="B11" s="201"/>
      <c r="C11" s="201"/>
      <c r="D11" s="201"/>
      <c r="E11" s="201"/>
      <c r="F11" s="202"/>
      <c r="G11" s="20"/>
      <c r="H11" s="8"/>
      <c r="I11" s="8"/>
      <c r="J11" s="8"/>
      <c r="K11" s="8"/>
      <c r="L11" s="8"/>
      <c r="M11" s="8"/>
      <c r="N11" s="8"/>
      <c r="O11" s="19"/>
      <c r="P11" s="17"/>
    </row>
    <row r="12" spans="1:16" x14ac:dyDescent="0.2">
      <c r="A12" s="196" t="s">
        <v>3</v>
      </c>
      <c r="B12" s="197">
        <f>+'Exhibit 2'!L76</f>
        <v>83884.149999999994</v>
      </c>
      <c r="C12" s="198">
        <v>0</v>
      </c>
      <c r="D12" s="198">
        <f>+'Exhibit 2'!T76</f>
        <v>0</v>
      </c>
      <c r="E12" s="198">
        <f>+F12-D12-C12</f>
        <v>3638092.3624999998</v>
      </c>
      <c r="F12" s="199">
        <f>+'Exhibit 2'!M76</f>
        <v>3638092.3624999998</v>
      </c>
      <c r="G12" s="20"/>
      <c r="H12" s="8"/>
      <c r="I12" s="8"/>
      <c r="J12" s="8"/>
      <c r="K12" s="8"/>
      <c r="L12" s="8"/>
      <c r="M12" s="8"/>
      <c r="N12" s="8"/>
      <c r="O12" s="19"/>
      <c r="P12" s="17"/>
    </row>
    <row r="13" spans="1:16" x14ac:dyDescent="0.2">
      <c r="A13" s="200" t="s">
        <v>4</v>
      </c>
      <c r="B13" s="201"/>
      <c r="C13" s="201"/>
      <c r="D13" s="201"/>
      <c r="E13" s="201"/>
      <c r="F13" s="202"/>
      <c r="G13" s="20"/>
      <c r="H13" s="8"/>
      <c r="I13" s="9">
        <f>B22*3</f>
        <v>1619190.5112000001</v>
      </c>
      <c r="J13" s="8"/>
      <c r="K13" s="8"/>
      <c r="L13" s="8"/>
      <c r="M13" s="8"/>
      <c r="N13" s="8"/>
      <c r="O13" s="19"/>
      <c r="P13" s="17"/>
    </row>
    <row r="14" spans="1:16" x14ac:dyDescent="0.2">
      <c r="A14" s="196" t="s">
        <v>5</v>
      </c>
      <c r="B14" s="197">
        <f>+'Exhibit 3'!K85</f>
        <v>267.10799999999995</v>
      </c>
      <c r="C14" s="198">
        <f>+'Exhibit 3'!S87</f>
        <v>0</v>
      </c>
      <c r="D14" s="198">
        <f>+'Exhibit 3'!T87</f>
        <v>289.59399999999994</v>
      </c>
      <c r="E14" s="198">
        <f>+F14-D14-C14</f>
        <v>15630.014519999999</v>
      </c>
      <c r="F14" s="199">
        <f>+'Exhibit 3'!L85</f>
        <v>15919.608519999998</v>
      </c>
      <c r="G14" s="20"/>
      <c r="H14" s="8"/>
      <c r="I14" s="9">
        <f>F22*3</f>
        <v>112980589.33990198</v>
      </c>
      <c r="J14" s="8"/>
      <c r="K14" s="8"/>
      <c r="L14" s="8"/>
      <c r="M14" s="8"/>
      <c r="N14" s="8"/>
      <c r="O14" s="19"/>
      <c r="P14" s="17"/>
    </row>
    <row r="15" spans="1:16" x14ac:dyDescent="0.2">
      <c r="A15" s="200" t="s">
        <v>6</v>
      </c>
      <c r="B15" s="201"/>
      <c r="C15" s="201"/>
      <c r="D15" s="201"/>
      <c r="E15" s="201"/>
      <c r="F15" s="202"/>
      <c r="G15" s="20"/>
      <c r="H15" s="8"/>
      <c r="I15" s="8"/>
      <c r="J15" s="8"/>
      <c r="K15" s="8"/>
      <c r="L15" s="8"/>
      <c r="M15" s="8"/>
      <c r="N15" s="8"/>
      <c r="O15" s="19"/>
      <c r="P15" s="17"/>
    </row>
    <row r="16" spans="1:16" x14ac:dyDescent="0.2">
      <c r="A16" s="196" t="s">
        <v>8</v>
      </c>
      <c r="B16" s="197">
        <f>+'Exhibit 4'!K144</f>
        <v>341.3</v>
      </c>
      <c r="C16" s="198">
        <f>+'Exhibit 4'!S144</f>
        <v>0</v>
      </c>
      <c r="D16" s="198">
        <f>+'Exhibit 4'!T144</f>
        <v>7556.1254999999992</v>
      </c>
      <c r="E16" s="198">
        <f>+F16-D16-C16</f>
        <v>20047.514750000006</v>
      </c>
      <c r="F16" s="199">
        <f>+'Exhibit 4'!L144</f>
        <v>27603.640250000004</v>
      </c>
      <c r="G16" s="20"/>
      <c r="H16" s="8"/>
      <c r="I16" s="8"/>
      <c r="J16" s="8"/>
      <c r="K16" s="8"/>
      <c r="L16" s="8"/>
      <c r="M16" s="8"/>
      <c r="N16" s="8"/>
      <c r="O16" s="19"/>
      <c r="P16" s="17"/>
    </row>
    <row r="17" spans="1:16" x14ac:dyDescent="0.2">
      <c r="A17" s="200" t="s">
        <v>7</v>
      </c>
      <c r="B17" s="201"/>
      <c r="C17" s="201"/>
      <c r="D17" s="201"/>
      <c r="E17" s="201"/>
      <c r="F17" s="202"/>
      <c r="G17" s="20"/>
      <c r="H17" s="8"/>
      <c r="I17" s="8"/>
      <c r="J17" s="8"/>
      <c r="K17" s="8"/>
      <c r="L17" s="8"/>
      <c r="M17" s="8"/>
      <c r="N17" s="8"/>
      <c r="O17" s="19"/>
      <c r="P17" s="17"/>
    </row>
    <row r="18" spans="1:16" x14ac:dyDescent="0.2">
      <c r="A18" s="196" t="s">
        <v>10</v>
      </c>
      <c r="B18" s="197">
        <f>+'Exhibit 5'!K184</f>
        <v>11342.6024</v>
      </c>
      <c r="C18" s="198">
        <f>+'Exhibit 5'!S191</f>
        <v>0</v>
      </c>
      <c r="D18" s="198">
        <f>+'Exhibit 5'!T191</f>
        <v>5952.2921799999995</v>
      </c>
      <c r="E18" s="198">
        <f>+F18-D18-C18</f>
        <v>804394.47898399993</v>
      </c>
      <c r="F18" s="199">
        <f>+'Exhibit 5'!L184</f>
        <v>810346.77116399992</v>
      </c>
      <c r="G18" s="20"/>
      <c r="H18" s="8"/>
      <c r="I18" s="8"/>
      <c r="J18" s="8"/>
      <c r="K18" s="8"/>
      <c r="L18" s="8"/>
      <c r="M18" s="8"/>
      <c r="N18" s="8"/>
      <c r="O18" s="19"/>
      <c r="P18" s="17"/>
    </row>
    <row r="19" spans="1:16" x14ac:dyDescent="0.2">
      <c r="A19" s="200" t="s">
        <v>9</v>
      </c>
      <c r="B19" s="166"/>
      <c r="C19" s="201"/>
      <c r="D19" s="201"/>
      <c r="E19" s="201"/>
      <c r="F19" s="203"/>
      <c r="G19" s="8"/>
      <c r="H19" s="8"/>
      <c r="I19" s="8"/>
      <c r="J19" s="8"/>
      <c r="K19" s="8"/>
      <c r="L19" s="8"/>
      <c r="M19" s="8"/>
      <c r="N19" s="8"/>
      <c r="O19" s="20"/>
      <c r="P19" s="17"/>
    </row>
    <row r="20" spans="1:16" x14ac:dyDescent="0.2">
      <c r="A20" s="196" t="s">
        <v>11</v>
      </c>
      <c r="B20" s="197">
        <f>+'Exhibit 6'!K69</f>
        <v>2764.4300000000003</v>
      </c>
      <c r="C20" s="198">
        <f>+'Exhibit 6'!S71</f>
        <v>0</v>
      </c>
      <c r="D20" s="198">
        <f>+'Exhibit 6'!T71</f>
        <v>4567.9947999999995</v>
      </c>
      <c r="E20" s="198">
        <f>+F20-D20-C20</f>
        <v>164335.00030000001</v>
      </c>
      <c r="F20" s="199">
        <f>+'Exhibit 6'!L69</f>
        <v>168902.9951</v>
      </c>
      <c r="G20" s="8"/>
      <c r="H20" s="8"/>
      <c r="I20" s="8"/>
      <c r="J20" s="8"/>
      <c r="K20" s="8"/>
      <c r="L20" s="8"/>
      <c r="M20" s="8"/>
      <c r="N20" s="8"/>
      <c r="O20" s="20"/>
      <c r="P20" s="17"/>
    </row>
    <row r="21" spans="1:16" ht="1.05" customHeight="1" x14ac:dyDescent="0.2">
      <c r="A21" s="188"/>
      <c r="B21" s="110"/>
      <c r="C21" s="110"/>
      <c r="D21" s="110"/>
      <c r="E21" s="110"/>
      <c r="F21" s="189"/>
      <c r="G21" s="20"/>
      <c r="H21" s="8"/>
      <c r="I21" s="8"/>
      <c r="J21" s="8"/>
      <c r="K21" s="8"/>
      <c r="L21" s="8"/>
      <c r="M21" s="8"/>
      <c r="N21" s="8"/>
      <c r="O21" s="20"/>
      <c r="P21" s="17"/>
    </row>
    <row r="22" spans="1:16" ht="10.8" thickBot="1" x14ac:dyDescent="0.25">
      <c r="A22" s="190" t="s">
        <v>12</v>
      </c>
      <c r="B22" s="191">
        <f>SUM(B10:B20)</f>
        <v>539730.17040000006</v>
      </c>
      <c r="C22" s="191">
        <f>SUM(C10:C20)</f>
        <v>0</v>
      </c>
      <c r="D22" s="191">
        <f>SUM(D10:D20)</f>
        <v>310044.67128000001</v>
      </c>
      <c r="E22" s="191">
        <f>SUM(E10:E20)</f>
        <v>37350151.77535399</v>
      </c>
      <c r="F22" s="192">
        <f>SUM(F10:F20)</f>
        <v>37660196.446633995</v>
      </c>
      <c r="G22" s="20"/>
      <c r="H22" s="8"/>
      <c r="I22" s="8"/>
      <c r="J22" s="8"/>
      <c r="K22" s="8"/>
      <c r="L22" s="8"/>
      <c r="M22" s="8"/>
      <c r="N22" s="8"/>
      <c r="O22" s="20"/>
      <c r="P22" s="17"/>
    </row>
    <row r="23" spans="1:16" ht="10.8" thickTop="1" x14ac:dyDescent="0.2">
      <c r="A23" s="8"/>
      <c r="B23" s="17"/>
      <c r="C23" s="17"/>
      <c r="D23" s="17"/>
      <c r="E23" s="17"/>
      <c r="F23" s="26"/>
      <c r="G23" s="20"/>
      <c r="H23" s="8"/>
      <c r="I23" s="8"/>
      <c r="J23" s="8"/>
      <c r="K23" s="8"/>
      <c r="L23" s="8"/>
      <c r="M23" s="8"/>
      <c r="N23" s="8"/>
      <c r="O23" s="20"/>
      <c r="P23" s="17"/>
    </row>
    <row r="24" spans="1:16" hidden="1" x14ac:dyDescent="0.2">
      <c r="A24" s="8"/>
      <c r="B24" s="8"/>
      <c r="C24" s="17"/>
      <c r="D24" s="17"/>
      <c r="E24" s="17"/>
      <c r="F24" s="26"/>
      <c r="G24" s="20"/>
      <c r="H24" s="8"/>
      <c r="I24" s="8"/>
      <c r="J24" s="8"/>
      <c r="K24" s="8"/>
      <c r="L24" s="8"/>
      <c r="M24" s="8"/>
      <c r="N24" s="8"/>
      <c r="O24" s="20"/>
      <c r="P24" s="17"/>
    </row>
    <row r="25" spans="1:16" hidden="1" x14ac:dyDescent="0.2">
      <c r="A25" s="8"/>
      <c r="B25" s="8"/>
      <c r="C25" s="8"/>
      <c r="D25" s="8" t="s">
        <v>313</v>
      </c>
      <c r="E25" s="27">
        <f>+E22+D22+C22</f>
        <v>37660196.446633987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17"/>
    </row>
    <row r="26" spans="1:16" hidden="1" x14ac:dyDescent="0.2"/>
  </sheetData>
  <phoneticPr fontId="0" type="noConversion"/>
  <pageMargins left="0.4597222222222222" right="0.43958333333333333" top="0.18958333333333333" bottom="0.23958333333333334" header="0" footer="0"/>
  <pageSetup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1970-2C32-49DC-A79E-881E235EB660}">
  <dimension ref="A1:N101"/>
  <sheetViews>
    <sheetView showOutlineSymbols="0" topLeftCell="A67" zoomScaleNormal="100" zoomScaleSheetLayoutView="100" workbookViewId="0">
      <selection activeCell="K100" sqref="K100"/>
    </sheetView>
  </sheetViews>
  <sheetFormatPr defaultColWidth="9.7265625" defaultRowHeight="10.199999999999999" x14ac:dyDescent="0.2"/>
  <cols>
    <col min="1" max="1" width="30.08984375" style="1" customWidth="1"/>
    <col min="2" max="2" width="9.453125" style="1" customWidth="1"/>
    <col min="3" max="3" width="8.26953125" style="1" customWidth="1"/>
    <col min="4" max="4" width="8.7265625" style="1" customWidth="1"/>
    <col min="5" max="5" width="8.54296875" style="1" customWidth="1"/>
    <col min="6" max="6" width="8.453125" style="1" customWidth="1"/>
    <col min="7" max="8" width="8.7265625" style="1" customWidth="1"/>
    <col min="9" max="9" width="8.54296875" style="1" customWidth="1"/>
    <col min="10" max="10" width="8" style="1" customWidth="1"/>
    <col min="11" max="11" width="9.81640625" style="1" customWidth="1"/>
    <col min="12" max="12" width="10.7265625" style="1" customWidth="1"/>
    <col min="13" max="16384" width="9.7265625" style="1"/>
  </cols>
  <sheetData>
    <row r="1" spans="1:14" hidden="1" x14ac:dyDescent="0.2">
      <c r="A1" s="11" t="s">
        <v>33</v>
      </c>
      <c r="B1" s="15" t="s">
        <v>40</v>
      </c>
      <c r="C1" s="15" t="s">
        <v>46</v>
      </c>
      <c r="D1" s="8"/>
      <c r="E1" s="15" t="s">
        <v>48</v>
      </c>
      <c r="F1" s="15" t="s">
        <v>49</v>
      </c>
      <c r="G1" s="8"/>
      <c r="H1" s="8"/>
      <c r="I1" s="8"/>
      <c r="J1" s="8"/>
      <c r="K1" s="8"/>
      <c r="L1" s="8"/>
      <c r="M1" s="8"/>
      <c r="N1" s="8"/>
    </row>
    <row r="2" spans="1:14" hidden="1" x14ac:dyDescent="0.2">
      <c r="A2" s="11" t="s">
        <v>34</v>
      </c>
      <c r="B2" s="8"/>
      <c r="C2" s="12"/>
      <c r="D2" s="8"/>
      <c r="E2" s="12"/>
      <c r="F2" s="12"/>
      <c r="G2" s="8"/>
      <c r="H2" s="8"/>
      <c r="I2" s="8"/>
      <c r="J2" s="8"/>
      <c r="K2" s="8"/>
      <c r="L2" s="8"/>
      <c r="M2" s="8"/>
      <c r="N2" s="8"/>
    </row>
    <row r="3" spans="1:14" hidden="1" x14ac:dyDescent="0.2">
      <c r="A3" s="11" t="s">
        <v>35</v>
      </c>
      <c r="B3" s="8"/>
      <c r="C3" s="20"/>
      <c r="D3" s="8"/>
      <c r="E3" s="20"/>
      <c r="F3" s="20"/>
      <c r="G3" s="8"/>
      <c r="H3" s="8"/>
      <c r="I3" s="8"/>
      <c r="J3" s="8"/>
      <c r="K3" s="8"/>
      <c r="L3" s="8"/>
      <c r="M3" s="8"/>
      <c r="N3" s="8"/>
    </row>
    <row r="4" spans="1:14" hidden="1" x14ac:dyDescent="0.2">
      <c r="A4" s="11" t="s">
        <v>36</v>
      </c>
      <c r="B4" s="68">
        <v>75.28</v>
      </c>
      <c r="C4" s="12">
        <v>70.66</v>
      </c>
      <c r="D4" s="8"/>
      <c r="E4" s="12">
        <v>42.28</v>
      </c>
      <c r="F4" s="12">
        <v>26.96</v>
      </c>
      <c r="G4" s="8"/>
      <c r="H4" s="8"/>
      <c r="I4" s="8"/>
      <c r="J4" s="8"/>
      <c r="K4" s="8"/>
      <c r="L4" s="8"/>
      <c r="M4" s="8"/>
      <c r="N4" s="8"/>
    </row>
    <row r="5" spans="1:14" hidden="1" x14ac:dyDescent="0.2">
      <c r="A5" s="8"/>
      <c r="B5" s="8"/>
      <c r="C5" s="12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idden="1" x14ac:dyDescent="0.2">
      <c r="A6" s="11" t="s">
        <v>37</v>
      </c>
      <c r="B6" s="8"/>
      <c r="C6" s="15" t="s">
        <v>46</v>
      </c>
      <c r="D6" s="8"/>
      <c r="E6" s="15" t="s">
        <v>48</v>
      </c>
      <c r="F6" s="15" t="s">
        <v>49</v>
      </c>
      <c r="G6" s="8"/>
      <c r="H6" s="8"/>
      <c r="I6" s="8"/>
      <c r="J6" s="8"/>
      <c r="K6" s="8"/>
      <c r="L6" s="8"/>
      <c r="M6" s="8"/>
      <c r="N6" s="8"/>
    </row>
    <row r="7" spans="1:14" hidden="1" x14ac:dyDescent="0.2">
      <c r="A7" s="11" t="s">
        <v>34</v>
      </c>
      <c r="B7" s="8"/>
      <c r="C7" s="12"/>
      <c r="D7" s="8"/>
      <c r="E7" s="12"/>
      <c r="F7" s="12"/>
      <c r="G7" s="8"/>
      <c r="H7" s="8"/>
      <c r="I7" s="8"/>
      <c r="J7" s="8"/>
      <c r="K7" s="8"/>
      <c r="L7" s="8"/>
      <c r="M7" s="8"/>
      <c r="N7" s="8"/>
    </row>
    <row r="8" spans="1:14" hidden="1" x14ac:dyDescent="0.2">
      <c r="A8" s="11" t="s">
        <v>35</v>
      </c>
      <c r="B8" s="8"/>
      <c r="C8" s="20"/>
      <c r="D8" s="8"/>
      <c r="E8" s="20"/>
      <c r="F8" s="20"/>
      <c r="G8" s="8"/>
      <c r="H8" s="8"/>
      <c r="I8" s="8"/>
      <c r="J8" s="8"/>
      <c r="K8" s="8"/>
      <c r="L8" s="8"/>
      <c r="M8" s="8"/>
      <c r="N8" s="8"/>
    </row>
    <row r="9" spans="1:14" hidden="1" x14ac:dyDescent="0.2">
      <c r="A9" s="11" t="s">
        <v>36</v>
      </c>
      <c r="B9" s="68" t="s">
        <v>379</v>
      </c>
      <c r="C9" s="12" t="s">
        <v>379</v>
      </c>
      <c r="D9" s="8"/>
      <c r="E9" s="12" t="s">
        <v>379</v>
      </c>
      <c r="F9" s="12" t="s">
        <v>379</v>
      </c>
      <c r="G9" s="8"/>
      <c r="H9" s="8"/>
      <c r="I9" s="8"/>
      <c r="J9" s="8"/>
      <c r="K9" s="8"/>
      <c r="L9" s="8"/>
      <c r="M9" s="8"/>
      <c r="N9" s="8"/>
    </row>
    <row r="10" spans="1:14" hidden="1" x14ac:dyDescent="0.2"/>
    <row r="11" spans="1:14" hidden="1" x14ac:dyDescent="0.2"/>
    <row r="12" spans="1:14" hidden="1" x14ac:dyDescent="0.2"/>
    <row r="13" spans="1:14" hidden="1" x14ac:dyDescent="0.2"/>
    <row r="14" spans="1:14" ht="17.399999999999999" x14ac:dyDescent="0.3">
      <c r="A14" s="353" t="s">
        <v>290</v>
      </c>
      <c r="B14" s="83"/>
      <c r="C14" s="83"/>
      <c r="D14" s="81"/>
      <c r="E14" s="70"/>
      <c r="F14" s="70"/>
      <c r="G14" s="70"/>
      <c r="H14" s="70"/>
      <c r="I14" s="70"/>
      <c r="J14" s="70"/>
      <c r="K14" s="70"/>
      <c r="L14" s="70"/>
      <c r="M14" s="20"/>
      <c r="N14" s="12"/>
    </row>
    <row r="15" spans="1:14" ht="17.399999999999999" x14ac:dyDescent="0.3">
      <c r="A15" s="353" t="s">
        <v>440</v>
      </c>
      <c r="B15" s="83"/>
      <c r="C15" s="83"/>
      <c r="D15" s="81"/>
      <c r="E15" s="70"/>
      <c r="F15" s="70"/>
      <c r="G15" s="70"/>
      <c r="H15" s="70"/>
      <c r="I15" s="70"/>
      <c r="J15" s="70"/>
      <c r="K15" s="70"/>
      <c r="L15" s="70"/>
      <c r="M15" s="20"/>
      <c r="N15" s="12"/>
    </row>
    <row r="16" spans="1:14" x14ac:dyDescent="0.2">
      <c r="A16" s="70"/>
      <c r="B16" s="83"/>
      <c r="C16" s="83"/>
      <c r="D16" s="81"/>
      <c r="E16" s="70"/>
      <c r="F16" s="70"/>
      <c r="G16" s="70"/>
      <c r="H16" s="70"/>
      <c r="I16" s="70"/>
      <c r="J16" s="70"/>
      <c r="K16" s="70"/>
      <c r="L16" s="70"/>
      <c r="M16" s="20"/>
      <c r="N16" s="12"/>
    </row>
    <row r="17" spans="1:14" x14ac:dyDescent="0.2">
      <c r="A17" s="70"/>
      <c r="B17" s="70"/>
      <c r="C17" s="70"/>
      <c r="D17" s="81"/>
      <c r="E17" s="70"/>
      <c r="F17" s="70"/>
      <c r="G17" s="70"/>
      <c r="H17" s="70"/>
      <c r="I17" s="70"/>
      <c r="J17" s="70"/>
      <c r="K17" s="70"/>
      <c r="L17" s="70"/>
      <c r="M17" s="20"/>
      <c r="N17" s="12"/>
    </row>
    <row r="18" spans="1:14" x14ac:dyDescent="0.2">
      <c r="A18" s="70"/>
      <c r="B18" s="69" t="s">
        <v>376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20"/>
      <c r="N18" s="12"/>
    </row>
    <row r="19" spans="1:14" x14ac:dyDescent="0.2">
      <c r="A19" s="70"/>
      <c r="B19" s="69" t="s">
        <v>377</v>
      </c>
      <c r="C19" s="69"/>
      <c r="D19" s="204" t="s">
        <v>378</v>
      </c>
      <c r="E19" s="204"/>
      <c r="F19" s="204"/>
      <c r="G19" s="204"/>
      <c r="H19" s="204"/>
      <c r="I19" s="204"/>
      <c r="J19" s="204"/>
      <c r="K19" s="69" t="s">
        <v>112</v>
      </c>
      <c r="L19" s="69"/>
      <c r="M19" s="20"/>
      <c r="N19" s="12"/>
    </row>
    <row r="20" spans="1:14" x14ac:dyDescent="0.2">
      <c r="A20" s="70"/>
      <c r="B20" s="42"/>
      <c r="C20" s="130"/>
      <c r="D20" s="205"/>
      <c r="E20" s="89"/>
      <c r="F20" s="89"/>
      <c r="G20" s="89"/>
      <c r="H20" s="89"/>
      <c r="I20" s="89"/>
      <c r="J20" s="130"/>
      <c r="K20" s="92"/>
      <c r="L20" s="130"/>
      <c r="M20" s="20"/>
      <c r="N20" s="12"/>
    </row>
    <row r="21" spans="1:14" x14ac:dyDescent="0.2">
      <c r="A21" s="70"/>
      <c r="B21" s="70"/>
      <c r="C21" s="70"/>
      <c r="D21" s="77" t="s">
        <v>40</v>
      </c>
      <c r="E21" s="73" t="s">
        <v>46</v>
      </c>
      <c r="F21" s="73" t="s">
        <v>48</v>
      </c>
      <c r="G21" s="73" t="s">
        <v>49</v>
      </c>
      <c r="H21" s="73" t="s">
        <v>106</v>
      </c>
      <c r="I21" s="74" t="s">
        <v>109</v>
      </c>
      <c r="J21" s="74"/>
      <c r="K21" s="73" t="s">
        <v>32</v>
      </c>
      <c r="L21" s="73" t="s">
        <v>32</v>
      </c>
      <c r="M21" s="20"/>
      <c r="N21" s="12"/>
    </row>
    <row r="22" spans="1:14" x14ac:dyDescent="0.2">
      <c r="A22" s="70"/>
      <c r="B22" s="83"/>
      <c r="C22" s="83"/>
      <c r="D22" s="77">
        <f>B4</f>
        <v>75.28</v>
      </c>
      <c r="E22" s="74">
        <f>C4</f>
        <v>70.66</v>
      </c>
      <c r="F22" s="74">
        <f>E4</f>
        <v>42.28</v>
      </c>
      <c r="G22" s="74">
        <f>F4</f>
        <v>26.96</v>
      </c>
      <c r="H22" s="73" t="s">
        <v>107</v>
      </c>
      <c r="I22" s="74" t="s">
        <v>110</v>
      </c>
      <c r="J22" s="74" t="s">
        <v>111</v>
      </c>
      <c r="K22" s="73" t="s">
        <v>41</v>
      </c>
      <c r="L22" s="73" t="s">
        <v>47</v>
      </c>
      <c r="M22" s="20"/>
      <c r="N22" s="12"/>
    </row>
    <row r="23" spans="1:14" ht="10.8" thickBot="1" x14ac:dyDescent="0.25">
      <c r="A23" s="69" t="s">
        <v>60</v>
      </c>
      <c r="B23" s="76" t="s">
        <v>29</v>
      </c>
      <c r="C23" s="76" t="s">
        <v>103</v>
      </c>
      <c r="D23" s="77" t="s">
        <v>439</v>
      </c>
      <c r="E23" s="73" t="s">
        <v>439</v>
      </c>
      <c r="F23" s="73" t="s">
        <v>439</v>
      </c>
      <c r="G23" s="73" t="s">
        <v>439</v>
      </c>
      <c r="H23" s="73" t="s">
        <v>108</v>
      </c>
      <c r="I23" s="74" t="s">
        <v>107</v>
      </c>
      <c r="J23" s="74" t="s">
        <v>107</v>
      </c>
      <c r="K23" s="73" t="s">
        <v>42</v>
      </c>
      <c r="L23" s="73" t="s">
        <v>42</v>
      </c>
      <c r="M23" s="20"/>
      <c r="N23" s="12"/>
    </row>
    <row r="24" spans="1:14" ht="11.4" thickTop="1" thickBot="1" x14ac:dyDescent="0.25">
      <c r="A24" s="354" t="s">
        <v>436</v>
      </c>
      <c r="B24" s="355"/>
      <c r="C24" s="355"/>
      <c r="D24" s="356"/>
      <c r="E24" s="357"/>
      <c r="F24" s="357"/>
      <c r="G24" s="357"/>
      <c r="H24" s="357"/>
      <c r="I24" s="357"/>
      <c r="J24" s="357"/>
      <c r="K24" s="357"/>
      <c r="L24" s="358"/>
      <c r="M24" s="20"/>
      <c r="N24" s="12"/>
    </row>
    <row r="25" spans="1:14" ht="10.8" thickTop="1" x14ac:dyDescent="0.2">
      <c r="A25" s="335" t="s">
        <v>317</v>
      </c>
      <c r="B25" s="336"/>
      <c r="C25" s="336"/>
      <c r="D25" s="337"/>
      <c r="E25" s="338"/>
      <c r="F25" s="338"/>
      <c r="G25" s="338"/>
      <c r="H25" s="338"/>
      <c r="I25" s="339"/>
      <c r="J25" s="339"/>
      <c r="K25" s="338"/>
      <c r="L25" s="340"/>
      <c r="M25" s="20"/>
      <c r="N25" s="12"/>
    </row>
    <row r="26" spans="1:14" x14ac:dyDescent="0.2">
      <c r="A26" s="206" t="s">
        <v>318</v>
      </c>
      <c r="B26" s="94">
        <f>+'Exhibit 1'!B49</f>
        <v>32.28</v>
      </c>
      <c r="C26" s="94">
        <f>+'Exhibit 1'!C49</f>
        <v>0.12</v>
      </c>
      <c r="D26" s="95">
        <v>0</v>
      </c>
      <c r="E26" s="104">
        <v>0</v>
      </c>
      <c r="F26" s="104">
        <v>1</v>
      </c>
      <c r="G26" s="104">
        <v>0</v>
      </c>
      <c r="H26" s="104">
        <f>+($B$4*D26)+($C$4*E26)+($E$4*F26)+($F$4*G26)</f>
        <v>42.28</v>
      </c>
      <c r="I26" s="104">
        <v>0</v>
      </c>
      <c r="J26" s="104">
        <v>0</v>
      </c>
      <c r="K26" s="104">
        <f>(D26+E26+F26+G26)*(B26+C26)</f>
        <v>32.4</v>
      </c>
      <c r="L26" s="207">
        <f>(H26+I26+J26)*(C26+B26)</f>
        <v>1369.8720000000001</v>
      </c>
      <c r="M26" s="20"/>
      <c r="N26" s="12"/>
    </row>
    <row r="27" spans="1:14" ht="10.8" thickBot="1" x14ac:dyDescent="0.25">
      <c r="A27" s="208" t="s">
        <v>319</v>
      </c>
      <c r="B27" s="31">
        <f>+'Exhibit 1'!B93</f>
        <v>0</v>
      </c>
      <c r="C27" s="31">
        <f>+'Exhibit 1'!C93</f>
        <v>0</v>
      </c>
      <c r="D27" s="32">
        <v>0</v>
      </c>
      <c r="E27" s="141">
        <v>0</v>
      </c>
      <c r="F27" s="141">
        <v>1</v>
      </c>
      <c r="G27" s="141">
        <v>0</v>
      </c>
      <c r="H27" s="57">
        <f>+($B$4*D27)+($C$4*E27)+($E$4*F27)+($F$4*G27)</f>
        <v>42.28</v>
      </c>
      <c r="I27" s="57">
        <v>0</v>
      </c>
      <c r="J27" s="57">
        <v>0</v>
      </c>
      <c r="K27" s="141">
        <f>(D27+E27+F27+G27)*(B27+C27)</f>
        <v>0</v>
      </c>
      <c r="L27" s="209">
        <f>(H27+I27+J27)*(C27+B27)</f>
        <v>0</v>
      </c>
      <c r="M27" s="20"/>
      <c r="N27" s="12"/>
    </row>
    <row r="28" spans="1:14" ht="10.8" thickBot="1" x14ac:dyDescent="0.25">
      <c r="A28" s="210" t="s">
        <v>64</v>
      </c>
      <c r="B28" s="211" t="s">
        <v>101</v>
      </c>
      <c r="C28" s="211" t="s">
        <v>101</v>
      </c>
      <c r="D28" s="212">
        <v>0</v>
      </c>
      <c r="E28" s="213">
        <v>0</v>
      </c>
      <c r="F28" s="211" t="s">
        <v>101</v>
      </c>
      <c r="G28" s="211" t="s">
        <v>101</v>
      </c>
      <c r="H28" s="211" t="s">
        <v>101</v>
      </c>
      <c r="I28" s="214">
        <v>0</v>
      </c>
      <c r="J28" s="214">
        <v>0</v>
      </c>
      <c r="K28" s="213">
        <f>SUM(K26:K27)</f>
        <v>32.4</v>
      </c>
      <c r="L28" s="215">
        <f>SUM(L26:L27)</f>
        <v>1369.8720000000001</v>
      </c>
      <c r="M28" s="20"/>
      <c r="N28" s="12"/>
    </row>
    <row r="29" spans="1:14" ht="11.4" thickTop="1" thickBot="1" x14ac:dyDescent="0.25">
      <c r="A29" s="354" t="s">
        <v>320</v>
      </c>
      <c r="B29" s="355"/>
      <c r="C29" s="355"/>
      <c r="D29" s="356"/>
      <c r="E29" s="357"/>
      <c r="F29" s="357"/>
      <c r="G29" s="357"/>
      <c r="H29" s="357"/>
      <c r="I29" s="357"/>
      <c r="J29" s="357"/>
      <c r="K29" s="357"/>
      <c r="L29" s="358"/>
      <c r="M29" s="20"/>
      <c r="N29" s="12"/>
    </row>
    <row r="30" spans="1:14" ht="10.8" thickTop="1" x14ac:dyDescent="0.2">
      <c r="A30" s="335" t="s">
        <v>316</v>
      </c>
      <c r="B30" s="336"/>
      <c r="C30" s="336"/>
      <c r="D30" s="337"/>
      <c r="E30" s="338"/>
      <c r="F30" s="338"/>
      <c r="G30" s="338"/>
      <c r="H30" s="338"/>
      <c r="I30" s="339"/>
      <c r="J30" s="339"/>
      <c r="K30" s="338"/>
      <c r="L30" s="340"/>
      <c r="M30" s="20"/>
      <c r="N30" s="12"/>
    </row>
    <row r="31" spans="1:14" x14ac:dyDescent="0.2">
      <c r="A31" s="206" t="s">
        <v>321</v>
      </c>
      <c r="B31" s="94">
        <f>+'Exhibit 1'!C16</f>
        <v>538</v>
      </c>
      <c r="C31" s="94">
        <f>+'Exhibit 1'!D16</f>
        <v>2</v>
      </c>
      <c r="D31" s="95">
        <v>0</v>
      </c>
      <c r="E31" s="104">
        <v>0</v>
      </c>
      <c r="F31" s="104">
        <v>2</v>
      </c>
      <c r="G31" s="104">
        <v>0</v>
      </c>
      <c r="H31" s="104">
        <f>+($B$4*D31)+($C$4*E31)+($E$4*F31)+($F$4*G31)</f>
        <v>84.56</v>
      </c>
      <c r="I31" s="104">
        <v>0</v>
      </c>
      <c r="J31" s="104">
        <v>0</v>
      </c>
      <c r="K31" s="104">
        <f>(D31+E31+F31+G31)*(B31+C31)</f>
        <v>1080</v>
      </c>
      <c r="L31" s="207">
        <f>(H31+I31+J31)*(C31+B31)</f>
        <v>45662.400000000001</v>
      </c>
      <c r="M31" s="20"/>
      <c r="N31" s="12"/>
    </row>
    <row r="32" spans="1:14" ht="1.05" customHeight="1" x14ac:dyDescent="0.2">
      <c r="A32" s="216"/>
      <c r="B32" s="98"/>
      <c r="C32" s="98"/>
      <c r="D32" s="99"/>
      <c r="E32" s="97"/>
      <c r="F32" s="97"/>
      <c r="G32" s="97"/>
      <c r="H32" s="97"/>
      <c r="I32" s="97"/>
      <c r="J32" s="97"/>
      <c r="K32" s="97"/>
      <c r="L32" s="217"/>
      <c r="M32" s="20"/>
      <c r="N32" s="12"/>
    </row>
    <row r="33" spans="1:14" x14ac:dyDescent="0.2">
      <c r="A33" s="206" t="s">
        <v>64</v>
      </c>
      <c r="B33" s="94">
        <f>SUM(B31)</f>
        <v>538</v>
      </c>
      <c r="C33" s="94">
        <f>SUM(C31)</f>
        <v>2</v>
      </c>
      <c r="D33" s="95">
        <v>0</v>
      </c>
      <c r="E33" s="104">
        <f t="shared" ref="E33:L33" si="0">SUM(E31)</f>
        <v>0</v>
      </c>
      <c r="F33" s="104">
        <f t="shared" si="0"/>
        <v>2</v>
      </c>
      <c r="G33" s="104">
        <f t="shared" si="0"/>
        <v>0</v>
      </c>
      <c r="H33" s="104">
        <f t="shared" si="0"/>
        <v>84.56</v>
      </c>
      <c r="I33" s="104">
        <f t="shared" si="0"/>
        <v>0</v>
      </c>
      <c r="J33" s="104">
        <f t="shared" si="0"/>
        <v>0</v>
      </c>
      <c r="K33" s="104">
        <f t="shared" si="0"/>
        <v>1080</v>
      </c>
      <c r="L33" s="207">
        <f t="shared" si="0"/>
        <v>45662.400000000001</v>
      </c>
      <c r="M33" s="20"/>
      <c r="N33" s="12"/>
    </row>
    <row r="34" spans="1:14" ht="1.05" customHeight="1" thickBot="1" x14ac:dyDescent="0.25">
      <c r="A34" s="218"/>
      <c r="B34" s="219"/>
      <c r="C34" s="219"/>
      <c r="D34" s="220"/>
      <c r="E34" s="221"/>
      <c r="F34" s="221"/>
      <c r="G34" s="221"/>
      <c r="H34" s="221"/>
      <c r="I34" s="221"/>
      <c r="J34" s="221"/>
      <c r="K34" s="221"/>
      <c r="L34" s="222"/>
      <c r="M34" s="20"/>
      <c r="N34" s="12"/>
    </row>
    <row r="35" spans="1:14" ht="11.4" thickTop="1" thickBot="1" x14ac:dyDescent="0.25">
      <c r="A35" s="354" t="s">
        <v>149</v>
      </c>
      <c r="B35" s="355"/>
      <c r="C35" s="355"/>
      <c r="D35" s="356"/>
      <c r="E35" s="357"/>
      <c r="F35" s="357"/>
      <c r="G35" s="357"/>
      <c r="H35" s="357"/>
      <c r="I35" s="357"/>
      <c r="J35" s="357"/>
      <c r="K35" s="357"/>
      <c r="L35" s="358"/>
      <c r="M35" s="20"/>
      <c r="N35" s="12"/>
    </row>
    <row r="36" spans="1:14" ht="10.8" thickTop="1" x14ac:dyDescent="0.2">
      <c r="A36" s="335" t="s">
        <v>322</v>
      </c>
      <c r="B36" s="336"/>
      <c r="C36" s="336"/>
      <c r="D36" s="337"/>
      <c r="E36" s="338"/>
      <c r="F36" s="338"/>
      <c r="G36" s="338"/>
      <c r="H36" s="338"/>
      <c r="I36" s="339"/>
      <c r="J36" s="339"/>
      <c r="K36" s="338"/>
      <c r="L36" s="340"/>
      <c r="M36" s="20"/>
      <c r="N36" s="12"/>
    </row>
    <row r="37" spans="1:14" x14ac:dyDescent="0.2">
      <c r="A37" s="206" t="s">
        <v>323</v>
      </c>
      <c r="B37" s="94">
        <f>+'Exhibit 1'!C13</f>
        <v>1076</v>
      </c>
      <c r="C37" s="94">
        <f>+'Exhibit 1'!D13</f>
        <v>4</v>
      </c>
      <c r="D37" s="95">
        <v>0</v>
      </c>
      <c r="E37" s="104">
        <v>0</v>
      </c>
      <c r="F37" s="104">
        <v>0.5</v>
      </c>
      <c r="G37" s="104">
        <v>0</v>
      </c>
      <c r="H37" s="104">
        <f>+($B$4*D37)+($C$4*E37)+($E$4*F37)+($F$4*G37)</f>
        <v>21.14</v>
      </c>
      <c r="I37" s="104">
        <v>0</v>
      </c>
      <c r="J37" s="104">
        <v>0</v>
      </c>
      <c r="K37" s="104">
        <f>(D37+E37+F37+G37)*(B37+C37)</f>
        <v>540</v>
      </c>
      <c r="L37" s="207">
        <f>(H37+I37+J37)*(C37+B37)</f>
        <v>22831.200000000001</v>
      </c>
      <c r="M37" s="20"/>
      <c r="N37" s="12"/>
    </row>
    <row r="38" spans="1:14" x14ac:dyDescent="0.2">
      <c r="A38" s="335" t="s">
        <v>324</v>
      </c>
      <c r="B38" s="336"/>
      <c r="C38" s="336"/>
      <c r="D38" s="337"/>
      <c r="E38" s="338"/>
      <c r="F38" s="338"/>
      <c r="G38" s="338"/>
      <c r="H38" s="338"/>
      <c r="I38" s="339"/>
      <c r="J38" s="339"/>
      <c r="K38" s="338"/>
      <c r="L38" s="340"/>
      <c r="M38" s="20"/>
      <c r="N38" s="12"/>
    </row>
    <row r="39" spans="1:14" ht="11.25" customHeight="1" x14ac:dyDescent="0.2">
      <c r="A39" s="206" t="s">
        <v>325</v>
      </c>
      <c r="B39" s="94">
        <f>+'Exhibit 3'!B81</f>
        <v>10.76</v>
      </c>
      <c r="C39" s="94">
        <f>+'Exhibit 3'!C81</f>
        <v>0.04</v>
      </c>
      <c r="D39" s="95">
        <v>0</v>
      </c>
      <c r="E39" s="104">
        <v>0</v>
      </c>
      <c r="F39" s="104">
        <v>1</v>
      </c>
      <c r="G39" s="104">
        <v>0</v>
      </c>
      <c r="H39" s="96">
        <f>+($B$4*D39)+($C$4*E39)+($E$4*F39)+($F$4*G39)</f>
        <v>42.28</v>
      </c>
      <c r="I39" s="96">
        <v>0</v>
      </c>
      <c r="J39" s="96">
        <v>0</v>
      </c>
      <c r="K39" s="104">
        <f>(D39+E39+F39+G39)*(B39+C39)</f>
        <v>10.799999999999999</v>
      </c>
      <c r="L39" s="207">
        <f>(H39+I39+J39)*(C39+B39)</f>
        <v>456.62399999999997</v>
      </c>
      <c r="M39" s="20"/>
      <c r="N39" s="12"/>
    </row>
    <row r="40" spans="1:14" ht="11.25" customHeight="1" x14ac:dyDescent="0.2">
      <c r="A40" s="208" t="s">
        <v>64</v>
      </c>
      <c r="B40" s="3" t="s">
        <v>101</v>
      </c>
      <c r="C40" s="3" t="s">
        <v>101</v>
      </c>
      <c r="D40" s="32">
        <v>0</v>
      </c>
      <c r="E40" s="141">
        <v>0</v>
      </c>
      <c r="F40" s="3" t="s">
        <v>101</v>
      </c>
      <c r="G40" s="3" t="s">
        <v>101</v>
      </c>
      <c r="H40" s="3" t="s">
        <v>101</v>
      </c>
      <c r="I40" s="57">
        <v>0</v>
      </c>
      <c r="J40" s="57">
        <v>0</v>
      </c>
      <c r="K40" s="141">
        <f>SUM(K37:K39)</f>
        <v>550.79999999999995</v>
      </c>
      <c r="L40" s="209">
        <f>SUM(L37:L39)</f>
        <v>23287.824000000001</v>
      </c>
      <c r="M40" s="20"/>
      <c r="N40" s="12"/>
    </row>
    <row r="41" spans="1:14" ht="1.05" customHeight="1" thickBot="1" x14ac:dyDescent="0.25">
      <c r="A41" s="216"/>
      <c r="B41" s="97"/>
      <c r="C41" s="97"/>
      <c r="D41" s="99"/>
      <c r="E41" s="99"/>
      <c r="F41" s="99"/>
      <c r="G41" s="99"/>
      <c r="H41" s="99"/>
      <c r="I41" s="99"/>
      <c r="J41" s="99"/>
      <c r="K41" s="99"/>
      <c r="L41" s="226"/>
      <c r="M41" s="20"/>
      <c r="N41" s="12"/>
    </row>
    <row r="42" spans="1:14" ht="11.4" thickTop="1" thickBot="1" x14ac:dyDescent="0.25">
      <c r="A42" s="354" t="s">
        <v>326</v>
      </c>
      <c r="B42" s="355"/>
      <c r="C42" s="355"/>
      <c r="D42" s="356"/>
      <c r="E42" s="357"/>
      <c r="F42" s="357"/>
      <c r="G42" s="357"/>
      <c r="H42" s="357"/>
      <c r="I42" s="357"/>
      <c r="J42" s="357"/>
      <c r="K42" s="357"/>
      <c r="L42" s="358"/>
      <c r="M42" s="20"/>
      <c r="N42" s="12"/>
    </row>
    <row r="43" spans="1:14" ht="10.8" thickTop="1" x14ac:dyDescent="0.2">
      <c r="A43" s="223" t="s">
        <v>327</v>
      </c>
      <c r="B43" s="61" t="str">
        <f>+'Exhibit 4'!B54</f>
        <v>N/A</v>
      </c>
      <c r="C43" s="44">
        <f>+'Exhibit 4'!C54</f>
        <v>0</v>
      </c>
      <c r="D43" s="62">
        <v>0</v>
      </c>
      <c r="E43" s="64">
        <v>0</v>
      </c>
      <c r="F43" s="64">
        <v>15</v>
      </c>
      <c r="G43" s="64">
        <v>0</v>
      </c>
      <c r="H43" s="63">
        <f>+($B$4*D43)+($C$4*E43)+($E$4*F43)+($F$4*G43)</f>
        <v>634.20000000000005</v>
      </c>
      <c r="I43" s="63">
        <v>0</v>
      </c>
      <c r="J43" s="63">
        <v>0</v>
      </c>
      <c r="K43" s="64">
        <f>(D43+E43+F43+G43)*(C43)</f>
        <v>0</v>
      </c>
      <c r="L43" s="225">
        <f>(H43+I43+J43)*(C43)</f>
        <v>0</v>
      </c>
      <c r="M43" s="20"/>
      <c r="N43" s="12"/>
    </row>
    <row r="44" spans="1:14" x14ac:dyDescent="0.2">
      <c r="A44" s="206" t="s">
        <v>328</v>
      </c>
      <c r="B44" s="101" t="str">
        <f>+'Exhibit 4'!B60</f>
        <v>N/A</v>
      </c>
      <c r="C44" s="94">
        <f>+'Exhibit 4'!C60</f>
        <v>0.1</v>
      </c>
      <c r="D44" s="95">
        <v>0</v>
      </c>
      <c r="E44" s="104">
        <v>0</v>
      </c>
      <c r="F44" s="104">
        <v>2</v>
      </c>
      <c r="G44" s="104">
        <v>0</v>
      </c>
      <c r="H44" s="96">
        <f>+($B$4*D44)+($C$4*E44)+($E$4*F44)+($F$4*G44)</f>
        <v>84.56</v>
      </c>
      <c r="I44" s="96">
        <v>0</v>
      </c>
      <c r="J44" s="96">
        <v>0</v>
      </c>
      <c r="K44" s="104">
        <f>(D44+E44+F44+G44)*(C44)</f>
        <v>0.2</v>
      </c>
      <c r="L44" s="207">
        <f>(H44+I44+J44)*(C44)</f>
        <v>8.4560000000000013</v>
      </c>
      <c r="M44" s="20"/>
      <c r="N44" s="12"/>
    </row>
    <row r="45" spans="1:14" x14ac:dyDescent="0.2">
      <c r="A45" s="208" t="s">
        <v>329</v>
      </c>
      <c r="B45" s="3"/>
      <c r="C45" s="31"/>
      <c r="D45" s="32"/>
      <c r="E45" s="141"/>
      <c r="F45" s="141"/>
      <c r="G45" s="141"/>
      <c r="H45" s="141"/>
      <c r="I45" s="141"/>
      <c r="J45" s="141"/>
      <c r="K45" s="141"/>
      <c r="L45" s="209"/>
      <c r="M45" s="20"/>
      <c r="N45" s="12"/>
    </row>
    <row r="46" spans="1:14" x14ac:dyDescent="0.2">
      <c r="A46" s="223" t="s">
        <v>330</v>
      </c>
      <c r="B46" s="61">
        <f>+'Exhibit 4'!B66</f>
        <v>7</v>
      </c>
      <c r="C46" s="60">
        <f>+'Exhibit 4'!C66</f>
        <v>0</v>
      </c>
      <c r="D46" s="62">
        <v>0</v>
      </c>
      <c r="E46" s="64">
        <v>0</v>
      </c>
      <c r="F46" s="64">
        <v>2</v>
      </c>
      <c r="G46" s="64">
        <v>0</v>
      </c>
      <c r="H46" s="63">
        <f>+($B$4*D46)+($C$4*E46)+($E$4*F46)+($F$4*G46)</f>
        <v>84.56</v>
      </c>
      <c r="I46" s="63">
        <v>0</v>
      </c>
      <c r="J46" s="63">
        <v>0</v>
      </c>
      <c r="K46" s="64">
        <f>(D46+E46+F46+G46)*(B46+C46)</f>
        <v>14</v>
      </c>
      <c r="L46" s="225">
        <f>(H46+I46+J46)*(C46+B46)</f>
        <v>591.92000000000007</v>
      </c>
      <c r="M46" s="20"/>
      <c r="N46" s="12"/>
    </row>
    <row r="47" spans="1:14" x14ac:dyDescent="0.2">
      <c r="A47" s="208" t="s">
        <v>331</v>
      </c>
      <c r="B47" s="56"/>
      <c r="C47" s="55"/>
      <c r="D47" s="55"/>
      <c r="E47" s="55"/>
      <c r="F47" s="55"/>
      <c r="G47" s="55"/>
      <c r="H47" s="55"/>
      <c r="I47" s="55"/>
      <c r="J47" s="55"/>
      <c r="K47" s="55"/>
      <c r="L47" s="227"/>
      <c r="M47" s="20"/>
      <c r="N47" s="12"/>
    </row>
    <row r="48" spans="1:14" x14ac:dyDescent="0.2">
      <c r="A48" s="223" t="s">
        <v>332</v>
      </c>
      <c r="B48" s="61">
        <f>+'Exhibit 4'!B73</f>
        <v>1.4000000000000001</v>
      </c>
      <c r="C48" s="60">
        <f>+'Exhibit 4'!C73</f>
        <v>0</v>
      </c>
      <c r="D48" s="62">
        <v>0</v>
      </c>
      <c r="E48" s="64">
        <v>0</v>
      </c>
      <c r="F48" s="64">
        <v>2</v>
      </c>
      <c r="G48" s="64">
        <v>0</v>
      </c>
      <c r="H48" s="63">
        <f>+($B$4*D48)+($C$4*E48)+($E$4*F48)+($F$4*G48)</f>
        <v>84.56</v>
      </c>
      <c r="I48" s="63">
        <v>0</v>
      </c>
      <c r="J48" s="63">
        <v>0</v>
      </c>
      <c r="K48" s="64">
        <f>(D48+E48+F48+G48)*(B48+C48)</f>
        <v>2.8000000000000003</v>
      </c>
      <c r="L48" s="225">
        <f>(H48+I48+J48)*(C48+B48)</f>
        <v>118.38400000000001</v>
      </c>
      <c r="M48" s="20"/>
      <c r="N48" s="12"/>
    </row>
    <row r="49" spans="1:14" x14ac:dyDescent="0.2">
      <c r="A49" s="208" t="s">
        <v>333</v>
      </c>
      <c r="B49" s="56"/>
      <c r="C49" s="55"/>
      <c r="D49" s="55"/>
      <c r="E49" s="55"/>
      <c r="F49" s="55"/>
      <c r="G49" s="55"/>
      <c r="H49" s="55"/>
      <c r="I49" s="55"/>
      <c r="J49" s="55"/>
      <c r="K49" s="55"/>
      <c r="L49" s="227"/>
      <c r="M49" s="20"/>
      <c r="N49" s="12"/>
    </row>
    <row r="50" spans="1:14" x14ac:dyDescent="0.2">
      <c r="A50" s="223" t="s">
        <v>334</v>
      </c>
      <c r="B50" s="224">
        <f>+'Exhibit 4'!B75</f>
        <v>1.4000000000000001</v>
      </c>
      <c r="C50" s="34">
        <f>+'Exhibit 4'!C75</f>
        <v>0</v>
      </c>
      <c r="D50" s="62">
        <v>0</v>
      </c>
      <c r="E50" s="64">
        <v>0</v>
      </c>
      <c r="F50" s="64">
        <v>1</v>
      </c>
      <c r="G50" s="64">
        <v>0</v>
      </c>
      <c r="H50" s="63">
        <f>+($B$4*D50)+($C$4*E50)+($E$4*F50)+($F$4*G50)</f>
        <v>42.28</v>
      </c>
      <c r="I50" s="63">
        <v>0</v>
      </c>
      <c r="J50" s="63">
        <v>0</v>
      </c>
      <c r="K50" s="64">
        <f>(D50+E50+F50+G50)*(B50+C50)</f>
        <v>1.4000000000000001</v>
      </c>
      <c r="L50" s="225">
        <f>(H50+I50+J50)*(C50+B50)</f>
        <v>59.192000000000007</v>
      </c>
      <c r="M50" s="20"/>
      <c r="N50" s="12"/>
    </row>
    <row r="51" spans="1:14" x14ac:dyDescent="0.2">
      <c r="A51" s="208" t="s">
        <v>335</v>
      </c>
      <c r="B51" s="56"/>
      <c r="C51" s="55"/>
      <c r="D51" s="55"/>
      <c r="E51" s="55"/>
      <c r="F51" s="55"/>
      <c r="G51" s="55"/>
      <c r="H51" s="55"/>
      <c r="I51" s="55"/>
      <c r="J51" s="55"/>
      <c r="K51" s="55"/>
      <c r="L51" s="227"/>
      <c r="M51" s="20"/>
      <c r="N51" s="12"/>
    </row>
    <row r="52" spans="1:14" x14ac:dyDescent="0.2">
      <c r="A52" s="223" t="s">
        <v>336</v>
      </c>
      <c r="B52" s="224">
        <f>+'Exhibit 4'!B77</f>
        <v>0.35000000000000003</v>
      </c>
      <c r="C52" s="34">
        <f>+'Exhibit 4'!C77</f>
        <v>0</v>
      </c>
      <c r="D52" s="62">
        <v>0</v>
      </c>
      <c r="E52" s="64">
        <v>0</v>
      </c>
      <c r="F52" s="64">
        <v>0.5</v>
      </c>
      <c r="G52" s="64">
        <v>0</v>
      </c>
      <c r="H52" s="63">
        <f>+($B$4*D52)+($C$4*E52)+($E$4*F52)+($F$4*G52)</f>
        <v>21.14</v>
      </c>
      <c r="I52" s="63">
        <v>0</v>
      </c>
      <c r="J52" s="63">
        <v>0</v>
      </c>
      <c r="K52" s="64">
        <f>(D52+E52+F52+G52)*(B52+C52)</f>
        <v>0.17500000000000002</v>
      </c>
      <c r="L52" s="225">
        <f>(H52+I52+J52)*(C52+B52)</f>
        <v>7.3990000000000009</v>
      </c>
      <c r="M52" s="20"/>
      <c r="N52" s="12"/>
    </row>
    <row r="53" spans="1:14" x14ac:dyDescent="0.2">
      <c r="A53" s="206" t="s">
        <v>337</v>
      </c>
      <c r="B53" s="138">
        <f>+'Exhibit 4'!B84</f>
        <v>7</v>
      </c>
      <c r="C53" s="127">
        <f>+'Exhibit 4'!C84</f>
        <v>0</v>
      </c>
      <c r="D53" s="95">
        <v>0</v>
      </c>
      <c r="E53" s="104">
        <v>0</v>
      </c>
      <c r="F53" s="104">
        <v>4</v>
      </c>
      <c r="G53" s="104">
        <v>0</v>
      </c>
      <c r="H53" s="96">
        <f>+($B$4*D53)+($C$4*E53)+($E$4*F53)+($F$4*G53)</f>
        <v>169.12</v>
      </c>
      <c r="I53" s="96">
        <v>0</v>
      </c>
      <c r="J53" s="96">
        <v>0</v>
      </c>
      <c r="K53" s="104">
        <f>(D53+E53+F53+G53)*(B53+C53)</f>
        <v>28</v>
      </c>
      <c r="L53" s="207">
        <f>(H53+I53+J53)*(C53+B53)</f>
        <v>1183.8400000000001</v>
      </c>
      <c r="M53" s="20"/>
      <c r="N53" s="12"/>
    </row>
    <row r="54" spans="1:14" x14ac:dyDescent="0.2">
      <c r="A54" s="206" t="s">
        <v>338</v>
      </c>
      <c r="B54" s="101">
        <f>+'Exhibit 4'!B89</f>
        <v>0.5</v>
      </c>
      <c r="C54" s="94">
        <f>+'Exhibit 4'!C89</f>
        <v>0</v>
      </c>
      <c r="D54" s="95">
        <v>0</v>
      </c>
      <c r="E54" s="104">
        <v>0</v>
      </c>
      <c r="F54" s="104">
        <v>1</v>
      </c>
      <c r="G54" s="104">
        <v>0</v>
      </c>
      <c r="H54" s="96">
        <f>+($B$4*D54)+($C$4*E54)+($E$4*F54)+($F$4*G54)</f>
        <v>42.28</v>
      </c>
      <c r="I54" s="96">
        <v>0</v>
      </c>
      <c r="J54" s="96">
        <v>0</v>
      </c>
      <c r="K54" s="104">
        <f>(D54+E54+F54+G54)*(B54+C54)</f>
        <v>0.5</v>
      </c>
      <c r="L54" s="207">
        <f>(H54+I54+J54)*(C54+B54)</f>
        <v>21.14</v>
      </c>
      <c r="M54" s="20"/>
      <c r="N54" s="12"/>
    </row>
    <row r="55" spans="1:14" x14ac:dyDescent="0.2">
      <c r="A55" s="206" t="s">
        <v>339</v>
      </c>
      <c r="B55" s="101" t="str">
        <f>+'Exhibit 4'!B96</f>
        <v>N/A</v>
      </c>
      <c r="C55" s="94">
        <f>+'Exhibit 4'!C96</f>
        <v>0</v>
      </c>
      <c r="D55" s="95">
        <v>0</v>
      </c>
      <c r="E55" s="104">
        <v>0</v>
      </c>
      <c r="F55" s="104">
        <v>15</v>
      </c>
      <c r="G55" s="104">
        <v>0</v>
      </c>
      <c r="H55" s="96">
        <f>+($B$4*D55)+($C$4*E55)+($E$4*F55)+($F$4*G55)</f>
        <v>634.20000000000005</v>
      </c>
      <c r="I55" s="96">
        <v>0</v>
      </c>
      <c r="J55" s="96">
        <v>0</v>
      </c>
      <c r="K55" s="104">
        <f>(D55+E55+F55+G55)*(C55)</f>
        <v>0</v>
      </c>
      <c r="L55" s="207">
        <f>(H55+I55+J55)*(C55)</f>
        <v>0</v>
      </c>
      <c r="M55" s="20"/>
      <c r="N55" s="12"/>
    </row>
    <row r="56" spans="1:14" x14ac:dyDescent="0.2">
      <c r="A56" s="208" t="s">
        <v>340</v>
      </c>
      <c r="B56" s="3"/>
      <c r="C56" s="31"/>
      <c r="D56" s="32"/>
      <c r="E56" s="141"/>
      <c r="F56" s="141"/>
      <c r="G56" s="141"/>
      <c r="H56" s="141"/>
      <c r="I56" s="141"/>
      <c r="J56" s="141"/>
      <c r="K56" s="141"/>
      <c r="L56" s="209"/>
      <c r="M56" s="20"/>
      <c r="N56" s="12"/>
    </row>
    <row r="57" spans="1:14" x14ac:dyDescent="0.2">
      <c r="A57" s="223" t="s">
        <v>341</v>
      </c>
      <c r="B57" s="61" t="str">
        <f>+'Exhibit 4'!B103</f>
        <v>N/A</v>
      </c>
      <c r="C57" s="60">
        <f>+'Exhibit 4'!C103</f>
        <v>0</v>
      </c>
      <c r="D57" s="62">
        <v>0</v>
      </c>
      <c r="E57" s="64">
        <v>0</v>
      </c>
      <c r="F57" s="64">
        <v>2</v>
      </c>
      <c r="G57" s="64">
        <v>0</v>
      </c>
      <c r="H57" s="63">
        <f>+($B$4*D57)+($C$4*E57)+($E$4*F57)+($F$4*G57)</f>
        <v>84.56</v>
      </c>
      <c r="I57" s="63">
        <v>0</v>
      </c>
      <c r="J57" s="63">
        <v>0</v>
      </c>
      <c r="K57" s="64">
        <f>(D57+E57+F57+G57)*(C57)</f>
        <v>0</v>
      </c>
      <c r="L57" s="225">
        <f>(H57+I57+J57)*(C57)</f>
        <v>0</v>
      </c>
      <c r="M57" s="20"/>
      <c r="N57" s="12"/>
    </row>
    <row r="58" spans="1:14" x14ac:dyDescent="0.2">
      <c r="A58" s="206" t="s">
        <v>342</v>
      </c>
      <c r="B58" s="101" t="str">
        <f>+'Exhibit 4'!B109</f>
        <v>N/A</v>
      </c>
      <c r="C58" s="94">
        <f>+'Exhibit 4'!C109</f>
        <v>0</v>
      </c>
      <c r="D58" s="95">
        <v>0</v>
      </c>
      <c r="E58" s="104">
        <v>0</v>
      </c>
      <c r="F58" s="104">
        <v>2</v>
      </c>
      <c r="G58" s="104">
        <v>0</v>
      </c>
      <c r="H58" s="96">
        <f>+($B$4*D58)+($C$4*E58)+($E$4*F58)+($F$4*G58)</f>
        <v>84.56</v>
      </c>
      <c r="I58" s="96">
        <v>0</v>
      </c>
      <c r="J58" s="96">
        <v>0</v>
      </c>
      <c r="K58" s="104">
        <f>(D58+E58+F58+G58)*(C58)</f>
        <v>0</v>
      </c>
      <c r="L58" s="207">
        <f>(H58+I58+J58)*(C58)</f>
        <v>0</v>
      </c>
      <c r="M58" s="20"/>
      <c r="N58" s="12"/>
    </row>
    <row r="59" spans="1:14" x14ac:dyDescent="0.2">
      <c r="A59" s="208" t="s">
        <v>343</v>
      </c>
      <c r="B59" s="56" t="str">
        <f>+'Exhibit 4'!B111</f>
        <v>N/A</v>
      </c>
      <c r="C59" s="228">
        <f>+'Exhibit 4'!C111</f>
        <v>0</v>
      </c>
      <c r="D59" s="32">
        <v>0</v>
      </c>
      <c r="E59" s="141">
        <v>0</v>
      </c>
      <c r="F59" s="141">
        <v>2</v>
      </c>
      <c r="G59" s="141">
        <v>0</v>
      </c>
      <c r="H59" s="57">
        <f>+($B$4*D59)+($C$4*E59)+($E$4*F59)+($F$4*G59)</f>
        <v>84.56</v>
      </c>
      <c r="I59" s="57">
        <v>0</v>
      </c>
      <c r="J59" s="57">
        <v>0</v>
      </c>
      <c r="K59" s="141">
        <f>(D59+E59+F59+G59)*(C59)</f>
        <v>0</v>
      </c>
      <c r="L59" s="209">
        <f>(H59+I59+J59)*(C59)</f>
        <v>0</v>
      </c>
      <c r="M59" s="20"/>
      <c r="N59" s="12"/>
    </row>
    <row r="60" spans="1:14" x14ac:dyDescent="0.2">
      <c r="A60" s="223" t="s">
        <v>344</v>
      </c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229"/>
      <c r="M60" s="20"/>
      <c r="N60" s="12"/>
    </row>
    <row r="61" spans="1:14" x14ac:dyDescent="0.2">
      <c r="A61" s="206" t="s">
        <v>345</v>
      </c>
      <c r="B61" s="103" t="str">
        <f>+'Exhibit 4'!B113</f>
        <v>N/A</v>
      </c>
      <c r="C61" s="127">
        <f>+'Exhibit 4'!C113</f>
        <v>0</v>
      </c>
      <c r="D61" s="95">
        <v>0</v>
      </c>
      <c r="E61" s="104">
        <v>0.5</v>
      </c>
      <c r="F61" s="104">
        <v>1</v>
      </c>
      <c r="G61" s="104">
        <v>0</v>
      </c>
      <c r="H61" s="96">
        <f>+($B$4*D61)+($C$4*E61)+($E$4*F61)+($F$4*G61)</f>
        <v>77.61</v>
      </c>
      <c r="I61" s="96">
        <v>0</v>
      </c>
      <c r="J61" s="96">
        <v>0</v>
      </c>
      <c r="K61" s="104">
        <f>(D61+E61+F61+G61)*(C61)</f>
        <v>0</v>
      </c>
      <c r="L61" s="207">
        <f>(H61+I61+J61)*(C61)</f>
        <v>0</v>
      </c>
      <c r="M61" s="20"/>
      <c r="N61" s="12"/>
    </row>
    <row r="62" spans="1:14" x14ac:dyDescent="0.2">
      <c r="A62" s="206" t="s">
        <v>346</v>
      </c>
      <c r="B62" s="101">
        <f>+'Exhibit 4'!B120</f>
        <v>1</v>
      </c>
      <c r="C62" s="94">
        <f>+'Exhibit 4'!C120</f>
        <v>0</v>
      </c>
      <c r="D62" s="95">
        <v>0</v>
      </c>
      <c r="E62" s="104">
        <v>0</v>
      </c>
      <c r="F62" s="104">
        <v>1</v>
      </c>
      <c r="G62" s="104">
        <v>0</v>
      </c>
      <c r="H62" s="96">
        <f>+($B$4*D62)+($C$4*E62)+($E$4*F62)+($F$4*G62)</f>
        <v>42.28</v>
      </c>
      <c r="I62" s="96">
        <v>0</v>
      </c>
      <c r="J62" s="96">
        <v>0</v>
      </c>
      <c r="K62" s="104">
        <f>(D62+E62+F62+G62)*(B62+C62)</f>
        <v>1</v>
      </c>
      <c r="L62" s="207">
        <f>(H62+I62+J62)*(C62+B62)</f>
        <v>42.28</v>
      </c>
      <c r="M62" s="20"/>
      <c r="N62" s="12"/>
    </row>
    <row r="63" spans="1:14" x14ac:dyDescent="0.2">
      <c r="A63" s="206" t="s">
        <v>347</v>
      </c>
      <c r="B63" s="101">
        <f>+'Exhibit 4'!B126</f>
        <v>1</v>
      </c>
      <c r="C63" s="94">
        <f>+'Exhibit 4'!C126</f>
        <v>0</v>
      </c>
      <c r="D63" s="95">
        <v>0</v>
      </c>
      <c r="E63" s="104">
        <v>0</v>
      </c>
      <c r="F63" s="104">
        <v>1</v>
      </c>
      <c r="G63" s="104">
        <v>0</v>
      </c>
      <c r="H63" s="96">
        <f>+($B$4*D63)+($C$4*E63)+($E$4*F63)+($F$4*G63)</f>
        <v>42.28</v>
      </c>
      <c r="I63" s="96">
        <v>0</v>
      </c>
      <c r="J63" s="96">
        <v>0</v>
      </c>
      <c r="K63" s="104">
        <f>(D63+E63+F63+G63)*(B63+C63)</f>
        <v>1</v>
      </c>
      <c r="L63" s="207">
        <f>(H63+I63+J63)*(C63+B63)</f>
        <v>42.28</v>
      </c>
      <c r="M63" s="20"/>
      <c r="N63" s="12"/>
    </row>
    <row r="64" spans="1:14" x14ac:dyDescent="0.2">
      <c r="A64" s="206" t="s">
        <v>348</v>
      </c>
      <c r="B64" s="101">
        <f>+'Exhibit 4'!B140</f>
        <v>0</v>
      </c>
      <c r="C64" s="94">
        <f>+'Exhibit 4'!C140</f>
        <v>0</v>
      </c>
      <c r="D64" s="95">
        <v>0</v>
      </c>
      <c r="E64" s="104">
        <v>0</v>
      </c>
      <c r="F64" s="104">
        <v>4</v>
      </c>
      <c r="G64" s="104">
        <v>0</v>
      </c>
      <c r="H64" s="96">
        <f>+($B$4*D64)+($C$4*E64)+($E$4*F64)+($F$4*G64)</f>
        <v>169.12</v>
      </c>
      <c r="I64" s="96">
        <v>0</v>
      </c>
      <c r="J64" s="96">
        <v>0</v>
      </c>
      <c r="K64" s="104">
        <f>(D64+E64+F64+G64)*(B64+C64)</f>
        <v>0</v>
      </c>
      <c r="L64" s="207">
        <f>(H64+I64+J64)*(C64+B64)</f>
        <v>0</v>
      </c>
      <c r="M64" s="20"/>
      <c r="N64" s="12"/>
    </row>
    <row r="65" spans="1:14" ht="1.05" customHeight="1" x14ac:dyDescent="0.2">
      <c r="A65" s="216"/>
      <c r="B65" s="98"/>
      <c r="C65" s="98"/>
      <c r="D65" s="99"/>
      <c r="E65" s="97"/>
      <c r="F65" s="97"/>
      <c r="G65" s="97"/>
      <c r="H65" s="97"/>
      <c r="I65" s="97"/>
      <c r="J65" s="97"/>
      <c r="K65" s="97"/>
      <c r="L65" s="217"/>
      <c r="M65" s="20"/>
      <c r="N65" s="12"/>
    </row>
    <row r="66" spans="1:14" ht="10.8" thickBot="1" x14ac:dyDescent="0.25">
      <c r="A66" s="206" t="s">
        <v>64</v>
      </c>
      <c r="B66" s="101" t="s">
        <v>101</v>
      </c>
      <c r="C66" s="101" t="s">
        <v>101</v>
      </c>
      <c r="D66" s="95">
        <v>0</v>
      </c>
      <c r="E66" s="103" t="s">
        <v>101</v>
      </c>
      <c r="F66" s="101" t="s">
        <v>101</v>
      </c>
      <c r="G66" s="101" t="s">
        <v>101</v>
      </c>
      <c r="H66" s="101" t="s">
        <v>101</v>
      </c>
      <c r="I66" s="96">
        <v>0</v>
      </c>
      <c r="J66" s="96">
        <v>0</v>
      </c>
      <c r="K66" s="104">
        <f>SUM(K43:K64)</f>
        <v>49.075000000000003</v>
      </c>
      <c r="L66" s="207">
        <f>SUM(L43:L64)</f>
        <v>2074.8910000000005</v>
      </c>
      <c r="M66" s="20"/>
      <c r="N66" s="12"/>
    </row>
    <row r="67" spans="1:14" ht="10.8" thickBot="1" x14ac:dyDescent="0.25">
      <c r="A67" s="359" t="s">
        <v>220</v>
      </c>
      <c r="B67" s="360"/>
      <c r="C67" s="360"/>
      <c r="D67" s="361"/>
      <c r="E67" s="362"/>
      <c r="F67" s="362"/>
      <c r="G67" s="362"/>
      <c r="H67" s="362"/>
      <c r="I67" s="362"/>
      <c r="J67" s="362"/>
      <c r="K67" s="362"/>
      <c r="L67" s="363"/>
      <c r="M67" s="20"/>
      <c r="N67" s="12"/>
    </row>
    <row r="68" spans="1:14" x14ac:dyDescent="0.2">
      <c r="A68" s="206" t="s">
        <v>349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230"/>
      <c r="M68" s="20"/>
      <c r="N68" s="12"/>
    </row>
    <row r="69" spans="1:14" x14ac:dyDescent="0.2">
      <c r="A69" s="206" t="s">
        <v>350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230"/>
      <c r="M69" s="20"/>
      <c r="N69" s="12"/>
    </row>
    <row r="70" spans="1:14" x14ac:dyDescent="0.2">
      <c r="A70" s="206" t="s">
        <v>351</v>
      </c>
      <c r="B70" s="94">
        <f>+[1]C!B64</f>
        <v>0</v>
      </c>
      <c r="C70" s="94">
        <f>+[1]C!C64</f>
        <v>0</v>
      </c>
      <c r="D70" s="95">
        <v>0</v>
      </c>
      <c r="E70" s="104">
        <v>0</v>
      </c>
      <c r="F70" s="104">
        <v>8</v>
      </c>
      <c r="G70" s="104">
        <v>0</v>
      </c>
      <c r="H70" s="96">
        <f>+($B$4*D70)+($C$4*E70)+($E$4*F70)+($F$4*G70)</f>
        <v>338.24</v>
      </c>
      <c r="I70" s="96">
        <v>0</v>
      </c>
      <c r="J70" s="96">
        <v>0</v>
      </c>
      <c r="K70" s="104">
        <f>(D70+E70+F70+G70)*(B70+C70)</f>
        <v>0</v>
      </c>
      <c r="L70" s="207">
        <f>(H70+I70+J70)*(C70+B70)</f>
        <v>0</v>
      </c>
      <c r="M70" s="9"/>
      <c r="N70" s="12"/>
    </row>
    <row r="71" spans="1:14" x14ac:dyDescent="0.2">
      <c r="A71" s="206" t="s">
        <v>352</v>
      </c>
      <c r="B71" s="94">
        <f>+[1]C!B72+[1]C!B91+[1]C!B106+[1]C!B121+[1]C!B135</f>
        <v>0</v>
      </c>
      <c r="C71" s="94">
        <f>+[1]C!C72+[1]C!C91+[1]C!C106+[1]C!C121+[1]C!C135</f>
        <v>0</v>
      </c>
      <c r="D71" s="95">
        <v>0</v>
      </c>
      <c r="E71" s="104">
        <v>0</v>
      </c>
      <c r="F71" s="104">
        <v>7.5</v>
      </c>
      <c r="G71" s="104">
        <v>0</v>
      </c>
      <c r="H71" s="96">
        <f>+($B$4*D71)+($C$4*E71)+($E$4*F71)+($F$4*G71)</f>
        <v>317.10000000000002</v>
      </c>
      <c r="I71" s="96">
        <v>0</v>
      </c>
      <c r="J71" s="96">
        <v>0</v>
      </c>
      <c r="K71" s="104">
        <f>(D71+E71+F71+G71)*(B71+C71)</f>
        <v>0</v>
      </c>
      <c r="L71" s="207">
        <f>(H71+I71+J71)*(C71+B71)</f>
        <v>0</v>
      </c>
      <c r="M71" s="9"/>
      <c r="N71" s="12"/>
    </row>
    <row r="72" spans="1:14" x14ac:dyDescent="0.2">
      <c r="A72" s="206" t="s">
        <v>353</v>
      </c>
      <c r="B72" s="94"/>
      <c r="C72" s="94"/>
      <c r="D72" s="95"/>
      <c r="E72" s="104"/>
      <c r="F72" s="104"/>
      <c r="G72" s="104"/>
      <c r="H72" s="104"/>
      <c r="I72" s="104"/>
      <c r="J72" s="104"/>
      <c r="K72" s="104"/>
      <c r="L72" s="207"/>
      <c r="M72" s="9"/>
      <c r="N72" s="12"/>
    </row>
    <row r="73" spans="1:14" x14ac:dyDescent="0.2">
      <c r="A73" s="206" t="s">
        <v>354</v>
      </c>
      <c r="B73" s="94">
        <f>+[1]C!B64</f>
        <v>0</v>
      </c>
      <c r="C73" s="94">
        <f>+[1]C!C64</f>
        <v>0</v>
      </c>
      <c r="D73" s="95">
        <v>0</v>
      </c>
      <c r="E73" s="104">
        <v>0</v>
      </c>
      <c r="F73" s="104">
        <v>0.5</v>
      </c>
      <c r="G73" s="104">
        <v>0</v>
      </c>
      <c r="H73" s="96">
        <f>+($B$4*D73)+($C$4*E73)+($E$4*F73)+($F$4*G73)</f>
        <v>21.14</v>
      </c>
      <c r="I73" s="96">
        <v>0</v>
      </c>
      <c r="J73" s="96">
        <v>0</v>
      </c>
      <c r="K73" s="104">
        <f>(D73+E73+F73+G73)*(B73+C73)</f>
        <v>0</v>
      </c>
      <c r="L73" s="207">
        <f>(H73+I73+J73)*(C73+B73)</f>
        <v>0</v>
      </c>
      <c r="M73" s="9"/>
      <c r="N73" s="12"/>
    </row>
    <row r="74" spans="1:14" x14ac:dyDescent="0.2">
      <c r="A74" s="206" t="s">
        <v>355</v>
      </c>
      <c r="B74" s="94">
        <f>+[1]C!C168+[1]C!C180+[1]C!C189+[1]C!C196+[1]C!C208</f>
        <v>0</v>
      </c>
      <c r="C74" s="94">
        <f>+[1]C!D168+[1]C!D180+[1]C!D189+[1]C!D196+[1]C!D208</f>
        <v>0</v>
      </c>
      <c r="D74" s="95">
        <v>1</v>
      </c>
      <c r="E74" s="104">
        <v>0</v>
      </c>
      <c r="F74" s="104">
        <v>2</v>
      </c>
      <c r="G74" s="104">
        <v>0</v>
      </c>
      <c r="H74" s="96">
        <f>+($B$4*D74)+($C$4*E74)+($E$4*F74)+($F$4*G74)</f>
        <v>159.84</v>
      </c>
      <c r="I74" s="96">
        <v>0</v>
      </c>
      <c r="J74" s="96">
        <v>0</v>
      </c>
      <c r="K74" s="104">
        <f>(D74+E74+F74+G74)*(B74+C74)</f>
        <v>0</v>
      </c>
      <c r="L74" s="207">
        <f>(H74+I74+J74)*(C74+B74)</f>
        <v>0</v>
      </c>
      <c r="M74" s="9"/>
      <c r="N74" s="12"/>
    </row>
    <row r="75" spans="1:14" x14ac:dyDescent="0.2">
      <c r="A75" s="206" t="s">
        <v>356</v>
      </c>
      <c r="B75" s="102">
        <v>0</v>
      </c>
      <c r="C75" s="102">
        <v>59</v>
      </c>
      <c r="D75" s="95">
        <v>0</v>
      </c>
      <c r="E75" s="104">
        <v>0.5</v>
      </c>
      <c r="F75" s="104">
        <v>1</v>
      </c>
      <c r="G75" s="104">
        <v>0</v>
      </c>
      <c r="H75" s="96">
        <f>+($B$4*D75)+($C$4*E75)+($E$4*F75)+($F$4*G75)</f>
        <v>77.61</v>
      </c>
      <c r="I75" s="96">
        <v>0</v>
      </c>
      <c r="J75" s="96">
        <v>0</v>
      </c>
      <c r="K75" s="104">
        <f>(D75+E75+F75+G75)*(B75+C75)</f>
        <v>88.5</v>
      </c>
      <c r="L75" s="207">
        <f>(H75+I75+J75)*(C75+B75)</f>
        <v>4578.99</v>
      </c>
      <c r="M75" s="9"/>
      <c r="N75" s="12"/>
    </row>
    <row r="76" spans="1:14" x14ac:dyDescent="0.2">
      <c r="A76" s="206" t="s">
        <v>357</v>
      </c>
      <c r="B76" s="94">
        <v>56</v>
      </c>
      <c r="C76" s="94">
        <v>274</v>
      </c>
      <c r="D76" s="95">
        <v>0</v>
      </c>
      <c r="E76" s="104">
        <v>0</v>
      </c>
      <c r="F76" s="104">
        <v>8</v>
      </c>
      <c r="G76" s="104">
        <v>0</v>
      </c>
      <c r="H76" s="96">
        <f>+($B$4*D76)+($C$4*E76)+($E$4*F76)+($F$4*G76)</f>
        <v>338.24</v>
      </c>
      <c r="I76" s="96">
        <v>0</v>
      </c>
      <c r="J76" s="96">
        <v>0</v>
      </c>
      <c r="K76" s="104">
        <f>(D76+E76+F76+G76)*(B76+C76)</f>
        <v>2640</v>
      </c>
      <c r="L76" s="207">
        <f>(H76+I76+J76)*(C76+B76)</f>
        <v>111619.2</v>
      </c>
      <c r="M76" s="9"/>
      <c r="N76" s="12"/>
    </row>
    <row r="77" spans="1:14" x14ac:dyDescent="0.2">
      <c r="A77" s="206" t="s">
        <v>358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230"/>
      <c r="M77" s="9"/>
      <c r="N77" s="12"/>
    </row>
    <row r="78" spans="1:14" x14ac:dyDescent="0.2">
      <c r="A78" s="206" t="s">
        <v>359</v>
      </c>
      <c r="B78" s="94">
        <v>314</v>
      </c>
      <c r="C78" s="94">
        <v>23</v>
      </c>
      <c r="D78" s="95">
        <v>0</v>
      </c>
      <c r="E78" s="104">
        <v>0</v>
      </c>
      <c r="F78" s="104">
        <v>8</v>
      </c>
      <c r="G78" s="104">
        <v>0</v>
      </c>
      <c r="H78" s="96">
        <f>+($B$4*D78)+($C$4*E78)+($E$4*F78)+($F$4*G78)</f>
        <v>338.24</v>
      </c>
      <c r="I78" s="96">
        <v>0</v>
      </c>
      <c r="J78" s="96">
        <v>0</v>
      </c>
      <c r="K78" s="104">
        <f>(D78+E78+F78+G78)*(B78+C78)</f>
        <v>2696</v>
      </c>
      <c r="L78" s="207">
        <f>(H78+I78+J78)*(C78+B78)</f>
        <v>113986.88</v>
      </c>
      <c r="M78" s="9"/>
      <c r="N78" s="12"/>
    </row>
    <row r="79" spans="1:14" x14ac:dyDescent="0.2">
      <c r="A79" s="206" t="s">
        <v>360</v>
      </c>
      <c r="B79" s="94">
        <v>28</v>
      </c>
      <c r="C79" s="94">
        <v>72</v>
      </c>
      <c r="D79" s="95">
        <v>1</v>
      </c>
      <c r="E79" s="104">
        <v>0</v>
      </c>
      <c r="F79" s="104">
        <v>2</v>
      </c>
      <c r="G79" s="104">
        <v>0</v>
      </c>
      <c r="H79" s="96">
        <f>+($B$4*D79)+($C$4*E79)+($E$4*F79)+($F$4*G79)</f>
        <v>159.84</v>
      </c>
      <c r="I79" s="96">
        <v>0</v>
      </c>
      <c r="J79" s="96">
        <v>0</v>
      </c>
      <c r="K79" s="104">
        <f>(D79+E79+F79+G79)*(B79+C79)</f>
        <v>300</v>
      </c>
      <c r="L79" s="207">
        <f>(H79+I79+J79)*(C79+B79)</f>
        <v>15984</v>
      </c>
      <c r="M79" s="9"/>
      <c r="N79" s="12"/>
    </row>
    <row r="80" spans="1:14" x14ac:dyDescent="0.2">
      <c r="A80" s="206" t="s">
        <v>361</v>
      </c>
      <c r="B80" s="94"/>
      <c r="C80" s="94"/>
      <c r="D80" s="95"/>
      <c r="E80" s="102"/>
      <c r="F80" s="102"/>
      <c r="G80" s="102"/>
      <c r="H80" s="102"/>
      <c r="I80" s="102"/>
      <c r="J80" s="102"/>
      <c r="K80" s="102"/>
      <c r="L80" s="230"/>
      <c r="M80" s="9"/>
      <c r="N80" s="12"/>
    </row>
    <row r="81" spans="1:14" x14ac:dyDescent="0.2">
      <c r="A81" s="206" t="s">
        <v>362</v>
      </c>
      <c r="B81" s="94">
        <f>+[1]C!B233</f>
        <v>0</v>
      </c>
      <c r="C81" s="94">
        <f>+[1]C!C233</f>
        <v>0</v>
      </c>
      <c r="D81" s="95">
        <v>0</v>
      </c>
      <c r="E81" s="104">
        <v>0</v>
      </c>
      <c r="F81" s="104">
        <v>2</v>
      </c>
      <c r="G81" s="104">
        <v>0</v>
      </c>
      <c r="H81" s="96">
        <f>+($B$4*D81)+($C$4*E81)+($E$4*F81)+($F$4*G81)</f>
        <v>84.56</v>
      </c>
      <c r="I81" s="96">
        <v>0</v>
      </c>
      <c r="J81" s="96">
        <v>0</v>
      </c>
      <c r="K81" s="104">
        <f>(D81+E81+F81+G81)*(B81+C81)</f>
        <v>0</v>
      </c>
      <c r="L81" s="207">
        <f>(H81+I81+J81)*(C81+B81)</f>
        <v>0</v>
      </c>
      <c r="M81" s="9"/>
      <c r="N81" s="12"/>
    </row>
    <row r="82" spans="1:14" x14ac:dyDescent="0.2">
      <c r="A82" s="206" t="s">
        <v>363</v>
      </c>
      <c r="B82" s="94">
        <f>+[1]C!B55</f>
        <v>0</v>
      </c>
      <c r="C82" s="94">
        <f>+[1]C!C55</f>
        <v>0</v>
      </c>
      <c r="D82" s="95">
        <v>1</v>
      </c>
      <c r="E82" s="104">
        <v>0</v>
      </c>
      <c r="F82" s="104">
        <v>8</v>
      </c>
      <c r="G82" s="104">
        <v>0</v>
      </c>
      <c r="H82" s="96">
        <f>+($B$4*D82)+($C$4*E82)+($E$4*F82)+($F$4*G82)</f>
        <v>413.52</v>
      </c>
      <c r="I82" s="96">
        <v>0</v>
      </c>
      <c r="J82" s="96">
        <v>0</v>
      </c>
      <c r="K82" s="104">
        <f>(D82+E82+F82+G82)*(B82+C82)</f>
        <v>0</v>
      </c>
      <c r="L82" s="207">
        <f>(H82+I82+J82)*(C82+B82)</f>
        <v>0</v>
      </c>
      <c r="M82" s="9"/>
      <c r="N82" s="12"/>
    </row>
    <row r="83" spans="1:14" ht="1.05" customHeight="1" x14ac:dyDescent="0.2">
      <c r="A83" s="216"/>
      <c r="B83" s="98"/>
      <c r="C83" s="98"/>
      <c r="D83" s="99"/>
      <c r="E83" s="97"/>
      <c r="F83" s="97"/>
      <c r="G83" s="97"/>
      <c r="H83" s="97"/>
      <c r="I83" s="97"/>
      <c r="J83" s="97"/>
      <c r="K83" s="97"/>
      <c r="L83" s="217"/>
      <c r="M83" s="9"/>
      <c r="N83" s="12"/>
    </row>
    <row r="84" spans="1:14" ht="10.8" thickBot="1" x14ac:dyDescent="0.25">
      <c r="A84" s="208" t="s">
        <v>64</v>
      </c>
      <c r="B84" s="3" t="s">
        <v>101</v>
      </c>
      <c r="C84" s="3" t="s">
        <v>101</v>
      </c>
      <c r="D84" s="231" t="s">
        <v>101</v>
      </c>
      <c r="E84" s="56" t="s">
        <v>101</v>
      </c>
      <c r="F84" s="3" t="s">
        <v>101</v>
      </c>
      <c r="G84" s="141">
        <v>0</v>
      </c>
      <c r="H84" s="3" t="s">
        <v>101</v>
      </c>
      <c r="I84" s="57">
        <v>0</v>
      </c>
      <c r="J84" s="57">
        <v>0</v>
      </c>
      <c r="K84" s="141">
        <f>SUM(K70:K82)</f>
        <v>5724.5</v>
      </c>
      <c r="L84" s="209">
        <f>SUM(L70:L82)</f>
        <v>246169.07</v>
      </c>
      <c r="M84" s="9"/>
      <c r="N84" s="12"/>
    </row>
    <row r="85" spans="1:14" ht="10.8" thickBot="1" x14ac:dyDescent="0.25">
      <c r="A85" s="359" t="s">
        <v>291</v>
      </c>
      <c r="B85" s="364"/>
      <c r="C85" s="364"/>
      <c r="D85" s="361"/>
      <c r="E85" s="361"/>
      <c r="F85" s="361"/>
      <c r="G85" s="361"/>
      <c r="H85" s="361"/>
      <c r="I85" s="361"/>
      <c r="J85" s="361"/>
      <c r="K85" s="361"/>
      <c r="L85" s="363"/>
      <c r="M85" s="9"/>
      <c r="N85" s="12"/>
    </row>
    <row r="86" spans="1:14" x14ac:dyDescent="0.2">
      <c r="A86" s="232" t="s">
        <v>364</v>
      </c>
      <c r="B86" s="158">
        <f>+'Exhibit 6'!B50</f>
        <v>173</v>
      </c>
      <c r="C86" s="158">
        <v>0</v>
      </c>
      <c r="D86" s="233">
        <v>0</v>
      </c>
      <c r="E86" s="233">
        <v>0.25</v>
      </c>
      <c r="F86" s="233">
        <v>1</v>
      </c>
      <c r="G86" s="233">
        <v>0.1</v>
      </c>
      <c r="H86" s="234">
        <f>+($B$4*D86)+($C$4*E86)+($E$4*F86)+($F$4*G86)</f>
        <v>62.640999999999998</v>
      </c>
      <c r="I86" s="234">
        <v>0</v>
      </c>
      <c r="J86" s="234">
        <v>0</v>
      </c>
      <c r="K86" s="233">
        <f>(D86+E86+F86+G86)*(B86+C86)</f>
        <v>233.55</v>
      </c>
      <c r="L86" s="235">
        <f>(H86+I86+J86)*(C86+B86)</f>
        <v>10836.893</v>
      </c>
      <c r="M86" s="9"/>
      <c r="N86" s="12"/>
    </row>
    <row r="87" spans="1:14" x14ac:dyDescent="0.2">
      <c r="A87" s="223" t="s">
        <v>365</v>
      </c>
      <c r="B87" s="44"/>
      <c r="C87" s="44"/>
      <c r="D87" s="64"/>
      <c r="E87" s="64"/>
      <c r="F87" s="64"/>
      <c r="G87" s="64"/>
      <c r="H87" s="64"/>
      <c r="I87" s="64"/>
      <c r="J87" s="64"/>
      <c r="K87" s="64"/>
      <c r="L87" s="225"/>
      <c r="M87" s="9"/>
      <c r="N87" s="12"/>
    </row>
    <row r="88" spans="1:14" x14ac:dyDescent="0.2">
      <c r="A88" s="206" t="s">
        <v>366</v>
      </c>
      <c r="B88" s="102">
        <f>+'Exhibit 6'!B52</f>
        <v>155</v>
      </c>
      <c r="C88" s="102">
        <v>0</v>
      </c>
      <c r="D88" s="104">
        <v>0</v>
      </c>
      <c r="E88" s="104">
        <v>0</v>
      </c>
      <c r="F88" s="104">
        <v>0.5</v>
      </c>
      <c r="G88" s="104">
        <v>0.1</v>
      </c>
      <c r="H88" s="96">
        <f>+($B$4*D88)+($C$4*E88)+($E$4*F88)+($F$4*G88)</f>
        <v>23.836000000000002</v>
      </c>
      <c r="I88" s="96">
        <v>0</v>
      </c>
      <c r="J88" s="96">
        <v>0</v>
      </c>
      <c r="K88" s="104">
        <f>(D88+E88+F88+G88)*(B88+C88)</f>
        <v>93</v>
      </c>
      <c r="L88" s="207">
        <f>(H88+I88+J88)*(C88+B88)</f>
        <v>3694.5800000000004</v>
      </c>
      <c r="M88" s="9"/>
      <c r="N88" s="12"/>
    </row>
    <row r="89" spans="1:14" x14ac:dyDescent="0.2">
      <c r="A89" s="206" t="s">
        <v>367</v>
      </c>
      <c r="B89" s="127">
        <f>+'Exhibit 6'!B54</f>
        <v>78</v>
      </c>
      <c r="C89" s="102">
        <v>0</v>
      </c>
      <c r="D89" s="104">
        <v>0</v>
      </c>
      <c r="E89" s="104">
        <v>0.25</v>
      </c>
      <c r="F89" s="104">
        <v>0.5</v>
      </c>
      <c r="G89" s="104">
        <v>0.1</v>
      </c>
      <c r="H89" s="96">
        <f>+($B$4*D89)+($C$4*E89)+($E$4*F89)+($F$4*G89)</f>
        <v>41.500999999999998</v>
      </c>
      <c r="I89" s="96">
        <v>0</v>
      </c>
      <c r="J89" s="96">
        <v>0</v>
      </c>
      <c r="K89" s="104">
        <f>(D89+E89+F89+G89)*(B89+C89)</f>
        <v>66.3</v>
      </c>
      <c r="L89" s="207">
        <f>(H89+I89+J89)*(C89+B89)</f>
        <v>3237.078</v>
      </c>
      <c r="M89" s="9"/>
      <c r="N89" s="12"/>
    </row>
    <row r="90" spans="1:14" x14ac:dyDescent="0.2">
      <c r="A90" s="206" t="s">
        <v>368</v>
      </c>
      <c r="B90" s="127">
        <f>+'Exhibit 6'!B55</f>
        <v>39</v>
      </c>
      <c r="C90" s="102">
        <v>0</v>
      </c>
      <c r="D90" s="104">
        <v>0</v>
      </c>
      <c r="E90" s="104">
        <v>0.25</v>
      </c>
      <c r="F90" s="104">
        <v>0.5</v>
      </c>
      <c r="G90" s="104">
        <v>0.1</v>
      </c>
      <c r="H90" s="96">
        <f>+($B$4*D90)+($C$4*E90)+($E$4*F90)+($F$4*G90)</f>
        <v>41.500999999999998</v>
      </c>
      <c r="I90" s="96">
        <v>0</v>
      </c>
      <c r="J90" s="96">
        <v>0</v>
      </c>
      <c r="K90" s="104">
        <f>(D90+E90+F90+G90)*(B90+C90)</f>
        <v>33.15</v>
      </c>
      <c r="L90" s="207">
        <f>(H90+I90+J90)*(C90+B90)</f>
        <v>1618.539</v>
      </c>
      <c r="M90" s="9"/>
      <c r="N90" s="12"/>
    </row>
    <row r="91" spans="1:14" x14ac:dyDescent="0.2">
      <c r="A91" s="206" t="s">
        <v>369</v>
      </c>
      <c r="B91" s="94">
        <f>+'Exhibit 6'!B56</f>
        <v>216</v>
      </c>
      <c r="C91" s="102">
        <v>0</v>
      </c>
      <c r="D91" s="104">
        <v>0</v>
      </c>
      <c r="E91" s="104">
        <v>0</v>
      </c>
      <c r="F91" s="104">
        <v>5</v>
      </c>
      <c r="G91" s="104">
        <v>0</v>
      </c>
      <c r="H91" s="96">
        <f>+($B$4*D91)+($C$4*E91)+($E$4*F91)+($F$4*G91)</f>
        <v>211.4</v>
      </c>
      <c r="I91" s="96">
        <v>0</v>
      </c>
      <c r="J91" s="96">
        <v>0</v>
      </c>
      <c r="K91" s="104">
        <f>(D91+E91+F91+G91)*(B91+C91)</f>
        <v>1080</v>
      </c>
      <c r="L91" s="207">
        <f>(H91+I91+J91)*(C91+B91)</f>
        <v>45662.400000000001</v>
      </c>
      <c r="M91" s="9"/>
      <c r="N91" s="12"/>
    </row>
    <row r="92" spans="1:14" x14ac:dyDescent="0.2">
      <c r="A92" s="206" t="s">
        <v>370</v>
      </c>
      <c r="B92" s="102">
        <f>+'Exhibit 6'!B58</f>
        <v>10.76</v>
      </c>
      <c r="C92" s="102">
        <v>0</v>
      </c>
      <c r="D92" s="104">
        <v>0</v>
      </c>
      <c r="E92" s="104">
        <v>0</v>
      </c>
      <c r="F92" s="104">
        <v>1</v>
      </c>
      <c r="G92" s="104">
        <v>0.1</v>
      </c>
      <c r="H92" s="96">
        <f>+($B$4*D92)+($C$4*E92)+($E$4*F92)+($F$4*G92)</f>
        <v>44.975999999999999</v>
      </c>
      <c r="I92" s="96">
        <v>0</v>
      </c>
      <c r="J92" s="96">
        <v>0</v>
      </c>
      <c r="K92" s="104">
        <f>(D92+E92+F92+G92)*(B92+C92)</f>
        <v>11.836</v>
      </c>
      <c r="L92" s="207">
        <f>(H92+I92+J92)*(C92+B92)</f>
        <v>483.94175999999999</v>
      </c>
      <c r="M92" s="9"/>
      <c r="N92" s="12"/>
    </row>
    <row r="93" spans="1:14" x14ac:dyDescent="0.2">
      <c r="A93" s="208" t="s">
        <v>371</v>
      </c>
      <c r="B93" s="55"/>
      <c r="C93" s="55"/>
      <c r="D93" s="141"/>
      <c r="E93" s="141"/>
      <c r="F93" s="141"/>
      <c r="G93" s="141"/>
      <c r="H93" s="141"/>
      <c r="I93" s="141"/>
      <c r="J93" s="141"/>
      <c r="K93" s="141"/>
      <c r="L93" s="209"/>
      <c r="M93" s="9"/>
      <c r="N93" s="12"/>
    </row>
    <row r="94" spans="1:14" x14ac:dyDescent="0.2">
      <c r="A94" s="223" t="s">
        <v>372</v>
      </c>
      <c r="B94" s="34">
        <f>+'Exhibit 6'!B61</f>
        <v>10.76</v>
      </c>
      <c r="C94" s="44">
        <v>0</v>
      </c>
      <c r="D94" s="64">
        <v>0</v>
      </c>
      <c r="E94" s="64">
        <v>0</v>
      </c>
      <c r="F94" s="64">
        <v>0.5</v>
      </c>
      <c r="G94" s="64">
        <v>0.1</v>
      </c>
      <c r="H94" s="63">
        <f>+($B$4*D94)+($C$4*E94)+($E$4*F94)+($F$4*G94)</f>
        <v>23.836000000000002</v>
      </c>
      <c r="I94" s="63">
        <v>0</v>
      </c>
      <c r="J94" s="63">
        <v>0</v>
      </c>
      <c r="K94" s="64">
        <f>(D94+E94+F94+G94)*(B94+C94)</f>
        <v>6.4559999999999995</v>
      </c>
      <c r="L94" s="225">
        <f>(H94+I94+J94)*(C94+B94)</f>
        <v>256.47536000000002</v>
      </c>
      <c r="M94" s="9"/>
      <c r="N94" s="12"/>
    </row>
    <row r="95" spans="1:14" x14ac:dyDescent="0.2">
      <c r="A95" s="206" t="s">
        <v>373</v>
      </c>
      <c r="B95" s="127">
        <f>+'Exhibit 6'!B63</f>
        <v>10.76</v>
      </c>
      <c r="C95" s="102">
        <v>0</v>
      </c>
      <c r="D95" s="104">
        <v>0</v>
      </c>
      <c r="E95" s="104">
        <v>0</v>
      </c>
      <c r="F95" s="104">
        <v>0.5</v>
      </c>
      <c r="G95" s="104">
        <v>0.1</v>
      </c>
      <c r="H95" s="96">
        <f>+($B$4*D95)+($C$4*E95)+($E$4*F95)+($F$4*G95)</f>
        <v>23.836000000000002</v>
      </c>
      <c r="I95" s="96">
        <v>0</v>
      </c>
      <c r="J95" s="96">
        <v>0</v>
      </c>
      <c r="K95" s="104">
        <f>(D95+E95+F95+G95)*(B95+C95)</f>
        <v>6.4559999999999995</v>
      </c>
      <c r="L95" s="207">
        <f>(H95+I95+J95)*(C95+B95)</f>
        <v>256.47536000000002</v>
      </c>
      <c r="M95" s="9"/>
      <c r="N95" s="12"/>
    </row>
    <row r="96" spans="1:14" x14ac:dyDescent="0.2">
      <c r="A96" s="206" t="s">
        <v>374</v>
      </c>
      <c r="B96" s="127">
        <f>+'Exhibit 6'!B65</f>
        <v>21.52</v>
      </c>
      <c r="C96" s="102">
        <v>0</v>
      </c>
      <c r="D96" s="104">
        <v>0</v>
      </c>
      <c r="E96" s="104">
        <v>0</v>
      </c>
      <c r="F96" s="104">
        <v>0.5</v>
      </c>
      <c r="G96" s="104">
        <v>0.1</v>
      </c>
      <c r="H96" s="96">
        <f>+($B$4*D96)+($C$4*E96)+($E$4*F96)+($F$4*G96)</f>
        <v>23.836000000000002</v>
      </c>
      <c r="I96" s="96">
        <v>0</v>
      </c>
      <c r="J96" s="96">
        <v>0</v>
      </c>
      <c r="K96" s="104">
        <f>(D96+E96+F96+G96)*(B96+C96)</f>
        <v>12.911999999999999</v>
      </c>
      <c r="L96" s="207">
        <f>(H96+I96+J96)*(C96+B96)</f>
        <v>512.95072000000005</v>
      </c>
      <c r="M96" s="9"/>
      <c r="N96" s="12"/>
    </row>
    <row r="97" spans="1:14" ht="10.8" thickBot="1" x14ac:dyDescent="0.25">
      <c r="A97" s="208" t="s">
        <v>375</v>
      </c>
      <c r="B97" s="228">
        <f>+'Exhibit 6'!B67</f>
        <v>10.76</v>
      </c>
      <c r="C97" s="55">
        <v>0</v>
      </c>
      <c r="D97" s="141">
        <v>0</v>
      </c>
      <c r="E97" s="141">
        <v>0</v>
      </c>
      <c r="F97" s="141">
        <v>0.5</v>
      </c>
      <c r="G97" s="141">
        <v>0.25</v>
      </c>
      <c r="H97" s="57">
        <f>+($B$4*D97)+($C$4*E97)+($E$4*F97)+($F$4*G97)</f>
        <v>27.880000000000003</v>
      </c>
      <c r="I97" s="57">
        <v>0</v>
      </c>
      <c r="J97" s="57">
        <v>0</v>
      </c>
      <c r="K97" s="141">
        <f>(D97+E97+F97+G97)*(B97+C97)</f>
        <v>8.07</v>
      </c>
      <c r="L97" s="209">
        <f>(H97+I97+J97)*(C97+B97)</f>
        <v>299.98880000000003</v>
      </c>
      <c r="M97" s="9"/>
      <c r="N97" s="12"/>
    </row>
    <row r="98" spans="1:14" ht="10.8" thickBot="1" x14ac:dyDescent="0.25">
      <c r="A98" s="236" t="s">
        <v>64</v>
      </c>
      <c r="B98" s="237" t="s">
        <v>101</v>
      </c>
      <c r="C98" s="238">
        <v>0</v>
      </c>
      <c r="D98" s="153">
        <v>0</v>
      </c>
      <c r="E98" s="150" t="s">
        <v>101</v>
      </c>
      <c r="F98" s="150" t="s">
        <v>101</v>
      </c>
      <c r="G98" s="150" t="s">
        <v>101</v>
      </c>
      <c r="H98" s="150" t="s">
        <v>101</v>
      </c>
      <c r="I98" s="152">
        <v>0</v>
      </c>
      <c r="J98" s="152">
        <v>0</v>
      </c>
      <c r="K98" s="153">
        <f>SUM(K86:K97)</f>
        <v>1551.7299999999998</v>
      </c>
      <c r="L98" s="239">
        <f>SUM(L86:L97)</f>
        <v>66859.322</v>
      </c>
      <c r="M98" s="20"/>
      <c r="N98" s="12"/>
    </row>
    <row r="99" spans="1:14" ht="10.8" thickBot="1" x14ac:dyDescent="0.25">
      <c r="A99" s="142" t="s">
        <v>12</v>
      </c>
      <c r="B99" s="143" t="s">
        <v>101</v>
      </c>
      <c r="C99" s="143" t="s">
        <v>101</v>
      </c>
      <c r="D99" s="240" t="s">
        <v>101</v>
      </c>
      <c r="E99" s="240" t="s">
        <v>101</v>
      </c>
      <c r="F99" s="150" t="s">
        <v>101</v>
      </c>
      <c r="G99" s="240" t="s">
        <v>101</v>
      </c>
      <c r="H99" s="240" t="s">
        <v>101</v>
      </c>
      <c r="I99" s="240" t="s">
        <v>101</v>
      </c>
      <c r="J99" s="240" t="s">
        <v>101</v>
      </c>
      <c r="K99" s="153">
        <f>K28+K33+K40+K66+K84+K98</f>
        <v>8988.5049999999992</v>
      </c>
      <c r="L99" s="145">
        <f>L28+L33+L40+L66+L84+L98</f>
        <v>385423.37900000002</v>
      </c>
      <c r="M99" s="20"/>
      <c r="N99" s="12"/>
    </row>
    <row r="100" spans="1:14" x14ac:dyDescent="0.2">
      <c r="A100" s="8"/>
      <c r="B100" s="17"/>
      <c r="C100" s="17"/>
      <c r="D100" s="9"/>
      <c r="E100" s="9"/>
      <c r="F100" s="9"/>
      <c r="G100" s="9"/>
      <c r="H100" s="9"/>
      <c r="I100" s="9"/>
      <c r="J100" s="9"/>
      <c r="K100" s="9"/>
      <c r="L100" s="12"/>
      <c r="M100" s="20"/>
      <c r="N100" s="12"/>
    </row>
    <row r="101" spans="1:14" hidden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9">
        <f>K99*3</f>
        <v>26965.514999999999</v>
      </c>
      <c r="L101" s="9">
        <f>L99*3</f>
        <v>1156270.1370000001</v>
      </c>
      <c r="M101" s="8"/>
      <c r="N101" s="8"/>
    </row>
  </sheetData>
  <phoneticPr fontId="0" type="noConversion"/>
  <pageMargins left="0.4597222222222222" right="0.43958333333333333" top="0.18958333333333333" bottom="0.23958333333333334" header="0" footer="0"/>
  <pageSetup scale="65" orientation="landscape" r:id="rId1"/>
  <headerFooter alignWithMargins="0"/>
  <rowBreaks count="1" manualBreakCount="1">
    <brk id="5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637C1-B4C9-4FA8-84AD-949F6DA13908}">
  <dimension ref="A1:P25"/>
  <sheetViews>
    <sheetView showOutlineSymbols="0" zoomScaleNormal="100" workbookViewId="0">
      <selection sqref="A1:A2"/>
    </sheetView>
  </sheetViews>
  <sheetFormatPr defaultColWidth="9.7265625" defaultRowHeight="10.199999999999999" x14ac:dyDescent="0.2"/>
  <cols>
    <col min="1" max="1" width="40.7265625" style="1" customWidth="1"/>
    <col min="2" max="2" width="9.7265625" style="1" customWidth="1"/>
    <col min="3" max="4" width="12.7265625" style="1" customWidth="1"/>
    <col min="5" max="16384" width="9.7265625" style="1"/>
  </cols>
  <sheetData>
    <row r="1" spans="1:4" ht="17.399999999999999" x14ac:dyDescent="0.3">
      <c r="A1" s="353" t="s">
        <v>446</v>
      </c>
      <c r="B1" s="70"/>
      <c r="C1" s="70"/>
      <c r="D1" s="70"/>
    </row>
    <row r="2" spans="1:4" ht="17.399999999999999" x14ac:dyDescent="0.3">
      <c r="A2" s="353" t="s">
        <v>441</v>
      </c>
      <c r="B2" s="83"/>
      <c r="C2" s="83"/>
      <c r="D2" s="83"/>
    </row>
    <row r="3" spans="1:4" x14ac:dyDescent="0.2">
      <c r="A3" s="70"/>
      <c r="B3" s="83"/>
      <c r="C3" s="83"/>
      <c r="D3" s="83"/>
    </row>
    <row r="4" spans="1:4" x14ac:dyDescent="0.2">
      <c r="A4" s="70"/>
      <c r="B4" s="83"/>
      <c r="C4" s="83"/>
      <c r="D4" s="83"/>
    </row>
    <row r="5" spans="1:4" x14ac:dyDescent="0.2">
      <c r="A5" s="70"/>
      <c r="B5" s="83"/>
      <c r="C5" s="83"/>
      <c r="D5" s="83"/>
    </row>
    <row r="6" spans="1:4" x14ac:dyDescent="0.2">
      <c r="A6" s="70"/>
      <c r="B6" s="76" t="s">
        <v>32</v>
      </c>
      <c r="C6" s="76" t="s">
        <v>32</v>
      </c>
      <c r="D6" s="76" t="s">
        <v>32</v>
      </c>
    </row>
    <row r="7" spans="1:4" x14ac:dyDescent="0.2">
      <c r="A7" s="70"/>
      <c r="B7" s="76" t="s">
        <v>41</v>
      </c>
      <c r="C7" s="76" t="s">
        <v>442</v>
      </c>
      <c r="D7" s="76" t="s">
        <v>443</v>
      </c>
    </row>
    <row r="8" spans="1:4" x14ac:dyDescent="0.2">
      <c r="A8" s="69" t="s">
        <v>39</v>
      </c>
      <c r="B8" s="76" t="s">
        <v>42</v>
      </c>
      <c r="C8" s="76" t="s">
        <v>42</v>
      </c>
      <c r="D8" s="76" t="s">
        <v>42</v>
      </c>
    </row>
    <row r="9" spans="1:4" ht="1.05" customHeight="1" thickBot="1" x14ac:dyDescent="0.25">
      <c r="A9" s="78"/>
      <c r="B9" s="82"/>
      <c r="C9" s="82"/>
      <c r="D9" s="82"/>
    </row>
    <row r="10" spans="1:4" ht="10.8" thickTop="1" x14ac:dyDescent="0.2">
      <c r="A10" s="241" t="s">
        <v>1</v>
      </c>
      <c r="B10" s="242">
        <f>+'Exhibit 7'!K28</f>
        <v>32.4</v>
      </c>
      <c r="C10" s="243">
        <f>+'Exhibit 7'!L28</f>
        <v>1369.8720000000001</v>
      </c>
      <c r="D10" s="243">
        <f>+'Exhibit 7'!M28</f>
        <v>0</v>
      </c>
    </row>
    <row r="11" spans="1:4" x14ac:dyDescent="0.2">
      <c r="A11" s="206" t="s">
        <v>3</v>
      </c>
      <c r="B11" s="94">
        <f>+'Exhibit 7'!K33</f>
        <v>1080</v>
      </c>
      <c r="C11" s="244">
        <f>+'Exhibit 7'!L33</f>
        <v>45662.400000000001</v>
      </c>
      <c r="D11" s="244">
        <f>+'Exhibit 7'!M33</f>
        <v>0</v>
      </c>
    </row>
    <row r="12" spans="1:4" x14ac:dyDescent="0.2">
      <c r="A12" s="206" t="s">
        <v>5</v>
      </c>
      <c r="B12" s="94">
        <f>+'Exhibit 7'!K40</f>
        <v>550.79999999999995</v>
      </c>
      <c r="C12" s="244">
        <f>+'Exhibit 7'!L40</f>
        <v>23287.824000000001</v>
      </c>
      <c r="D12" s="244">
        <f>+'Exhibit 7'!M40</f>
        <v>0</v>
      </c>
    </row>
    <row r="13" spans="1:4" x14ac:dyDescent="0.2">
      <c r="A13" s="206" t="s">
        <v>8</v>
      </c>
      <c r="B13" s="94">
        <f>+'Exhibit 7'!K66</f>
        <v>49.075000000000003</v>
      </c>
      <c r="C13" s="244">
        <f>+'Exhibit 7'!L66</f>
        <v>2074.8910000000005</v>
      </c>
      <c r="D13" s="244">
        <f>+'Exhibit 7'!M66</f>
        <v>0</v>
      </c>
    </row>
    <row r="14" spans="1:4" x14ac:dyDescent="0.2">
      <c r="A14" s="206" t="s">
        <v>10</v>
      </c>
      <c r="B14" s="94">
        <f>+'Exhibit 7'!K84</f>
        <v>5724.5</v>
      </c>
      <c r="C14" s="244">
        <f>+'Exhibit 7'!L84</f>
        <v>246169.07</v>
      </c>
      <c r="D14" s="244">
        <f>+'Exhibit 7'!M84</f>
        <v>0</v>
      </c>
    </row>
    <row r="15" spans="1:4" ht="10.8" thickBot="1" x14ac:dyDescent="0.25">
      <c r="A15" s="208" t="s">
        <v>11</v>
      </c>
      <c r="B15" s="31">
        <f>+'Exhibit 7'!K98</f>
        <v>1551.7299999999998</v>
      </c>
      <c r="C15" s="245">
        <f>+'Exhibit 7'!L98</f>
        <v>66859.322</v>
      </c>
      <c r="D15" s="245">
        <f>+'Exhibit 7'!M98</f>
        <v>0</v>
      </c>
    </row>
    <row r="16" spans="1:4" ht="10.8" thickBot="1" x14ac:dyDescent="0.25">
      <c r="A16" s="210" t="s">
        <v>12</v>
      </c>
      <c r="B16" s="246">
        <f>SUM(B10:B15)</f>
        <v>8988.5049999999992</v>
      </c>
      <c r="C16" s="247">
        <f>SUM(C10:C15)</f>
        <v>385423.37900000002</v>
      </c>
      <c r="D16" s="247">
        <f>SUM(D10:D15)</f>
        <v>0</v>
      </c>
    </row>
    <row r="17" spans="1:16" ht="10.8" thickTop="1" x14ac:dyDescent="0.2">
      <c r="A17" s="8"/>
      <c r="B17" s="17"/>
      <c r="C17" s="26"/>
      <c r="D17" s="26"/>
    </row>
    <row r="18" spans="1:16" ht="15" x14ac:dyDescent="0.25">
      <c r="A18" s="2"/>
      <c r="B18" s="2"/>
      <c r="C18" s="2"/>
      <c r="D18" s="2"/>
    </row>
    <row r="25" spans="1:16" x14ac:dyDescent="0.2">
      <c r="E25" s="335"/>
      <c r="F25" s="336"/>
      <c r="G25" s="336"/>
      <c r="H25" s="337"/>
      <c r="I25" s="338"/>
      <c r="J25" s="338"/>
      <c r="K25" s="338"/>
      <c r="L25" s="338"/>
      <c r="M25" s="339"/>
      <c r="N25" s="339"/>
      <c r="O25" s="338"/>
      <c r="P25" s="340"/>
    </row>
  </sheetData>
  <phoneticPr fontId="0" type="noConversion"/>
  <pageMargins left="0.4597222222222222" right="0.43958333333333333" top="0.18958333333333333" bottom="0.23958333333333334" header="0" footer="0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Exhibit 1</vt:lpstr>
      <vt:lpstr>Exhibit 2</vt:lpstr>
      <vt:lpstr>Exhibit 3</vt:lpstr>
      <vt:lpstr>Exhibit 4</vt:lpstr>
      <vt:lpstr>Exhibit 5</vt:lpstr>
      <vt:lpstr>Exhibit 6</vt:lpstr>
      <vt:lpstr>Table 2</vt:lpstr>
      <vt:lpstr>Exhibit 7</vt:lpstr>
      <vt:lpstr>Table 3</vt:lpstr>
      <vt:lpstr>Exhibit 8</vt:lpstr>
      <vt:lpstr>Table 4</vt:lpstr>
      <vt:lpstr>'Exhibit 1'!Print_Area</vt:lpstr>
      <vt:lpstr>'Exhibit 2'!Print_Area</vt:lpstr>
      <vt:lpstr>'Exhibit 3'!Print_Area</vt:lpstr>
      <vt:lpstr>'Exhibit 4'!Print_Area</vt:lpstr>
      <vt:lpstr>'Exhibit 5'!Print_Area</vt:lpstr>
      <vt:lpstr>'Exhibit 6'!Print_Area</vt:lpstr>
      <vt:lpstr>'Exhibit 7'!Print_Area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11387</dc:creator>
  <cp:keywords/>
  <dc:description/>
  <cp:lastModifiedBy>Schultz, Eric</cp:lastModifiedBy>
  <cp:lastPrinted>2019-02-27T20:15:29Z</cp:lastPrinted>
  <dcterms:created xsi:type="dcterms:W3CDTF">2003-08-07T20:52:18Z</dcterms:created>
  <dcterms:modified xsi:type="dcterms:W3CDTF">2026-06-30T17:10:01Z</dcterms:modified>
</cp:coreProperties>
</file>