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jamia_franklin_usda_gov/Documents/Documents/FNS ICRs/Regular ICRs 2025/2027 Farm to School Census/New Packet/2027 F2S Census ICR Appendices_2.10.25/"/>
    </mc:Choice>
  </mc:AlternateContent>
  <xr:revisionPtr revIDLastSave="4" documentId="13_ncr:1_{A79DE416-BCDB-4437-9D01-AEAA32C81095}" xr6:coauthVersionLast="47" xr6:coauthVersionMax="47" xr10:uidLastSave="{C60257F5-62B8-438D-B74C-056E68FC7C8D}"/>
  <bookViews>
    <workbookView xWindow="-28920" yWindow="-120" windowWidth="29040" windowHeight="15720" xr2:uid="{00000000-000D-0000-FFFF-FFFF00000000}"/>
  </bookViews>
  <sheets>
    <sheet name="Full burden table" sheetId="3" r:id="rId1"/>
    <sheet name="ESRI_MAPINFO_SHEET" sheetId="4" state="veryHidden" r:id="rId2"/>
  </sheets>
  <definedNames>
    <definedName name="_xlnm.Print_Area" localSheetId="0">'Full burden table'!$A$2:$P$65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3" l="1"/>
  <c r="F44" i="3"/>
  <c r="F48" i="3"/>
  <c r="F47" i="3"/>
  <c r="F46" i="3"/>
  <c r="F45" i="3"/>
  <c r="F41" i="3"/>
  <c r="F27" i="3"/>
  <c r="F9" i="3"/>
  <c r="Q59" i="3" l="1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6" i="3"/>
  <c r="Q5" i="3"/>
  <c r="K8" i="3"/>
  <c r="M8" i="3" s="1"/>
  <c r="O8" i="3" s="1"/>
  <c r="H8" i="3"/>
  <c r="J8" i="3" s="1"/>
  <c r="P8" i="3" s="1"/>
  <c r="R8" i="3" s="1"/>
  <c r="E58" i="3" l="1"/>
  <c r="H27" i="3"/>
  <c r="J27" i="3" s="1"/>
  <c r="E28" i="3"/>
  <c r="E29" i="3"/>
  <c r="E30" i="3"/>
  <c r="E31" i="3"/>
  <c r="H30" i="3" l="1"/>
  <c r="J30" i="3" s="1"/>
  <c r="F30" i="3"/>
  <c r="F31" i="3"/>
  <c r="H31" i="3" s="1"/>
  <c r="J31" i="3" s="1"/>
  <c r="F28" i="3"/>
  <c r="H28" i="3" s="1"/>
  <c r="J28" i="3" s="1"/>
  <c r="F29" i="3"/>
  <c r="K29" i="3" s="1"/>
  <c r="M29" i="3" s="1"/>
  <c r="O29" i="3" s="1"/>
  <c r="F58" i="3"/>
  <c r="H58" i="3" s="1"/>
  <c r="J58" i="3" s="1"/>
  <c r="K58" i="3"/>
  <c r="M58" i="3" s="1"/>
  <c r="O58" i="3" s="1"/>
  <c r="H41" i="3"/>
  <c r="J41" i="3" s="1"/>
  <c r="K27" i="3"/>
  <c r="M27" i="3" s="1"/>
  <c r="O27" i="3" s="1"/>
  <c r="P27" i="3" s="1"/>
  <c r="E32" i="3"/>
  <c r="F32" i="3" s="1"/>
  <c r="H32" i="3" s="1"/>
  <c r="J32" i="3" s="1"/>
  <c r="K31" i="3"/>
  <c r="M31" i="3" s="1"/>
  <c r="O31" i="3" s="1"/>
  <c r="K30" i="3"/>
  <c r="M30" i="3" s="1"/>
  <c r="O30" i="3" s="1"/>
  <c r="K28" i="3"/>
  <c r="M28" i="3" s="1"/>
  <c r="O28" i="3" s="1"/>
  <c r="P29" i="3" l="1"/>
  <c r="P58" i="3"/>
  <c r="R58" i="3" s="1"/>
  <c r="P28" i="3"/>
  <c r="H29" i="3"/>
  <c r="J29" i="3" s="1"/>
  <c r="P30" i="3"/>
  <c r="P31" i="3"/>
  <c r="K41" i="3"/>
  <c r="M41" i="3" s="1"/>
  <c r="O41" i="3" s="1"/>
  <c r="P41" i="3" s="1"/>
  <c r="R41" i="3" s="1"/>
  <c r="K32" i="3"/>
  <c r="M32" i="3" s="1"/>
  <c r="O32" i="3" s="1"/>
  <c r="P32" i="3" s="1"/>
  <c r="E33" i="3" l="1"/>
  <c r="F33" i="3" s="1"/>
  <c r="H33" i="3" s="1"/>
  <c r="J33" i="3" s="1"/>
  <c r="K33" i="3" l="1"/>
  <c r="M33" i="3" s="1"/>
  <c r="O33" i="3" s="1"/>
  <c r="P33" i="3" s="1"/>
  <c r="E34" i="3" l="1"/>
  <c r="F34" i="3" s="1"/>
  <c r="H34" i="3" s="1"/>
  <c r="J34" i="3" s="1"/>
  <c r="K34" i="3" l="1"/>
  <c r="M34" i="3" s="1"/>
  <c r="O34" i="3" s="1"/>
  <c r="P34" i="3" s="1"/>
  <c r="E35" i="3" l="1"/>
  <c r="F35" i="3" s="1"/>
  <c r="H35" i="3" s="1"/>
  <c r="J35" i="3" s="1"/>
  <c r="K35" i="3" l="1"/>
  <c r="E36" i="3" s="1"/>
  <c r="M35" i="3" l="1"/>
  <c r="O35" i="3" s="1"/>
  <c r="P35" i="3" s="1"/>
  <c r="F36" i="3"/>
  <c r="H36" i="3" s="1"/>
  <c r="J36" i="3" s="1"/>
  <c r="K36" i="3" l="1"/>
  <c r="E37" i="3" s="1"/>
  <c r="M36" i="3" l="1"/>
  <c r="O36" i="3" s="1"/>
  <c r="P36" i="3" s="1"/>
  <c r="F37" i="3"/>
  <c r="H37" i="3" s="1"/>
  <c r="J37" i="3" s="1"/>
  <c r="K37" i="3" l="1"/>
  <c r="M37" i="3" l="1"/>
  <c r="O37" i="3" s="1"/>
  <c r="P37" i="3" s="1"/>
  <c r="E38" i="3"/>
  <c r="F38" i="3" l="1"/>
  <c r="H38" i="3" s="1"/>
  <c r="J38" i="3" s="1"/>
  <c r="K38" i="3" l="1"/>
  <c r="M38" i="3" s="1"/>
  <c r="O38" i="3" s="1"/>
  <c r="P38" i="3" s="1"/>
  <c r="E39" i="3" l="1"/>
  <c r="F39" i="3" s="1"/>
  <c r="H39" i="3" s="1"/>
  <c r="J39" i="3" s="1"/>
  <c r="K39" i="3" l="1"/>
  <c r="M39" i="3" s="1"/>
  <c r="O39" i="3" s="1"/>
  <c r="P39" i="3" s="1"/>
  <c r="L7" i="3" l="1"/>
  <c r="E7" i="3"/>
  <c r="E12" i="3"/>
  <c r="F12" i="3" s="1"/>
  <c r="E11" i="3"/>
  <c r="F11" i="3" s="1"/>
  <c r="E10" i="3"/>
  <c r="F10" i="3" s="1"/>
  <c r="F25" i="3" l="1"/>
  <c r="E25" i="3"/>
  <c r="F7" i="3"/>
  <c r="E49" i="3"/>
  <c r="F49" i="3" s="1"/>
  <c r="E14" i="3"/>
  <c r="E60" i="3"/>
  <c r="E57" i="3"/>
  <c r="F57" i="3" s="1"/>
  <c r="H57" i="3" s="1"/>
  <c r="H48" i="3"/>
  <c r="J48" i="3" s="1"/>
  <c r="F60" i="3"/>
  <c r="K46" i="3"/>
  <c r="M46" i="3" s="1"/>
  <c r="O46" i="3" s="1"/>
  <c r="K45" i="3"/>
  <c r="M45" i="3" s="1"/>
  <c r="O45" i="3" s="1"/>
  <c r="K44" i="3"/>
  <c r="M44" i="3" s="1"/>
  <c r="H47" i="3" l="1"/>
  <c r="J47" i="3" s="1"/>
  <c r="H44" i="3"/>
  <c r="J44" i="3" s="1"/>
  <c r="H46" i="3"/>
  <c r="J46" i="3" s="1"/>
  <c r="P46" i="3" s="1"/>
  <c r="R46" i="3" s="1"/>
  <c r="H45" i="3"/>
  <c r="J45" i="3" s="1"/>
  <c r="P45" i="3" s="1"/>
  <c r="R45" i="3" s="1"/>
  <c r="K48" i="3"/>
  <c r="M48" i="3" s="1"/>
  <c r="O48" i="3" s="1"/>
  <c r="P48" i="3" s="1"/>
  <c r="R48" i="3" s="1"/>
  <c r="O44" i="3"/>
  <c r="H49" i="3"/>
  <c r="J49" i="3" s="1"/>
  <c r="K47" i="3"/>
  <c r="K60" i="3" s="1"/>
  <c r="J57" i="3"/>
  <c r="K57" i="3" l="1"/>
  <c r="M57" i="3" s="1"/>
  <c r="O57" i="3" s="1"/>
  <c r="P57" i="3" s="1"/>
  <c r="R57" i="3" s="1"/>
  <c r="K49" i="3"/>
  <c r="M47" i="3"/>
  <c r="P44" i="3"/>
  <c r="M49" i="3" l="1"/>
  <c r="O49" i="3" s="1"/>
  <c r="P49" i="3" s="1"/>
  <c r="R49" i="3" s="1"/>
  <c r="E50" i="3"/>
  <c r="F50" i="3" s="1"/>
  <c r="R44" i="3"/>
  <c r="O47" i="3"/>
  <c r="P47" i="3" l="1"/>
  <c r="H50" i="3"/>
  <c r="K50" i="3" l="1"/>
  <c r="J50" i="3"/>
  <c r="R47" i="3"/>
  <c r="M50" i="3" l="1"/>
  <c r="E51" i="3"/>
  <c r="F51" i="3" s="1"/>
  <c r="H51" i="3" l="1"/>
  <c r="O50" i="3"/>
  <c r="P50" i="3" l="1"/>
  <c r="J51" i="3"/>
  <c r="K51" i="3"/>
  <c r="R50" i="3" l="1"/>
  <c r="M51" i="3"/>
  <c r="E52" i="3"/>
  <c r="F52" i="3" s="1"/>
  <c r="H52" i="3" l="1"/>
  <c r="J52" i="3" s="1"/>
  <c r="O51" i="3"/>
  <c r="P51" i="3" l="1"/>
  <c r="K52" i="3"/>
  <c r="E53" i="3" l="1"/>
  <c r="F53" i="3" s="1"/>
  <c r="M52" i="3"/>
  <c r="R51" i="3"/>
  <c r="O52" i="3" l="1"/>
  <c r="P52" i="3" s="1"/>
  <c r="H53" i="3"/>
  <c r="J53" i="3" s="1"/>
  <c r="K53" i="3" l="1"/>
  <c r="R52" i="3"/>
  <c r="E54" i="3" l="1"/>
  <c r="F54" i="3" s="1"/>
  <c r="M53" i="3"/>
  <c r="O53" i="3" s="1"/>
  <c r="P53" i="3" s="1"/>
  <c r="R53" i="3" s="1"/>
  <c r="H54" i="3" l="1"/>
  <c r="J54" i="3" s="1"/>
  <c r="K54" i="3" l="1"/>
  <c r="E55" i="3" s="1"/>
  <c r="F55" i="3" s="1"/>
  <c r="M54" i="3" l="1"/>
  <c r="O54" i="3" s="1"/>
  <c r="P54" i="3" s="1"/>
  <c r="R54" i="3" s="1"/>
  <c r="H55" i="3"/>
  <c r="J55" i="3" s="1"/>
  <c r="K55" i="3" l="1"/>
  <c r="E56" i="3" l="1"/>
  <c r="F56" i="3" s="1"/>
  <c r="M55" i="3"/>
  <c r="O55" i="3" s="1"/>
  <c r="P55" i="3" s="1"/>
  <c r="R55" i="3" s="1"/>
  <c r="H56" i="3" l="1"/>
  <c r="J56" i="3" s="1"/>
  <c r="K56" i="3" l="1"/>
  <c r="M56" i="3" s="1"/>
  <c r="O56" i="3" s="1"/>
  <c r="P56" i="3" s="1"/>
  <c r="R56" i="3" s="1"/>
  <c r="E59" i="3" l="1"/>
  <c r="F59" i="3" l="1"/>
  <c r="H59" i="3" s="1"/>
  <c r="J59" i="3" s="1"/>
  <c r="K59" i="3" l="1"/>
  <c r="M59" i="3" s="1"/>
  <c r="O59" i="3" s="1"/>
  <c r="P59" i="3" s="1"/>
  <c r="R59" i="3" s="1"/>
  <c r="R60" i="3" s="1"/>
  <c r="H60" i="3"/>
  <c r="G60" i="3" s="1"/>
  <c r="M60" i="3" l="1"/>
  <c r="L60" i="3" s="1"/>
  <c r="O60" i="3"/>
  <c r="J60" i="3"/>
  <c r="I60" i="3" l="1"/>
  <c r="N60" i="3"/>
  <c r="P60" i="3" l="1"/>
  <c r="F14" i="3"/>
  <c r="K14" i="3" s="1"/>
  <c r="E15" i="3" s="1"/>
  <c r="K10" i="3" l="1"/>
  <c r="M10" i="3" s="1"/>
  <c r="O10" i="3" s="1"/>
  <c r="H9" i="3"/>
  <c r="K4" i="3"/>
  <c r="K5" i="3"/>
  <c r="M5" i="3" s="1"/>
  <c r="O5" i="3" s="1"/>
  <c r="K6" i="3"/>
  <c r="M6" i="3" s="1"/>
  <c r="O6" i="3" s="1"/>
  <c r="K11" i="3"/>
  <c r="M11" i="3" s="1"/>
  <c r="O11" i="3" s="1"/>
  <c r="K12" i="3"/>
  <c r="K25" i="3" s="1"/>
  <c r="E13" i="3"/>
  <c r="F13" i="3" s="1"/>
  <c r="H13" i="3" s="1"/>
  <c r="J13" i="3" s="1"/>
  <c r="E22" i="3"/>
  <c r="F22" i="3" s="1"/>
  <c r="H4" i="3"/>
  <c r="J4" i="3" s="1"/>
  <c r="H5" i="3"/>
  <c r="J5" i="3" s="1"/>
  <c r="H6" i="3"/>
  <c r="J6" i="3" s="1"/>
  <c r="E40" i="3"/>
  <c r="F40" i="3" s="1"/>
  <c r="E26" i="3" l="1"/>
  <c r="E61" i="3" s="1"/>
  <c r="M4" i="3"/>
  <c r="O4" i="3" s="1"/>
  <c r="O7" i="3" s="1"/>
  <c r="K7" i="3"/>
  <c r="H22" i="3"/>
  <c r="J22" i="3" s="1"/>
  <c r="M12" i="3"/>
  <c r="O12" i="3" s="1"/>
  <c r="K26" i="3"/>
  <c r="J9" i="3"/>
  <c r="K13" i="3"/>
  <c r="M13" i="3" s="1"/>
  <c r="O13" i="3" s="1"/>
  <c r="P13" i="3" s="1"/>
  <c r="R13" i="3" s="1"/>
  <c r="H40" i="3"/>
  <c r="J40" i="3" s="1"/>
  <c r="H10" i="3"/>
  <c r="J10" i="3" s="1"/>
  <c r="P10" i="3" s="1"/>
  <c r="R10" i="3" s="1"/>
  <c r="K9" i="3"/>
  <c r="M9" i="3" s="1"/>
  <c r="R29" i="3"/>
  <c r="F43" i="3"/>
  <c r="P6" i="3"/>
  <c r="R6" i="3" s="1"/>
  <c r="J7" i="3"/>
  <c r="R28" i="3"/>
  <c r="H12" i="3"/>
  <c r="J12" i="3" s="1"/>
  <c r="F26" i="3"/>
  <c r="H14" i="3"/>
  <c r="J14" i="3" s="1"/>
  <c r="P5" i="3"/>
  <c r="R5" i="3" s="1"/>
  <c r="H7" i="3"/>
  <c r="G7" i="3" s="1"/>
  <c r="H11" i="3"/>
  <c r="O9" i="3" l="1"/>
  <c r="P9" i="3" s="1"/>
  <c r="F61" i="3"/>
  <c r="M7" i="3"/>
  <c r="P12" i="3"/>
  <c r="R12" i="3" s="1"/>
  <c r="K22" i="3"/>
  <c r="M22" i="3" s="1"/>
  <c r="O22" i="3" s="1"/>
  <c r="P22" i="3" s="1"/>
  <c r="R22" i="3" s="1"/>
  <c r="R30" i="3"/>
  <c r="K43" i="3"/>
  <c r="K61" i="3" s="1"/>
  <c r="R31" i="3"/>
  <c r="K40" i="3"/>
  <c r="M40" i="3" s="1"/>
  <c r="O40" i="3" s="1"/>
  <c r="P40" i="3" s="1"/>
  <c r="R40" i="3" s="1"/>
  <c r="R27" i="3"/>
  <c r="J11" i="3"/>
  <c r="I7" i="3"/>
  <c r="P4" i="3"/>
  <c r="P7" i="3" s="1"/>
  <c r="I64" i="3" l="1"/>
  <c r="M14" i="3"/>
  <c r="P11" i="3"/>
  <c r="R11" i="3" s="1"/>
  <c r="R4" i="3"/>
  <c r="R7" i="3" s="1"/>
  <c r="R9" i="3"/>
  <c r="O14" i="3" l="1"/>
  <c r="F15" i="3"/>
  <c r="H15" i="3" s="1"/>
  <c r="R32" i="3"/>
  <c r="P14" i="3" l="1"/>
  <c r="J15" i="3"/>
  <c r="K15" i="3"/>
  <c r="E16" i="3" s="1"/>
  <c r="F16" i="3" s="1"/>
  <c r="H16" i="3" s="1"/>
  <c r="R14" i="3" l="1"/>
  <c r="M15" i="3"/>
  <c r="K16" i="3"/>
  <c r="E17" i="3" s="1"/>
  <c r="F17" i="3" s="1"/>
  <c r="R33" i="3"/>
  <c r="J16" i="3"/>
  <c r="O15" i="3" l="1"/>
  <c r="M16" i="3"/>
  <c r="O16" i="3" s="1"/>
  <c r="H17" i="3"/>
  <c r="P15" i="3" l="1"/>
  <c r="J17" i="3"/>
  <c r="K17" i="3"/>
  <c r="P16" i="3"/>
  <c r="R15" i="3" l="1"/>
  <c r="R16" i="3"/>
  <c r="R34" i="3"/>
  <c r="M17" i="3"/>
  <c r="E18" i="3"/>
  <c r="F18" i="3" s="1"/>
  <c r="O17" i="3" l="1"/>
  <c r="H18" i="3"/>
  <c r="K18" i="3" l="1"/>
  <c r="J18" i="3"/>
  <c r="P17" i="3"/>
  <c r="R35" i="3" l="1"/>
  <c r="R17" i="3"/>
  <c r="M18" i="3"/>
  <c r="O18" i="3" s="1"/>
  <c r="P18" i="3" s="1"/>
  <c r="E19" i="3"/>
  <c r="F19" i="3" s="1"/>
  <c r="R18" i="3" l="1"/>
  <c r="R36" i="3"/>
  <c r="H19" i="3"/>
  <c r="J19" i="3" l="1"/>
  <c r="K19" i="3"/>
  <c r="R37" i="3" l="1"/>
  <c r="M19" i="3"/>
  <c r="O19" i="3" s="1"/>
  <c r="P19" i="3" s="1"/>
  <c r="R19" i="3" s="1"/>
  <c r="E20" i="3"/>
  <c r="F20" i="3" s="1"/>
  <c r="H20" i="3" l="1"/>
  <c r="J20" i="3" s="1"/>
  <c r="K20" i="3" l="1"/>
  <c r="E23" i="3" s="1"/>
  <c r="F23" i="3" l="1"/>
  <c r="H23" i="3" s="1"/>
  <c r="J23" i="3" s="1"/>
  <c r="K23" i="3"/>
  <c r="M23" i="3" s="1"/>
  <c r="O23" i="3" s="1"/>
  <c r="R38" i="3"/>
  <c r="M20" i="3"/>
  <c r="O20" i="3" s="1"/>
  <c r="P20" i="3" s="1"/>
  <c r="R20" i="3" s="1"/>
  <c r="E21" i="3"/>
  <c r="F21" i="3" s="1"/>
  <c r="P23" i="3" l="1"/>
  <c r="R23" i="3" s="1"/>
  <c r="H21" i="3"/>
  <c r="J21" i="3" s="1"/>
  <c r="K21" i="3" l="1"/>
  <c r="E24" i="3" s="1"/>
  <c r="E42" i="3"/>
  <c r="F42" i="3" l="1"/>
  <c r="H42" i="3" s="1"/>
  <c r="J42" i="3" s="1"/>
  <c r="R39" i="3"/>
  <c r="M21" i="3"/>
  <c r="O21" i="3" s="1"/>
  <c r="P21" i="3" s="1"/>
  <c r="R21" i="3" s="1"/>
  <c r="K42" i="3" l="1"/>
  <c r="M42" i="3" s="1"/>
  <c r="O42" i="3" s="1"/>
  <c r="P42" i="3" s="1"/>
  <c r="R42" i="3" s="1"/>
  <c r="F24" i="3"/>
  <c r="H24" i="3" s="1"/>
  <c r="J24" i="3" l="1"/>
  <c r="J25" i="3" s="1"/>
  <c r="H25" i="3"/>
  <c r="K24" i="3"/>
  <c r="M24" i="3" l="1"/>
  <c r="O24" i="3" l="1"/>
  <c r="M25" i="3"/>
  <c r="G25" i="3"/>
  <c r="H26" i="3"/>
  <c r="G26" i="3" s="1"/>
  <c r="H43" i="3"/>
  <c r="P24" i="3" l="1"/>
  <c r="O25" i="3"/>
  <c r="O26" i="3" s="1"/>
  <c r="H61" i="3"/>
  <c r="G61" i="3" s="1"/>
  <c r="G43" i="3"/>
  <c r="M26" i="3"/>
  <c r="L26" i="3" s="1"/>
  <c r="L25" i="3"/>
  <c r="J43" i="3"/>
  <c r="O43" i="3"/>
  <c r="M43" i="3"/>
  <c r="M61" i="3" s="1"/>
  <c r="I25" i="3"/>
  <c r="J26" i="3"/>
  <c r="I26" i="3" s="1"/>
  <c r="O61" i="3" l="1"/>
  <c r="N25" i="3"/>
  <c r="R24" i="3"/>
  <c r="R25" i="3" s="1"/>
  <c r="R26" i="3" s="1"/>
  <c r="P25" i="3"/>
  <c r="P26" i="3" s="1"/>
  <c r="N26" i="3"/>
  <c r="I65" i="3"/>
  <c r="I66" i="3" s="1"/>
  <c r="J61" i="3"/>
  <c r="L43" i="3"/>
  <c r="I43" i="3"/>
  <c r="N43" i="3"/>
  <c r="P43" i="3"/>
  <c r="P61" i="3" l="1"/>
  <c r="I61" i="3"/>
  <c r="I67" i="3"/>
  <c r="R43" i="3"/>
  <c r="R61" i="3" s="1"/>
  <c r="S61" i="3" s="1"/>
  <c r="T61" i="3" s="1"/>
  <c r="L61" i="3"/>
  <c r="I68" i="3" l="1"/>
  <c r="N61" i="3"/>
</calcChain>
</file>

<file path=xl/sharedStrings.xml><?xml version="1.0" encoding="utf-8"?>
<sst xmlns="http://schemas.openxmlformats.org/spreadsheetml/2006/main" count="147" uniqueCount="71">
  <si>
    <t>Estimated number of respondents</t>
  </si>
  <si>
    <t>Frequency of Response</t>
  </si>
  <si>
    <t>Estimated Annual Burden (hours)</t>
  </si>
  <si>
    <t>Responsive</t>
  </si>
  <si>
    <t>Non-Responsive</t>
  </si>
  <si>
    <t>Total Annual Responses</t>
  </si>
  <si>
    <t xml:space="preserve">Data Collection Activity </t>
  </si>
  <si>
    <t>Estimated Total Annual Hour Burden</t>
  </si>
  <si>
    <t>Hours per Response</t>
  </si>
  <si>
    <t>TOTAL REPORTING BURDEN</t>
  </si>
  <si>
    <t>Business</t>
  </si>
  <si>
    <t xml:space="preserve">State/local government </t>
  </si>
  <si>
    <t>Subtotal (All State/local government)</t>
  </si>
  <si>
    <t>Subtotal (SFAs: Public Schools)</t>
  </si>
  <si>
    <t>Hourly wage rate</t>
  </si>
  <si>
    <t>Estimated number of non-respondents*</t>
  </si>
  <si>
    <t>Notes:</t>
  </si>
  <si>
    <t>Subtotal (States)</t>
  </si>
  <si>
    <t>* For the totals in the column labeled "Estimated number of non-respondents," only those who will never respond are counted as unique non-respondents.</t>
  </si>
  <si>
    <t>Not for Profit</t>
  </si>
  <si>
    <t>Subtotal (Business)</t>
  </si>
  <si>
    <t>Subtotal (Not for profit)</t>
  </si>
  <si>
    <t>State Child Nutrition directors</t>
  </si>
  <si>
    <t>SFA directors: Public schools</t>
  </si>
  <si>
    <t>SFA directors: Private schools</t>
  </si>
  <si>
    <t>SFA directors: Not for profit schools</t>
  </si>
  <si>
    <t xml:space="preserve">Total Respondents </t>
  </si>
  <si>
    <t>Total Responses</t>
  </si>
  <si>
    <t>Responses per Respondent</t>
  </si>
  <si>
    <t>Total Hours</t>
  </si>
  <si>
    <t>Type of Respondent</t>
  </si>
  <si>
    <t>Recruitment email from FNS to State Child Nutrition directors</t>
  </si>
  <si>
    <t>Respondent Category</t>
  </si>
  <si>
    <t>Sample Size</t>
  </si>
  <si>
    <t>Appendix</t>
  </si>
  <si>
    <t>C.2</t>
  </si>
  <si>
    <t>Census introductory email from state Child Nutrition directors to SFAs</t>
  </si>
  <si>
    <t>C.3</t>
  </si>
  <si>
    <t>Initial Census recruitment email from study team to SFAs</t>
  </si>
  <si>
    <t>C.4</t>
  </si>
  <si>
    <t xml:space="preserve">Introductory email request from study team to state Child Nutrition directors </t>
  </si>
  <si>
    <t>C.1</t>
  </si>
  <si>
    <t xml:space="preserve">Reminder request emails from regional leads to state Child Nutrition directors </t>
  </si>
  <si>
    <t>C.6</t>
  </si>
  <si>
    <t>B.3</t>
  </si>
  <si>
    <t>B.2</t>
  </si>
  <si>
    <t>B.1</t>
  </si>
  <si>
    <t>C.5</t>
  </si>
  <si>
    <t>C.9</t>
  </si>
  <si>
    <t>Preparation worksheet</t>
  </si>
  <si>
    <t>Survey instrument</t>
  </si>
  <si>
    <t xml:space="preserve">Frequently asked questions </t>
  </si>
  <si>
    <t xml:space="preserve">Reminder email #1 </t>
  </si>
  <si>
    <t xml:space="preserve">Reminder email #2 </t>
  </si>
  <si>
    <t xml:space="preserve">Reminder email #3 </t>
  </si>
  <si>
    <t xml:space="preserve">Reminder email #4 </t>
  </si>
  <si>
    <t xml:space="preserve">Reminder email #5 </t>
  </si>
  <si>
    <t xml:space="preserve">Reminder email #6 </t>
  </si>
  <si>
    <t xml:space="preserve">Reminder email #7 </t>
  </si>
  <si>
    <t xml:space="preserve">Reminder email #8 </t>
  </si>
  <si>
    <t xml:space="preserve">Reminder emails from State Child Nutrition Directors to SFAs </t>
  </si>
  <si>
    <t>Follow-up telephone script</t>
  </si>
  <si>
    <t>C.7</t>
  </si>
  <si>
    <t>Reminder letter from study team to SFAs</t>
  </si>
  <si>
    <t>C.8</t>
  </si>
  <si>
    <t xml:space="preserve">Total Annual Cost Burden 
</t>
  </si>
  <si>
    <t>Fully-Loaded Total Annual Cost Burden</t>
  </si>
  <si>
    <t>Fully-Loaded Wage Rate</t>
  </si>
  <si>
    <t>Survey instrument pre-test</t>
  </si>
  <si>
    <t>APPENDIX G ESTIMATED ANNUALIZED BURDEN</t>
  </si>
  <si>
    <t>B.1/B.1a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</si>
</sst>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3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 wrapText="1"/>
    </xf>
    <xf numFmtId="43" fontId="2" fillId="0" borderId="1" xfId="1" applyFont="1" applyFill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1" fontId="2" fillId="0" borderId="1" xfId="1" applyNumberFormat="1" applyFont="1" applyFill="1" applyBorder="1" applyAlignment="1">
      <alignment horizontal="right" vertical="top" wrapText="1"/>
    </xf>
    <xf numFmtId="164" fontId="2" fillId="0" borderId="1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2" fontId="2" fillId="0" borderId="1" xfId="1" applyNumberFormat="1" applyFont="1" applyFill="1" applyBorder="1" applyAlignment="1">
      <alignment horizontal="right" vertical="top" wrapText="1"/>
    </xf>
    <xf numFmtId="164" fontId="2" fillId="0" borderId="1" xfId="1" applyNumberFormat="1" applyFont="1" applyFill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 wrapText="1"/>
    </xf>
    <xf numFmtId="44" fontId="2" fillId="0" borderId="1" xfId="2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4" fillId="6" borderId="1" xfId="0" applyFont="1" applyFill="1" applyBorder="1" applyAlignment="1">
      <alignment horizontal="left" vertical="top" wrapText="1"/>
    </xf>
    <xf numFmtId="164" fontId="3" fillId="6" borderId="1" xfId="1" applyNumberFormat="1" applyFont="1" applyFill="1" applyBorder="1" applyAlignment="1">
      <alignment horizontal="right" vertical="top"/>
    </xf>
    <xf numFmtId="2" fontId="3" fillId="6" borderId="1" xfId="1" applyNumberFormat="1" applyFont="1" applyFill="1" applyBorder="1" applyAlignment="1">
      <alignment horizontal="right" vertical="top"/>
    </xf>
    <xf numFmtId="43" fontId="3" fillId="6" borderId="1" xfId="1" applyFont="1" applyFill="1" applyBorder="1" applyAlignment="1">
      <alignment horizontal="right" vertical="top" wrapText="1"/>
    </xf>
    <xf numFmtId="2" fontId="3" fillId="6" borderId="1" xfId="1" applyNumberFormat="1" applyFont="1" applyFill="1" applyBorder="1" applyAlignment="1">
      <alignment horizontal="right" vertical="top" wrapText="1"/>
    </xf>
    <xf numFmtId="44" fontId="3" fillId="6" borderId="1" xfId="2" applyFont="1" applyFill="1" applyBorder="1" applyAlignment="1">
      <alignment horizontal="right" vertical="top" wrapText="1"/>
    </xf>
    <xf numFmtId="44" fontId="2" fillId="7" borderId="1" xfId="2" applyFont="1" applyFill="1" applyBorder="1" applyAlignment="1">
      <alignment horizontal="right" vertical="top"/>
    </xf>
    <xf numFmtId="0" fontId="2" fillId="5" borderId="0" xfId="0" applyFont="1" applyFill="1" applyAlignment="1">
      <alignment horizontal="center" vertical="top"/>
    </xf>
    <xf numFmtId="164" fontId="3" fillId="4" borderId="1" xfId="1" applyNumberFormat="1" applyFont="1" applyFill="1" applyBorder="1" applyAlignment="1">
      <alignment horizontal="right" vertical="top"/>
    </xf>
    <xf numFmtId="2" fontId="3" fillId="4" borderId="1" xfId="1" applyNumberFormat="1" applyFont="1" applyFill="1" applyBorder="1" applyAlignment="1">
      <alignment horizontal="right" vertical="top"/>
    </xf>
    <xf numFmtId="43" fontId="3" fillId="4" borderId="1" xfId="1" applyFont="1" applyFill="1" applyBorder="1" applyAlignment="1">
      <alignment horizontal="right" vertical="top"/>
    </xf>
    <xf numFmtId="44" fontId="3" fillId="4" borderId="1" xfId="2" applyFont="1" applyFill="1" applyBorder="1" applyAlignment="1">
      <alignment horizontal="right" vertical="top"/>
    </xf>
    <xf numFmtId="43" fontId="3" fillId="4" borderId="1" xfId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/>
    </xf>
    <xf numFmtId="2" fontId="3" fillId="2" borderId="1" xfId="1" applyNumberFormat="1" applyFont="1" applyFill="1" applyBorder="1" applyAlignment="1">
      <alignment horizontal="right" vertical="top"/>
    </xf>
    <xf numFmtId="43" fontId="3" fillId="2" borderId="1" xfId="1" applyFont="1" applyFill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2" fontId="3" fillId="0" borderId="0" xfId="1" applyNumberFormat="1" applyFont="1" applyFill="1" applyBorder="1" applyAlignment="1">
      <alignment horizontal="right" vertical="top"/>
    </xf>
    <xf numFmtId="37" fontId="3" fillId="0" borderId="0" xfId="1" applyNumberFormat="1" applyFont="1" applyFill="1" applyBorder="1" applyAlignment="1">
      <alignment horizontal="right" vertical="top"/>
    </xf>
    <xf numFmtId="43" fontId="3" fillId="0" borderId="0" xfId="1" applyFont="1" applyFill="1" applyBorder="1" applyAlignment="1">
      <alignment horizontal="right" vertical="top"/>
    </xf>
    <xf numFmtId="44" fontId="3" fillId="0" borderId="0" xfId="2" applyFont="1" applyFill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44" fontId="2" fillId="0" borderId="0" xfId="2" applyFont="1" applyFill="1" applyAlignment="1">
      <alignment horizontal="right" vertical="top"/>
    </xf>
    <xf numFmtId="44" fontId="2" fillId="0" borderId="0" xfId="2" applyFont="1" applyAlignment="1">
      <alignment horizontal="right" vertical="top"/>
    </xf>
    <xf numFmtId="164" fontId="3" fillId="3" borderId="1" xfId="1" applyNumberFormat="1" applyFont="1" applyFill="1" applyBorder="1" applyAlignment="1">
      <alignment horizontal="center" vertical="center" wrapText="1"/>
    </xf>
    <xf numFmtId="1" fontId="3" fillId="6" borderId="1" xfId="1" applyNumberFormat="1" applyFont="1" applyFill="1" applyBorder="1" applyAlignment="1">
      <alignment horizontal="right" vertical="top"/>
    </xf>
    <xf numFmtId="44" fontId="2" fillId="0" borderId="1" xfId="2" applyFont="1" applyFill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4" fillId="6" borderId="4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164" fontId="3" fillId="2" borderId="1" xfId="1" applyNumberFormat="1" applyFont="1" applyFill="1" applyBorder="1" applyAlignment="1">
      <alignment horizontal="right" vertical="top"/>
    </xf>
    <xf numFmtId="164" fontId="3" fillId="0" borderId="0" xfId="1" applyNumberFormat="1" applyFont="1" applyFill="1" applyBorder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43" fontId="3" fillId="0" borderId="0" xfId="1" applyFont="1" applyAlignment="1">
      <alignment horizontal="right" vertical="top"/>
    </xf>
    <xf numFmtId="43" fontId="2" fillId="0" borderId="0" xfId="0" applyNumberFormat="1" applyFont="1" applyAlignment="1">
      <alignment horizontal="right" vertical="top"/>
    </xf>
    <xf numFmtId="43" fontId="3" fillId="0" borderId="0" xfId="1" applyFont="1" applyFill="1" applyAlignment="1">
      <alignment horizontal="right" vertical="top"/>
    </xf>
    <xf numFmtId="0" fontId="4" fillId="4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44" fontId="3" fillId="2" borderId="1" xfId="0" applyNumberFormat="1" applyFont="1" applyFill="1" applyBorder="1" applyAlignment="1">
      <alignment horizontal="right" vertical="top"/>
    </xf>
    <xf numFmtId="166" fontId="3" fillId="0" borderId="0" xfId="3" applyNumberFormat="1" applyFont="1" applyAlignment="1">
      <alignment horizontal="right" vertical="top"/>
    </xf>
    <xf numFmtId="44" fontId="3" fillId="2" borderId="0" xfId="0" applyNumberFormat="1" applyFont="1" applyFill="1" applyAlignment="1">
      <alignment horizontal="center" vertical="top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43" fontId="3" fillId="6" borderId="1" xfId="1" applyFont="1" applyFill="1" applyBorder="1" applyAlignment="1">
      <alignment horizontal="right" vertical="top"/>
    </xf>
    <xf numFmtId="0" fontId="3" fillId="0" borderId="8" xfId="0" applyFont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4" fontId="3" fillId="3" borderId="2" xfId="2" applyFont="1" applyFill="1" applyBorder="1" applyAlignment="1">
      <alignment horizontal="center" vertical="center" wrapText="1"/>
    </xf>
    <xf numFmtId="44" fontId="3" fillId="3" borderId="4" xfId="2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4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F13" sqref="F13"/>
    </sheetView>
  </sheetViews>
  <sheetFormatPr defaultColWidth="9.109375" defaultRowHeight="13.8" x14ac:dyDescent="0.3"/>
  <cols>
    <col min="1" max="1" width="24.109375" style="7" customWidth="1"/>
    <col min="2" max="2" width="15.88671875" style="7" customWidth="1"/>
    <col min="3" max="3" width="64.88671875" style="30" customWidth="1"/>
    <col min="4" max="4" width="10.44140625" style="30" customWidth="1"/>
    <col min="5" max="5" width="10.33203125" style="40" customWidth="1"/>
    <col min="6" max="6" width="14.109375" style="40" customWidth="1"/>
    <col min="7" max="7" width="12" style="54" customWidth="1"/>
    <col min="8" max="8" width="17.6640625" style="40" customWidth="1"/>
    <col min="9" max="9" width="11.5546875" style="40" customWidth="1"/>
    <col min="10" max="10" width="15.44140625" style="40" customWidth="1"/>
    <col min="11" max="11" width="15" style="40" customWidth="1"/>
    <col min="12" max="12" width="11.88671875" style="40" customWidth="1"/>
    <col min="13" max="13" width="12.88671875" style="40" customWidth="1"/>
    <col min="14" max="14" width="11.88671875" style="40" customWidth="1"/>
    <col min="15" max="15" width="13.109375" style="40" customWidth="1"/>
    <col min="16" max="16" width="13" style="40" customWidth="1"/>
    <col min="17" max="17" width="9" style="40" customWidth="1"/>
    <col min="18" max="18" width="16.6640625" style="42" customWidth="1"/>
    <col min="19" max="19" width="13.109375" style="7" customWidth="1"/>
    <col min="20" max="20" width="13.6640625" style="7" customWidth="1"/>
    <col min="21" max="16384" width="9.109375" style="7"/>
  </cols>
  <sheetData>
    <row r="1" spans="1:18" ht="26.25" customHeight="1" x14ac:dyDescent="0.3">
      <c r="A1" s="68" t="s">
        <v>69</v>
      </c>
      <c r="B1" s="68"/>
    </row>
    <row r="2" spans="1:18" ht="14.4" customHeight="1" x14ac:dyDescent="0.3">
      <c r="A2" s="76" t="s">
        <v>32</v>
      </c>
      <c r="B2" s="76" t="s">
        <v>30</v>
      </c>
      <c r="C2" s="76" t="s">
        <v>6</v>
      </c>
      <c r="D2" s="69" t="s">
        <v>34</v>
      </c>
      <c r="E2" s="74" t="s">
        <v>33</v>
      </c>
      <c r="F2" s="75" t="s">
        <v>3</v>
      </c>
      <c r="G2" s="75"/>
      <c r="H2" s="75"/>
      <c r="I2" s="75"/>
      <c r="J2" s="75"/>
      <c r="K2" s="75" t="s">
        <v>4</v>
      </c>
      <c r="L2" s="75"/>
      <c r="M2" s="75"/>
      <c r="N2" s="75"/>
      <c r="O2" s="75"/>
      <c r="P2" s="71" t="s">
        <v>7</v>
      </c>
      <c r="Q2" s="72" t="s">
        <v>14</v>
      </c>
      <c r="R2" s="72" t="s">
        <v>65</v>
      </c>
    </row>
    <row r="3" spans="1:18" s="12" customFormat="1" ht="41.4" x14ac:dyDescent="0.3">
      <c r="A3" s="76"/>
      <c r="B3" s="76"/>
      <c r="C3" s="76"/>
      <c r="D3" s="70"/>
      <c r="E3" s="74"/>
      <c r="F3" s="43" t="s">
        <v>0</v>
      </c>
      <c r="G3" s="43" t="s">
        <v>1</v>
      </c>
      <c r="H3" s="43" t="s">
        <v>5</v>
      </c>
      <c r="I3" s="43" t="s">
        <v>8</v>
      </c>
      <c r="J3" s="43" t="s">
        <v>2</v>
      </c>
      <c r="K3" s="43" t="s">
        <v>15</v>
      </c>
      <c r="L3" s="43" t="s">
        <v>1</v>
      </c>
      <c r="M3" s="43" t="s">
        <v>5</v>
      </c>
      <c r="N3" s="43" t="s">
        <v>8</v>
      </c>
      <c r="O3" s="43" t="s">
        <v>2</v>
      </c>
      <c r="P3" s="70"/>
      <c r="Q3" s="73"/>
      <c r="R3" s="73"/>
    </row>
    <row r="4" spans="1:18" s="12" customFormat="1" ht="12.75" customHeight="1" x14ac:dyDescent="0.3">
      <c r="A4" s="82" t="s">
        <v>11</v>
      </c>
      <c r="B4" s="82" t="s">
        <v>22</v>
      </c>
      <c r="C4" s="38" t="s">
        <v>31</v>
      </c>
      <c r="D4" s="38" t="s">
        <v>41</v>
      </c>
      <c r="E4" s="6">
        <v>56</v>
      </c>
      <c r="F4" s="6">
        <v>56</v>
      </c>
      <c r="G4" s="6">
        <v>1</v>
      </c>
      <c r="H4" s="9">
        <f t="shared" ref="H4" si="0">F4*G4</f>
        <v>56</v>
      </c>
      <c r="I4" s="50">
        <v>6.6799999999999998E-2</v>
      </c>
      <c r="J4" s="8">
        <f>(I4)*H4</f>
        <v>3.7408000000000001</v>
      </c>
      <c r="K4" s="4">
        <f t="shared" ref="K4" si="1">E4-F4</f>
        <v>0</v>
      </c>
      <c r="L4" s="5">
        <v>0</v>
      </c>
      <c r="M4" s="10">
        <f t="shared" ref="M4" si="2">+K4*L4</f>
        <v>0</v>
      </c>
      <c r="N4" s="8">
        <v>0</v>
      </c>
      <c r="O4" s="8">
        <f>(N4)*M4</f>
        <v>0</v>
      </c>
      <c r="P4" s="2">
        <f>J4 +O4</f>
        <v>3.7408000000000001</v>
      </c>
      <c r="Q4" s="11">
        <v>46.94</v>
      </c>
      <c r="R4" s="11">
        <f>Q4*P4</f>
        <v>175.593152</v>
      </c>
    </row>
    <row r="5" spans="1:18" s="12" customFormat="1" x14ac:dyDescent="0.3">
      <c r="A5" s="83"/>
      <c r="B5" s="83"/>
      <c r="C5" s="38" t="s">
        <v>40</v>
      </c>
      <c r="D5" s="38" t="s">
        <v>35</v>
      </c>
      <c r="E5" s="6">
        <v>56</v>
      </c>
      <c r="F5" s="6">
        <v>56</v>
      </c>
      <c r="G5" s="51">
        <v>1</v>
      </c>
      <c r="H5" s="1">
        <f>F5*G5</f>
        <v>56</v>
      </c>
      <c r="I5" s="2">
        <v>0.5</v>
      </c>
      <c r="J5" s="3">
        <f>H5*I5</f>
        <v>28</v>
      </c>
      <c r="K5" s="4">
        <f>E5-F5</f>
        <v>0</v>
      </c>
      <c r="L5" s="10">
        <v>0</v>
      </c>
      <c r="M5" s="5">
        <f>+K5*L5</f>
        <v>0</v>
      </c>
      <c r="N5" s="2">
        <v>0</v>
      </c>
      <c r="O5" s="2">
        <f>+M5*N5</f>
        <v>0</v>
      </c>
      <c r="P5" s="13">
        <f>J5+O5</f>
        <v>28</v>
      </c>
      <c r="Q5" s="11">
        <f>Q4</f>
        <v>46.94</v>
      </c>
      <c r="R5" s="11">
        <f t="shared" ref="R5:R6" si="3">Q5*P5</f>
        <v>1314.32</v>
      </c>
    </row>
    <row r="6" spans="1:18" s="12" customFormat="1" x14ac:dyDescent="0.3">
      <c r="A6" s="83"/>
      <c r="B6" s="84"/>
      <c r="C6" s="38" t="s">
        <v>42</v>
      </c>
      <c r="D6" s="38" t="s">
        <v>43</v>
      </c>
      <c r="E6" s="6">
        <v>56</v>
      </c>
      <c r="F6" s="6">
        <v>56</v>
      </c>
      <c r="G6" s="6">
        <v>2</v>
      </c>
      <c r="H6" s="9">
        <f>F6*G6</f>
        <v>112</v>
      </c>
      <c r="I6" s="8">
        <v>0.5</v>
      </c>
      <c r="J6" s="8">
        <f>(I6)*H6</f>
        <v>56</v>
      </c>
      <c r="K6" s="4">
        <f t="shared" ref="K6" si="4">E6-F6</f>
        <v>0</v>
      </c>
      <c r="L6" s="5">
        <v>0</v>
      </c>
      <c r="M6" s="10">
        <f t="shared" ref="M6:M24" si="5">+K6*L6</f>
        <v>0</v>
      </c>
      <c r="N6" s="8">
        <v>0</v>
      </c>
      <c r="O6" s="8">
        <f>(N6)*M6</f>
        <v>0</v>
      </c>
      <c r="P6" s="2">
        <f>J6 +O6</f>
        <v>56</v>
      </c>
      <c r="Q6" s="11">
        <f>Q4</f>
        <v>46.94</v>
      </c>
      <c r="R6" s="11">
        <f t="shared" si="3"/>
        <v>2628.64</v>
      </c>
    </row>
    <row r="7" spans="1:18" ht="15" customHeight="1" x14ac:dyDescent="0.3">
      <c r="A7" s="83"/>
      <c r="B7" s="48"/>
      <c r="C7" s="47" t="s">
        <v>17</v>
      </c>
      <c r="D7" s="47"/>
      <c r="E7" s="15">
        <f>E4</f>
        <v>56</v>
      </c>
      <c r="F7" s="15">
        <f>E7</f>
        <v>56</v>
      </c>
      <c r="G7" s="15">
        <f>H7/F7</f>
        <v>4</v>
      </c>
      <c r="H7" s="15">
        <f>SUM(H4:H6)</f>
        <v>224</v>
      </c>
      <c r="I7" s="16">
        <f>J7/H7</f>
        <v>0.39170000000000005</v>
      </c>
      <c r="J7" s="17">
        <f>SUM(J4:J6)</f>
        <v>87.740800000000007</v>
      </c>
      <c r="K7" s="44">
        <f>K4</f>
        <v>0</v>
      </c>
      <c r="L7" s="44">
        <f>L4</f>
        <v>0</v>
      </c>
      <c r="M7" s="44">
        <f>SUM(M4:M6)</f>
        <v>0</v>
      </c>
      <c r="N7" s="16">
        <v>0</v>
      </c>
      <c r="O7" s="18">
        <f>SUM(O4:O6)</f>
        <v>0</v>
      </c>
      <c r="P7" s="17">
        <f>SUM(P4:P6)</f>
        <v>87.740800000000007</v>
      </c>
      <c r="Q7" s="17"/>
      <c r="R7" s="19">
        <f>SUM(R4:R6)</f>
        <v>4118.5531519999995</v>
      </c>
    </row>
    <row r="8" spans="1:18" x14ac:dyDescent="0.3">
      <c r="A8" s="83"/>
      <c r="B8" s="88" t="s">
        <v>23</v>
      </c>
      <c r="C8" s="30" t="s">
        <v>68</v>
      </c>
      <c r="D8" s="66" t="s">
        <v>46</v>
      </c>
      <c r="E8" s="65">
        <v>9</v>
      </c>
      <c r="F8" s="65">
        <v>9</v>
      </c>
      <c r="G8" s="65">
        <v>1</v>
      </c>
      <c r="H8" s="1">
        <f>+F8*G8</f>
        <v>9</v>
      </c>
      <c r="I8" s="65">
        <v>1</v>
      </c>
      <c r="J8" s="3">
        <f>+H8*I8</f>
        <v>9</v>
      </c>
      <c r="K8" s="4">
        <f t="shared" ref="K8" si="6">E8-F8</f>
        <v>0</v>
      </c>
      <c r="L8" s="5">
        <v>0</v>
      </c>
      <c r="M8" s="10">
        <f t="shared" ref="M8" si="7">+K8*L8</f>
        <v>0</v>
      </c>
      <c r="N8" s="8">
        <v>0</v>
      </c>
      <c r="O8" s="8">
        <f>(N8)*M8</f>
        <v>0</v>
      </c>
      <c r="P8" s="13">
        <f>J8+O8</f>
        <v>9</v>
      </c>
      <c r="Q8" s="11">
        <v>33.299999999999997</v>
      </c>
      <c r="R8" s="45">
        <f>Q8*P8</f>
        <v>299.7</v>
      </c>
    </row>
    <row r="9" spans="1:18" x14ac:dyDescent="0.3">
      <c r="A9" s="83"/>
      <c r="B9" s="88"/>
      <c r="C9" s="38" t="s">
        <v>36</v>
      </c>
      <c r="D9" s="38" t="s">
        <v>37</v>
      </c>
      <c r="E9" s="4">
        <v>15600</v>
      </c>
      <c r="F9" s="4">
        <f>0.67*E9</f>
        <v>10452</v>
      </c>
      <c r="G9" s="51">
        <v>1</v>
      </c>
      <c r="H9" s="1">
        <f>+F9*G9</f>
        <v>10452</v>
      </c>
      <c r="I9" s="50">
        <v>6.6799999999999998E-2</v>
      </c>
      <c r="J9" s="3">
        <f>+H9*I9</f>
        <v>698.19359999999995</v>
      </c>
      <c r="K9" s="4">
        <f>E9-F9</f>
        <v>5148</v>
      </c>
      <c r="L9" s="10">
        <v>1</v>
      </c>
      <c r="M9" s="6">
        <f>+K9*L9</f>
        <v>5148</v>
      </c>
      <c r="N9" s="49">
        <v>3.3399999999999999E-2</v>
      </c>
      <c r="O9" s="2">
        <f>+M9*N9</f>
        <v>171.94319999999999</v>
      </c>
      <c r="P9" s="13">
        <f>J9+O9</f>
        <v>870.13679999999999</v>
      </c>
      <c r="Q9" s="11">
        <f>$Q$8</f>
        <v>33.299999999999997</v>
      </c>
      <c r="R9" s="45">
        <f>Q9*P9</f>
        <v>28975.555439999996</v>
      </c>
    </row>
    <row r="10" spans="1:18" x14ac:dyDescent="0.3">
      <c r="A10" s="83"/>
      <c r="B10" s="88"/>
      <c r="C10" s="38" t="s">
        <v>38</v>
      </c>
      <c r="D10" s="38" t="s">
        <v>39</v>
      </c>
      <c r="E10" s="4">
        <f>E9</f>
        <v>15600</v>
      </c>
      <c r="F10" s="4">
        <f>0.67*E10</f>
        <v>10452</v>
      </c>
      <c r="G10" s="51">
        <v>1</v>
      </c>
      <c r="H10" s="1">
        <f>+F10*G10</f>
        <v>10452</v>
      </c>
      <c r="I10" s="50">
        <v>6.6799999999999998E-2</v>
      </c>
      <c r="J10" s="3">
        <f>+H10*I10</f>
        <v>698.19359999999995</v>
      </c>
      <c r="K10" s="4">
        <f t="shared" ref="K10:K12" si="8">E10-F10</f>
        <v>5148</v>
      </c>
      <c r="L10" s="10">
        <v>1</v>
      </c>
      <c r="M10" s="6">
        <f>+K10*L10</f>
        <v>5148</v>
      </c>
      <c r="N10" s="49">
        <v>3.3399999999999999E-2</v>
      </c>
      <c r="O10" s="2">
        <f>+M10*N10</f>
        <v>171.94319999999999</v>
      </c>
      <c r="P10" s="13">
        <f>J10+O10</f>
        <v>870.13679999999999</v>
      </c>
      <c r="Q10" s="11">
        <f t="shared" ref="Q10:Q24" si="9">$Q$8</f>
        <v>33.299999999999997</v>
      </c>
      <c r="R10" s="45">
        <f t="shared" ref="R10:R24" si="10">Q10*P10</f>
        <v>28975.555439999996</v>
      </c>
    </row>
    <row r="11" spans="1:18" x14ac:dyDescent="0.3">
      <c r="A11" s="83"/>
      <c r="B11" s="88"/>
      <c r="C11" s="38" t="s">
        <v>49</v>
      </c>
      <c r="D11" s="38" t="s">
        <v>44</v>
      </c>
      <c r="E11" s="4">
        <f>E9</f>
        <v>15600</v>
      </c>
      <c r="F11" s="4">
        <f>E11*0.5*0.67</f>
        <v>5226</v>
      </c>
      <c r="G11" s="51">
        <v>1</v>
      </c>
      <c r="H11" s="1">
        <f>+F11*G11</f>
        <v>5226</v>
      </c>
      <c r="I11" s="2">
        <v>0.5</v>
      </c>
      <c r="J11" s="3">
        <f>+H11*I11</f>
        <v>2613</v>
      </c>
      <c r="K11" s="4">
        <f t="shared" si="8"/>
        <v>10374</v>
      </c>
      <c r="L11" s="10">
        <v>1</v>
      </c>
      <c r="M11" s="6">
        <f>+K11*L11</f>
        <v>10374</v>
      </c>
      <c r="N11" s="49">
        <v>3.3399999999999999E-2</v>
      </c>
      <c r="O11" s="2">
        <f>+M11*N11</f>
        <v>346.49160000000001</v>
      </c>
      <c r="P11" s="13">
        <f>J11+O11</f>
        <v>2959.4915999999998</v>
      </c>
      <c r="Q11" s="11">
        <f t="shared" si="9"/>
        <v>33.299999999999997</v>
      </c>
      <c r="R11" s="45">
        <f t="shared" si="10"/>
        <v>98551.070279999985</v>
      </c>
    </row>
    <row r="12" spans="1:18" x14ac:dyDescent="0.3">
      <c r="A12" s="83"/>
      <c r="B12" s="88"/>
      <c r="C12" s="38" t="s">
        <v>50</v>
      </c>
      <c r="D12" s="38" t="s">
        <v>70</v>
      </c>
      <c r="E12" s="4">
        <f>E9</f>
        <v>15600</v>
      </c>
      <c r="F12" s="4">
        <f>0.67*E12</f>
        <v>10452</v>
      </c>
      <c r="G12" s="51">
        <v>1</v>
      </c>
      <c r="H12" s="1">
        <f>+F12*G12</f>
        <v>10452</v>
      </c>
      <c r="I12" s="2">
        <v>0.5</v>
      </c>
      <c r="J12" s="3">
        <f>+H12*I12</f>
        <v>5226</v>
      </c>
      <c r="K12" s="4">
        <f t="shared" si="8"/>
        <v>5148</v>
      </c>
      <c r="L12" s="10">
        <v>1</v>
      </c>
      <c r="M12" s="6">
        <f>+K12*L12</f>
        <v>5148</v>
      </c>
      <c r="N12" s="49">
        <v>5.0099999999999999E-2</v>
      </c>
      <c r="O12" s="2">
        <f>+M12*N12</f>
        <v>257.91480000000001</v>
      </c>
      <c r="P12" s="46">
        <f t="shared" ref="P12" si="11">+O12+J12</f>
        <v>5483.9148000000005</v>
      </c>
      <c r="Q12" s="11">
        <f t="shared" si="9"/>
        <v>33.299999999999997</v>
      </c>
      <c r="R12" s="45">
        <f t="shared" si="10"/>
        <v>182614.36283999999</v>
      </c>
    </row>
    <row r="13" spans="1:18" x14ac:dyDescent="0.3">
      <c r="A13" s="83"/>
      <c r="B13" s="88"/>
      <c r="C13" s="38" t="s">
        <v>51</v>
      </c>
      <c r="D13" s="38" t="s">
        <v>45</v>
      </c>
      <c r="E13" s="4">
        <f>E9</f>
        <v>15600</v>
      </c>
      <c r="F13" s="4">
        <f>E13*0.75*0.67</f>
        <v>7839.0000000000009</v>
      </c>
      <c r="G13" s="51">
        <v>1</v>
      </c>
      <c r="H13" s="1">
        <f t="shared" ref="H13" si="12">+F13*G13</f>
        <v>7839.0000000000009</v>
      </c>
      <c r="I13" s="2">
        <v>0.25</v>
      </c>
      <c r="J13" s="3">
        <f t="shared" ref="J13" si="13">+H13*I13</f>
        <v>1959.7500000000002</v>
      </c>
      <c r="K13" s="4">
        <f>E13-F13</f>
        <v>7760.9999999999991</v>
      </c>
      <c r="L13" s="10">
        <v>1</v>
      </c>
      <c r="M13" s="6">
        <f t="shared" ref="M13" si="14">+K13*L13</f>
        <v>7760.9999999999991</v>
      </c>
      <c r="N13" s="49">
        <v>3.3399999999999999E-2</v>
      </c>
      <c r="O13" s="2">
        <f t="shared" ref="O13" si="15">+M13*N13</f>
        <v>259.21739999999994</v>
      </c>
      <c r="P13" s="13">
        <f>J13+O13</f>
        <v>2218.9674</v>
      </c>
      <c r="Q13" s="11">
        <f t="shared" si="9"/>
        <v>33.299999999999997</v>
      </c>
      <c r="R13" s="45">
        <f t="shared" si="10"/>
        <v>73891.614419999998</v>
      </c>
    </row>
    <row r="14" spans="1:18" x14ac:dyDescent="0.3">
      <c r="A14" s="83"/>
      <c r="B14" s="88"/>
      <c r="C14" s="38" t="s">
        <v>52</v>
      </c>
      <c r="D14" s="38" t="s">
        <v>47</v>
      </c>
      <c r="E14" s="4">
        <f>E12*0.94</f>
        <v>14664</v>
      </c>
      <c r="F14" s="4">
        <f>E14*0.06</f>
        <v>879.83999999999992</v>
      </c>
      <c r="G14" s="51">
        <v>1</v>
      </c>
      <c r="H14" s="1">
        <f t="shared" ref="H14:H24" si="16">+F14*G14</f>
        <v>879.83999999999992</v>
      </c>
      <c r="I14" s="49">
        <v>1.67E-2</v>
      </c>
      <c r="J14" s="3">
        <f t="shared" ref="J14:J24" si="17">+H14*I14</f>
        <v>14.693327999999998</v>
      </c>
      <c r="K14" s="4">
        <f>E14-F14</f>
        <v>13784.16</v>
      </c>
      <c r="L14" s="10">
        <v>1</v>
      </c>
      <c r="M14" s="6">
        <f t="shared" si="5"/>
        <v>13784.16</v>
      </c>
      <c r="N14" s="49">
        <v>1.67E-2</v>
      </c>
      <c r="O14" s="2">
        <f t="shared" ref="O14:O24" si="18">+M14*N14</f>
        <v>230.195472</v>
      </c>
      <c r="P14" s="13">
        <f t="shared" ref="P14:P24" si="19">J14+O14</f>
        <v>244.8888</v>
      </c>
      <c r="Q14" s="11">
        <f t="shared" si="9"/>
        <v>33.299999999999997</v>
      </c>
      <c r="R14" s="45">
        <f t="shared" si="10"/>
        <v>8154.7970399999995</v>
      </c>
    </row>
    <row r="15" spans="1:18" x14ac:dyDescent="0.3">
      <c r="A15" s="83"/>
      <c r="B15" s="88"/>
      <c r="C15" s="38" t="s">
        <v>53</v>
      </c>
      <c r="D15" s="38" t="s">
        <v>47</v>
      </c>
      <c r="E15" s="4">
        <f>K14</f>
        <v>13784.16</v>
      </c>
      <c r="F15" s="4">
        <f t="shared" ref="F15:F21" si="20">E15*0.06</f>
        <v>827.04959999999994</v>
      </c>
      <c r="G15" s="51">
        <v>1</v>
      </c>
      <c r="H15" s="1">
        <f t="shared" si="16"/>
        <v>827.04959999999994</v>
      </c>
      <c r="I15" s="49">
        <v>1.67E-2</v>
      </c>
      <c r="J15" s="3">
        <f t="shared" si="17"/>
        <v>13.811728319999999</v>
      </c>
      <c r="K15" s="4">
        <f>E15-F15</f>
        <v>12957.1104</v>
      </c>
      <c r="L15" s="10">
        <v>1</v>
      </c>
      <c r="M15" s="6">
        <f t="shared" si="5"/>
        <v>12957.1104</v>
      </c>
      <c r="N15" s="49">
        <v>1.67E-2</v>
      </c>
      <c r="O15" s="2">
        <f t="shared" si="18"/>
        <v>216.38374367999998</v>
      </c>
      <c r="P15" s="13">
        <f t="shared" si="19"/>
        <v>230.19547199999997</v>
      </c>
      <c r="Q15" s="11">
        <f t="shared" si="9"/>
        <v>33.299999999999997</v>
      </c>
      <c r="R15" s="45">
        <f t="shared" si="10"/>
        <v>7665.509217599998</v>
      </c>
    </row>
    <row r="16" spans="1:18" x14ac:dyDescent="0.3">
      <c r="A16" s="83"/>
      <c r="B16" s="88"/>
      <c r="C16" s="38" t="s">
        <v>54</v>
      </c>
      <c r="D16" s="38" t="s">
        <v>47</v>
      </c>
      <c r="E16" s="4">
        <f t="shared" ref="E16:E21" si="21">K15</f>
        <v>12957.1104</v>
      </c>
      <c r="F16" s="4">
        <f t="shared" si="20"/>
        <v>777.42662399999995</v>
      </c>
      <c r="G16" s="51">
        <v>1</v>
      </c>
      <c r="H16" s="1">
        <f t="shared" si="16"/>
        <v>777.42662399999995</v>
      </c>
      <c r="I16" s="49">
        <v>1.67E-2</v>
      </c>
      <c r="J16" s="3">
        <f t="shared" si="17"/>
        <v>12.983024620799998</v>
      </c>
      <c r="K16" s="4">
        <f t="shared" ref="K16:K24" si="22">E16-F16</f>
        <v>12179.683776</v>
      </c>
      <c r="L16" s="10">
        <v>1</v>
      </c>
      <c r="M16" s="6">
        <f t="shared" si="5"/>
        <v>12179.683776</v>
      </c>
      <c r="N16" s="49">
        <v>1.67E-2</v>
      </c>
      <c r="O16" s="2">
        <f t="shared" si="18"/>
        <v>203.40071905919999</v>
      </c>
      <c r="P16" s="13">
        <f t="shared" si="19"/>
        <v>216.38374367999998</v>
      </c>
      <c r="Q16" s="11">
        <f t="shared" si="9"/>
        <v>33.299999999999997</v>
      </c>
      <c r="R16" s="20">
        <f t="shared" si="10"/>
        <v>7205.5786645439985</v>
      </c>
    </row>
    <row r="17" spans="1:18" x14ac:dyDescent="0.3">
      <c r="A17" s="83"/>
      <c r="B17" s="88"/>
      <c r="C17" s="38" t="s">
        <v>55</v>
      </c>
      <c r="D17" s="38" t="s">
        <v>47</v>
      </c>
      <c r="E17" s="4">
        <f t="shared" si="21"/>
        <v>12179.683776</v>
      </c>
      <c r="F17" s="4">
        <f t="shared" si="20"/>
        <v>730.78102655999999</v>
      </c>
      <c r="G17" s="51">
        <v>1</v>
      </c>
      <c r="H17" s="1">
        <f t="shared" si="16"/>
        <v>730.78102655999999</v>
      </c>
      <c r="I17" s="49">
        <v>1.67E-2</v>
      </c>
      <c r="J17" s="3">
        <f t="shared" si="17"/>
        <v>12.204043143551999</v>
      </c>
      <c r="K17" s="4">
        <f t="shared" si="22"/>
        <v>11448.90274944</v>
      </c>
      <c r="L17" s="10">
        <v>1</v>
      </c>
      <c r="M17" s="6">
        <f t="shared" si="5"/>
        <v>11448.90274944</v>
      </c>
      <c r="N17" s="49">
        <v>1.67E-2</v>
      </c>
      <c r="O17" s="2">
        <f t="shared" si="18"/>
        <v>191.196675915648</v>
      </c>
      <c r="P17" s="13">
        <f t="shared" si="19"/>
        <v>203.40071905920001</v>
      </c>
      <c r="Q17" s="11">
        <f t="shared" si="9"/>
        <v>33.299999999999997</v>
      </c>
      <c r="R17" s="20">
        <f t="shared" si="10"/>
        <v>6773.2439446713597</v>
      </c>
    </row>
    <row r="18" spans="1:18" x14ac:dyDescent="0.3">
      <c r="A18" s="83"/>
      <c r="B18" s="88"/>
      <c r="C18" s="38" t="s">
        <v>56</v>
      </c>
      <c r="D18" s="38" t="s">
        <v>47</v>
      </c>
      <c r="E18" s="4">
        <f t="shared" si="21"/>
        <v>11448.90274944</v>
      </c>
      <c r="F18" s="4">
        <f t="shared" si="20"/>
        <v>686.93416496639998</v>
      </c>
      <c r="G18" s="51">
        <v>1</v>
      </c>
      <c r="H18" s="1">
        <f t="shared" si="16"/>
        <v>686.93416496639998</v>
      </c>
      <c r="I18" s="49">
        <v>1.67E-2</v>
      </c>
      <c r="J18" s="3">
        <f t="shared" si="17"/>
        <v>11.471800554938879</v>
      </c>
      <c r="K18" s="4">
        <f t="shared" si="22"/>
        <v>10761.9685844736</v>
      </c>
      <c r="L18" s="10">
        <v>1</v>
      </c>
      <c r="M18" s="6">
        <f t="shared" si="5"/>
        <v>10761.9685844736</v>
      </c>
      <c r="N18" s="49">
        <v>1.67E-2</v>
      </c>
      <c r="O18" s="2">
        <f t="shared" si="18"/>
        <v>179.72487536070912</v>
      </c>
      <c r="P18" s="13">
        <f t="shared" si="19"/>
        <v>191.196675915648</v>
      </c>
      <c r="Q18" s="11">
        <f t="shared" si="9"/>
        <v>33.299999999999997</v>
      </c>
      <c r="R18" s="20">
        <f t="shared" si="10"/>
        <v>6366.8493079910777</v>
      </c>
    </row>
    <row r="19" spans="1:18" x14ac:dyDescent="0.3">
      <c r="A19" s="83"/>
      <c r="B19" s="88"/>
      <c r="C19" s="38" t="s">
        <v>57</v>
      </c>
      <c r="D19" s="38" t="s">
        <v>47</v>
      </c>
      <c r="E19" s="4">
        <f t="shared" si="21"/>
        <v>10761.9685844736</v>
      </c>
      <c r="F19" s="4">
        <f t="shared" si="20"/>
        <v>645.71811506841595</v>
      </c>
      <c r="G19" s="51">
        <v>1</v>
      </c>
      <c r="H19" s="1">
        <f t="shared" si="16"/>
        <v>645.71811506841595</v>
      </c>
      <c r="I19" s="49">
        <v>1.67E-2</v>
      </c>
      <c r="J19" s="3">
        <f t="shared" si="17"/>
        <v>10.783492521642547</v>
      </c>
      <c r="K19" s="4">
        <f t="shared" si="22"/>
        <v>10116.250469405184</v>
      </c>
      <c r="L19" s="10">
        <v>1</v>
      </c>
      <c r="M19" s="6">
        <f t="shared" si="5"/>
        <v>10116.250469405184</v>
      </c>
      <c r="N19" s="49">
        <v>1.67E-2</v>
      </c>
      <c r="O19" s="2">
        <f t="shared" si="18"/>
        <v>168.94138283906656</v>
      </c>
      <c r="P19" s="13">
        <f t="shared" si="19"/>
        <v>179.72487536070912</v>
      </c>
      <c r="Q19" s="11">
        <f t="shared" si="9"/>
        <v>33.299999999999997</v>
      </c>
      <c r="R19" s="20">
        <f t="shared" si="10"/>
        <v>5984.8383495116132</v>
      </c>
    </row>
    <row r="20" spans="1:18" x14ac:dyDescent="0.3">
      <c r="A20" s="83"/>
      <c r="B20" s="88"/>
      <c r="C20" s="38" t="s">
        <v>58</v>
      </c>
      <c r="D20" s="38" t="s">
        <v>47</v>
      </c>
      <c r="E20" s="4">
        <f t="shared" si="21"/>
        <v>10116.250469405184</v>
      </c>
      <c r="F20" s="4">
        <f t="shared" si="20"/>
        <v>606.97502816431097</v>
      </c>
      <c r="G20" s="51">
        <v>1</v>
      </c>
      <c r="H20" s="1">
        <f t="shared" si="16"/>
        <v>606.97502816431097</v>
      </c>
      <c r="I20" s="49">
        <v>1.67E-2</v>
      </c>
      <c r="J20" s="3">
        <f t="shared" si="17"/>
        <v>10.136482970343993</v>
      </c>
      <c r="K20" s="4">
        <f t="shared" si="22"/>
        <v>9509.2754412408722</v>
      </c>
      <c r="L20" s="10">
        <v>1</v>
      </c>
      <c r="M20" s="6">
        <f t="shared" si="5"/>
        <v>9509.2754412408722</v>
      </c>
      <c r="N20" s="49">
        <v>1.67E-2</v>
      </c>
      <c r="O20" s="2">
        <f t="shared" si="18"/>
        <v>158.80489986872257</v>
      </c>
      <c r="P20" s="13">
        <f t="shared" si="19"/>
        <v>168.94138283906656</v>
      </c>
      <c r="Q20" s="11">
        <f t="shared" si="9"/>
        <v>33.299999999999997</v>
      </c>
      <c r="R20" s="20">
        <f t="shared" si="10"/>
        <v>5625.748048540916</v>
      </c>
    </row>
    <row r="21" spans="1:18" x14ac:dyDescent="0.3">
      <c r="A21" s="83"/>
      <c r="B21" s="88"/>
      <c r="C21" s="38" t="s">
        <v>59</v>
      </c>
      <c r="D21" s="38" t="s">
        <v>47</v>
      </c>
      <c r="E21" s="4">
        <f t="shared" si="21"/>
        <v>9509.2754412408722</v>
      </c>
      <c r="F21" s="4">
        <f t="shared" si="20"/>
        <v>570.55652647445231</v>
      </c>
      <c r="G21" s="51">
        <v>1</v>
      </c>
      <c r="H21" s="1">
        <f t="shared" si="16"/>
        <v>570.55652647445231</v>
      </c>
      <c r="I21" s="49">
        <v>1.67E-2</v>
      </c>
      <c r="J21" s="3">
        <f t="shared" si="17"/>
        <v>9.5282939921233538</v>
      </c>
      <c r="K21" s="4">
        <f t="shared" si="22"/>
        <v>8938.7189147664194</v>
      </c>
      <c r="L21" s="10">
        <v>1</v>
      </c>
      <c r="M21" s="6">
        <f t="shared" si="5"/>
        <v>8938.7189147664194</v>
      </c>
      <c r="N21" s="49">
        <v>1.67E-2</v>
      </c>
      <c r="O21" s="2">
        <f t="shared" si="18"/>
        <v>149.27660587659921</v>
      </c>
      <c r="P21" s="13">
        <f t="shared" si="19"/>
        <v>158.80489986872257</v>
      </c>
      <c r="Q21" s="11">
        <f t="shared" si="9"/>
        <v>33.299999999999997</v>
      </c>
      <c r="R21" s="20">
        <f t="shared" si="10"/>
        <v>5288.2031656284616</v>
      </c>
    </row>
    <row r="22" spans="1:18" x14ac:dyDescent="0.3">
      <c r="A22" s="83"/>
      <c r="B22" s="88"/>
      <c r="C22" s="38" t="s">
        <v>60</v>
      </c>
      <c r="D22" s="38" t="s">
        <v>62</v>
      </c>
      <c r="E22" s="4">
        <f>E12</f>
        <v>15600</v>
      </c>
      <c r="F22" s="4">
        <f>E22*0.67</f>
        <v>10452</v>
      </c>
      <c r="G22" s="51">
        <v>2</v>
      </c>
      <c r="H22" s="1">
        <f t="shared" ref="H22:H23" si="23">+F22*G22</f>
        <v>20904</v>
      </c>
      <c r="I22" s="49">
        <v>1.67E-2</v>
      </c>
      <c r="J22" s="3">
        <f t="shared" ref="J22:J23" si="24">+H22*I22</f>
        <v>349.09679999999997</v>
      </c>
      <c r="K22" s="4">
        <f>E22-F22</f>
        <v>5148</v>
      </c>
      <c r="L22" s="10">
        <v>2</v>
      </c>
      <c r="M22" s="6">
        <f t="shared" ref="M22:M23" si="25">+K22*L22</f>
        <v>10296</v>
      </c>
      <c r="N22" s="49">
        <v>1.67E-2</v>
      </c>
      <c r="O22" s="2">
        <f t="shared" ref="O22:O23" si="26">+M22*N22</f>
        <v>171.94319999999999</v>
      </c>
      <c r="P22" s="13">
        <f>J22+O22</f>
        <v>521.04</v>
      </c>
      <c r="Q22" s="11">
        <f t="shared" si="9"/>
        <v>33.299999999999997</v>
      </c>
      <c r="R22" s="20">
        <f t="shared" si="10"/>
        <v>17350.631999999998</v>
      </c>
    </row>
    <row r="23" spans="1:18" x14ac:dyDescent="0.3">
      <c r="A23" s="83"/>
      <c r="B23" s="88"/>
      <c r="C23" s="38" t="s">
        <v>63</v>
      </c>
      <c r="D23" s="38" t="s">
        <v>64</v>
      </c>
      <c r="E23" s="4">
        <f>K20</f>
        <v>9509.2754412408722</v>
      </c>
      <c r="F23" s="4">
        <f>E23*0.75</f>
        <v>7131.9565809306541</v>
      </c>
      <c r="G23" s="51">
        <v>1</v>
      </c>
      <c r="H23" s="1">
        <f t="shared" si="23"/>
        <v>7131.9565809306541</v>
      </c>
      <c r="I23" s="49">
        <v>3.3399999999999999E-2</v>
      </c>
      <c r="J23" s="3">
        <f t="shared" si="24"/>
        <v>238.20734980308384</v>
      </c>
      <c r="K23" s="4">
        <f>E23-F23</f>
        <v>2377.318860310218</v>
      </c>
      <c r="L23" s="10">
        <v>1</v>
      </c>
      <c r="M23" s="6">
        <f t="shared" si="25"/>
        <v>2377.318860310218</v>
      </c>
      <c r="N23" s="49">
        <v>1.67E-2</v>
      </c>
      <c r="O23" s="2">
        <f t="shared" si="26"/>
        <v>39.701224967180643</v>
      </c>
      <c r="P23" s="13">
        <f>J23+O23</f>
        <v>277.90857477026447</v>
      </c>
      <c r="Q23" s="11">
        <f t="shared" si="9"/>
        <v>33.299999999999997</v>
      </c>
      <c r="R23" s="20">
        <f t="shared" si="10"/>
        <v>9254.3555398498065</v>
      </c>
    </row>
    <row r="24" spans="1:18" x14ac:dyDescent="0.3">
      <c r="A24" s="83"/>
      <c r="B24" s="88"/>
      <c r="C24" s="38" t="s">
        <v>61</v>
      </c>
      <c r="D24" s="38" t="s">
        <v>48</v>
      </c>
      <c r="E24" s="4">
        <f>K21</f>
        <v>8938.7189147664194</v>
      </c>
      <c r="F24" s="4">
        <f t="shared" ref="F24" si="27">E24*0.2</f>
        <v>1787.7437829532839</v>
      </c>
      <c r="G24" s="51">
        <v>2</v>
      </c>
      <c r="H24" s="1">
        <f t="shared" si="16"/>
        <v>3575.4875659065679</v>
      </c>
      <c r="I24" s="49">
        <v>8.3500000000000005E-2</v>
      </c>
      <c r="J24" s="3">
        <f t="shared" si="17"/>
        <v>298.55321175319841</v>
      </c>
      <c r="K24" s="4">
        <f t="shared" si="22"/>
        <v>7150.9751318131357</v>
      </c>
      <c r="L24" s="10">
        <v>1</v>
      </c>
      <c r="M24" s="6">
        <f t="shared" si="5"/>
        <v>7150.9751318131357</v>
      </c>
      <c r="N24" s="49">
        <v>1.67E-2</v>
      </c>
      <c r="O24" s="2">
        <f t="shared" si="18"/>
        <v>119.42128470127936</v>
      </c>
      <c r="P24" s="13">
        <f t="shared" si="19"/>
        <v>417.97449645447779</v>
      </c>
      <c r="Q24" s="11">
        <f t="shared" si="9"/>
        <v>33.299999999999997</v>
      </c>
      <c r="R24" s="20">
        <f t="shared" si="10"/>
        <v>13918.550731934109</v>
      </c>
    </row>
    <row r="25" spans="1:18" s="21" customFormat="1" x14ac:dyDescent="0.3">
      <c r="A25" s="83"/>
      <c r="B25" s="88"/>
      <c r="C25" s="14" t="s">
        <v>13</v>
      </c>
      <c r="D25" s="14"/>
      <c r="E25" s="15">
        <f>E12+E8</f>
        <v>15609</v>
      </c>
      <c r="F25" s="15">
        <f>F12+F8</f>
        <v>10461</v>
      </c>
      <c r="G25" s="15">
        <f>H25/F25</f>
        <v>7.8163392822933568</v>
      </c>
      <c r="H25" s="15">
        <f>SUM(H8:H24)</f>
        <v>81766.725232070807</v>
      </c>
      <c r="I25" s="16">
        <f>J25/H25</f>
        <v>0.14902892002944257</v>
      </c>
      <c r="J25" s="15">
        <f>SUM(J8:J24)</f>
        <v>12185.606755679684</v>
      </c>
      <c r="K25" s="15">
        <f>K12+K8</f>
        <v>5148</v>
      </c>
      <c r="L25" s="16">
        <f>M25/K25</f>
        <v>27.797079317686372</v>
      </c>
      <c r="M25" s="15">
        <f>SUM(M8:M24)</f>
        <v>143099.36432744944</v>
      </c>
      <c r="N25" s="16">
        <f>O25/M25</f>
        <v>2.1219523221082132E-2</v>
      </c>
      <c r="O25" s="67">
        <f>SUM(O8:O24)</f>
        <v>3036.5002842684057</v>
      </c>
      <c r="P25" s="67">
        <f>SUM(P8:P24)</f>
        <v>15222.107039948087</v>
      </c>
      <c r="Q25" s="17"/>
      <c r="R25" s="19">
        <f>SUM(R8:R24)</f>
        <v>506896.16443027119</v>
      </c>
    </row>
    <row r="26" spans="1:18" ht="12.75" customHeight="1" x14ac:dyDescent="0.3">
      <c r="A26" s="84"/>
      <c r="B26" s="77" t="s">
        <v>12</v>
      </c>
      <c r="C26" s="78"/>
      <c r="D26" s="59"/>
      <c r="E26" s="22">
        <f>E7+E25</f>
        <v>15665</v>
      </c>
      <c r="F26" s="22">
        <f>F7+F25</f>
        <v>10517</v>
      </c>
      <c r="G26" s="22">
        <f>H26/F26</f>
        <v>7.7960183733071036</v>
      </c>
      <c r="H26" s="22">
        <f>H7+H25</f>
        <v>81990.725232070807</v>
      </c>
      <c r="I26" s="23">
        <f>J26/H26</f>
        <v>0.14969190138202296</v>
      </c>
      <c r="J26" s="24">
        <f>J7+J25</f>
        <v>12273.347555679684</v>
      </c>
      <c r="K26" s="22">
        <f>K7+K25</f>
        <v>5148</v>
      </c>
      <c r="L26" s="23">
        <f>M26/K26</f>
        <v>27.797079317686372</v>
      </c>
      <c r="M26" s="22">
        <f>M7+M25</f>
        <v>143099.36432744944</v>
      </c>
      <c r="N26" s="23">
        <f>O26/M26</f>
        <v>2.1219523221082132E-2</v>
      </c>
      <c r="O26" s="24">
        <f>O7+O25</f>
        <v>3036.5002842684057</v>
      </c>
      <c r="P26" s="24">
        <f>P7+P25</f>
        <v>15309.847839948086</v>
      </c>
      <c r="Q26" s="24"/>
      <c r="R26" s="25">
        <f>R7+R25</f>
        <v>511014.7175822712</v>
      </c>
    </row>
    <row r="27" spans="1:18" ht="12.75" customHeight="1" x14ac:dyDescent="0.3">
      <c r="A27" s="85" t="s">
        <v>10</v>
      </c>
      <c r="B27" s="82" t="s">
        <v>24</v>
      </c>
      <c r="C27" s="38" t="s">
        <v>36</v>
      </c>
      <c r="D27" s="38" t="s">
        <v>37</v>
      </c>
      <c r="E27" s="4">
        <v>2000</v>
      </c>
      <c r="F27" s="4">
        <f>0.67*E27</f>
        <v>1340</v>
      </c>
      <c r="G27" s="51">
        <v>1</v>
      </c>
      <c r="H27" s="1">
        <f>+F27*G27</f>
        <v>1340</v>
      </c>
      <c r="I27" s="50">
        <v>6.6799999999999998E-2</v>
      </c>
      <c r="J27" s="3">
        <f>+H27*I27</f>
        <v>89.512</v>
      </c>
      <c r="K27" s="4">
        <f t="shared" ref="K27:K31" si="28">E27-F27</f>
        <v>660</v>
      </c>
      <c r="L27" s="10">
        <v>1</v>
      </c>
      <c r="M27" s="6">
        <f>K27*L27</f>
        <v>660</v>
      </c>
      <c r="N27" s="49">
        <v>3.3399999999999999E-2</v>
      </c>
      <c r="O27" s="2">
        <f>+M27*N27</f>
        <v>22.044</v>
      </c>
      <c r="P27" s="13">
        <f>J27+O27</f>
        <v>111.556</v>
      </c>
      <c r="Q27" s="11">
        <v>36.97</v>
      </c>
      <c r="R27" s="45">
        <f>Q27*P27</f>
        <v>4124.2253199999996</v>
      </c>
    </row>
    <row r="28" spans="1:18" x14ac:dyDescent="0.3">
      <c r="A28" s="86"/>
      <c r="B28" s="83"/>
      <c r="C28" s="38" t="s">
        <v>38</v>
      </c>
      <c r="D28" s="38" t="s">
        <v>39</v>
      </c>
      <c r="E28" s="4">
        <f>E27</f>
        <v>2000</v>
      </c>
      <c r="F28" s="4">
        <f>0.67*E28</f>
        <v>1340</v>
      </c>
      <c r="G28" s="51">
        <v>1</v>
      </c>
      <c r="H28" s="1">
        <f>+F28*G28</f>
        <v>1340</v>
      </c>
      <c r="I28" s="50">
        <v>6.6799999999999998E-2</v>
      </c>
      <c r="J28" s="3">
        <f>+H28*I28</f>
        <v>89.512</v>
      </c>
      <c r="K28" s="4">
        <f t="shared" si="28"/>
        <v>660</v>
      </c>
      <c r="L28" s="10">
        <v>1</v>
      </c>
      <c r="M28" s="6">
        <f>+K28*L28</f>
        <v>660</v>
      </c>
      <c r="N28" s="49">
        <v>3.3399999999999999E-2</v>
      </c>
      <c r="O28" s="2">
        <f>+M28*N28</f>
        <v>22.044</v>
      </c>
      <c r="P28" s="13">
        <f>J28+O28</f>
        <v>111.556</v>
      </c>
      <c r="Q28" s="11">
        <f>$Q$27</f>
        <v>36.97</v>
      </c>
      <c r="R28" s="45">
        <f t="shared" ref="R28:R42" si="29">Q28*P28</f>
        <v>4124.2253199999996</v>
      </c>
    </row>
    <row r="29" spans="1:18" x14ac:dyDescent="0.3">
      <c r="A29" s="86"/>
      <c r="B29" s="83"/>
      <c r="C29" s="38" t="s">
        <v>49</v>
      </c>
      <c r="D29" s="38" t="s">
        <v>44</v>
      </c>
      <c r="E29" s="4">
        <f>E27</f>
        <v>2000</v>
      </c>
      <c r="F29" s="4">
        <f>0.67*0.5*E29</f>
        <v>670</v>
      </c>
      <c r="G29" s="51">
        <v>1</v>
      </c>
      <c r="H29" s="1">
        <f>+F29*G29</f>
        <v>670</v>
      </c>
      <c r="I29" s="2">
        <v>0.5</v>
      </c>
      <c r="J29" s="3">
        <f>+H29*I29</f>
        <v>335</v>
      </c>
      <c r="K29" s="4">
        <f t="shared" si="28"/>
        <v>1330</v>
      </c>
      <c r="L29" s="10">
        <v>1</v>
      </c>
      <c r="M29" s="6">
        <f>+K29*L29</f>
        <v>1330</v>
      </c>
      <c r="N29" s="49">
        <v>3.3399999999999999E-2</v>
      </c>
      <c r="O29" s="2">
        <f>+M29*N29</f>
        <v>44.421999999999997</v>
      </c>
      <c r="P29" s="13">
        <f>J29+O29</f>
        <v>379.42200000000003</v>
      </c>
      <c r="Q29" s="11">
        <f t="shared" ref="Q29:Q42" si="30">$Q$27</f>
        <v>36.97</v>
      </c>
      <c r="R29" s="45">
        <f t="shared" si="29"/>
        <v>14027.23134</v>
      </c>
    </row>
    <row r="30" spans="1:18" x14ac:dyDescent="0.3">
      <c r="A30" s="86"/>
      <c r="B30" s="83"/>
      <c r="C30" s="38" t="s">
        <v>50</v>
      </c>
      <c r="D30" s="38" t="s">
        <v>70</v>
      </c>
      <c r="E30" s="4">
        <f>E27</f>
        <v>2000</v>
      </c>
      <c r="F30" s="4">
        <f>0.67*E30</f>
        <v>1340</v>
      </c>
      <c r="G30" s="51">
        <v>1</v>
      </c>
      <c r="H30" s="1">
        <f>+F30*G30</f>
        <v>1340</v>
      </c>
      <c r="I30" s="2">
        <v>0.5</v>
      </c>
      <c r="J30" s="3">
        <f>+H30*I30</f>
        <v>670</v>
      </c>
      <c r="K30" s="4">
        <f t="shared" si="28"/>
        <v>660</v>
      </c>
      <c r="L30" s="10">
        <v>1</v>
      </c>
      <c r="M30" s="6">
        <f>+K30*L30</f>
        <v>660</v>
      </c>
      <c r="N30" s="49">
        <v>5.0099999999999999E-2</v>
      </c>
      <c r="O30" s="2">
        <f>+M30*N30</f>
        <v>33.066000000000003</v>
      </c>
      <c r="P30" s="46">
        <f t="shared" ref="P30" si="31">+O30+J30</f>
        <v>703.06600000000003</v>
      </c>
      <c r="Q30" s="11">
        <f t="shared" si="30"/>
        <v>36.97</v>
      </c>
      <c r="R30" s="45">
        <f t="shared" si="29"/>
        <v>25992.350020000002</v>
      </c>
    </row>
    <row r="31" spans="1:18" x14ac:dyDescent="0.3">
      <c r="A31" s="86"/>
      <c r="B31" s="83"/>
      <c r="C31" s="38" t="s">
        <v>51</v>
      </c>
      <c r="D31" s="38" t="s">
        <v>45</v>
      </c>
      <c r="E31" s="4">
        <f>E27</f>
        <v>2000</v>
      </c>
      <c r="F31" s="4">
        <f>E31*0.75*0.67</f>
        <v>1005.0000000000001</v>
      </c>
      <c r="G31" s="51">
        <v>1</v>
      </c>
      <c r="H31" s="1">
        <f t="shared" ref="H31" si="32">+F31*G31</f>
        <v>1005.0000000000001</v>
      </c>
      <c r="I31" s="2">
        <v>0.25</v>
      </c>
      <c r="J31" s="3">
        <f t="shared" ref="J31" si="33">+H31*I31</f>
        <v>251.25000000000003</v>
      </c>
      <c r="K31" s="4">
        <f t="shared" si="28"/>
        <v>994.99999999999989</v>
      </c>
      <c r="L31" s="10">
        <v>1</v>
      </c>
      <c r="M31" s="6">
        <f t="shared" ref="M31" si="34">+K31*L31</f>
        <v>994.99999999999989</v>
      </c>
      <c r="N31" s="49">
        <v>3.3399999999999999E-2</v>
      </c>
      <c r="O31" s="2">
        <f t="shared" ref="O31" si="35">+M31*N31</f>
        <v>33.232999999999997</v>
      </c>
      <c r="P31" s="13">
        <f>J31+O31</f>
        <v>284.483</v>
      </c>
      <c r="Q31" s="11">
        <f t="shared" si="30"/>
        <v>36.97</v>
      </c>
      <c r="R31" s="45">
        <f t="shared" si="29"/>
        <v>10517.336509999999</v>
      </c>
    </row>
    <row r="32" spans="1:18" x14ac:dyDescent="0.3">
      <c r="A32" s="86"/>
      <c r="B32" s="83"/>
      <c r="C32" s="38" t="s">
        <v>52</v>
      </c>
      <c r="D32" s="38" t="s">
        <v>47</v>
      </c>
      <c r="E32" s="4">
        <f>0.94*E31</f>
        <v>1880</v>
      </c>
      <c r="F32" s="4">
        <f>E32*0.06</f>
        <v>112.8</v>
      </c>
      <c r="G32" s="51">
        <v>1</v>
      </c>
      <c r="H32" s="1">
        <f t="shared" ref="H32:H42" si="36">+F32*G32</f>
        <v>112.8</v>
      </c>
      <c r="I32" s="49">
        <v>1.67E-2</v>
      </c>
      <c r="J32" s="3">
        <f t="shared" ref="J32:J42" si="37">+H32*I32</f>
        <v>1.8837599999999999</v>
      </c>
      <c r="K32" s="4">
        <f t="shared" ref="K32:K42" si="38">E32-F32</f>
        <v>1767.2</v>
      </c>
      <c r="L32" s="10">
        <v>1</v>
      </c>
      <c r="M32" s="6">
        <f t="shared" ref="M32:M42" si="39">+K32*L32</f>
        <v>1767.2</v>
      </c>
      <c r="N32" s="49">
        <v>1.67E-2</v>
      </c>
      <c r="O32" s="2">
        <f t="shared" ref="O32:O42" si="40">+M32*N32</f>
        <v>29.512239999999998</v>
      </c>
      <c r="P32" s="13">
        <f t="shared" ref="P32:P42" si="41">J32+O32</f>
        <v>31.395999999999997</v>
      </c>
      <c r="Q32" s="11">
        <f t="shared" si="30"/>
        <v>36.97</v>
      </c>
      <c r="R32" s="45">
        <f t="shared" si="29"/>
        <v>1160.71012</v>
      </c>
    </row>
    <row r="33" spans="1:18" x14ac:dyDescent="0.3">
      <c r="A33" s="86"/>
      <c r="B33" s="83"/>
      <c r="C33" s="38" t="s">
        <v>53</v>
      </c>
      <c r="D33" s="38" t="s">
        <v>47</v>
      </c>
      <c r="E33" s="4">
        <f>K32</f>
        <v>1767.2</v>
      </c>
      <c r="F33" s="4">
        <f t="shared" ref="F33:F39" si="42">E33*0.06</f>
        <v>106.032</v>
      </c>
      <c r="G33" s="51">
        <v>1</v>
      </c>
      <c r="H33" s="1">
        <f t="shared" si="36"/>
        <v>106.032</v>
      </c>
      <c r="I33" s="49">
        <v>1.67E-2</v>
      </c>
      <c r="J33" s="3">
        <f t="shared" si="37"/>
        <v>1.7707343999999998</v>
      </c>
      <c r="K33" s="4">
        <f t="shared" si="38"/>
        <v>1661.1680000000001</v>
      </c>
      <c r="L33" s="10">
        <v>1</v>
      </c>
      <c r="M33" s="6">
        <f t="shared" si="39"/>
        <v>1661.1680000000001</v>
      </c>
      <c r="N33" s="49">
        <v>1.67E-2</v>
      </c>
      <c r="O33" s="2">
        <f t="shared" si="40"/>
        <v>27.7415056</v>
      </c>
      <c r="P33" s="13">
        <f t="shared" si="41"/>
        <v>29.512239999999998</v>
      </c>
      <c r="Q33" s="11">
        <f t="shared" si="30"/>
        <v>36.97</v>
      </c>
      <c r="R33" s="45">
        <f t="shared" si="29"/>
        <v>1091.0675127999998</v>
      </c>
    </row>
    <row r="34" spans="1:18" x14ac:dyDescent="0.3">
      <c r="A34" s="86"/>
      <c r="B34" s="83"/>
      <c r="C34" s="38" t="s">
        <v>54</v>
      </c>
      <c r="D34" s="38" t="s">
        <v>47</v>
      </c>
      <c r="E34" s="4">
        <f t="shared" ref="E34:E39" si="43">K33</f>
        <v>1661.1680000000001</v>
      </c>
      <c r="F34" s="4">
        <f t="shared" si="42"/>
        <v>99.670079999999999</v>
      </c>
      <c r="G34" s="51">
        <v>1</v>
      </c>
      <c r="H34" s="1">
        <f t="shared" si="36"/>
        <v>99.670079999999999</v>
      </c>
      <c r="I34" s="49">
        <v>1.67E-2</v>
      </c>
      <c r="J34" s="3">
        <f t="shared" si="37"/>
        <v>1.6644903359999998</v>
      </c>
      <c r="K34" s="4">
        <f t="shared" si="38"/>
        <v>1561.49792</v>
      </c>
      <c r="L34" s="10">
        <v>1</v>
      </c>
      <c r="M34" s="6">
        <f t="shared" si="39"/>
        <v>1561.49792</v>
      </c>
      <c r="N34" s="49">
        <v>1.67E-2</v>
      </c>
      <c r="O34" s="2">
        <f t="shared" si="40"/>
        <v>26.077015264</v>
      </c>
      <c r="P34" s="13">
        <f t="shared" si="41"/>
        <v>27.7415056</v>
      </c>
      <c r="Q34" s="11">
        <f t="shared" si="30"/>
        <v>36.97</v>
      </c>
      <c r="R34" s="45">
        <f t="shared" si="29"/>
        <v>1025.6034620319999</v>
      </c>
    </row>
    <row r="35" spans="1:18" x14ac:dyDescent="0.3">
      <c r="A35" s="86"/>
      <c r="B35" s="83"/>
      <c r="C35" s="38" t="s">
        <v>55</v>
      </c>
      <c r="D35" s="38" t="s">
        <v>47</v>
      </c>
      <c r="E35" s="4">
        <f t="shared" si="43"/>
        <v>1561.49792</v>
      </c>
      <c r="F35" s="4">
        <f t="shared" si="42"/>
        <v>93.689875200000003</v>
      </c>
      <c r="G35" s="51">
        <v>1</v>
      </c>
      <c r="H35" s="1">
        <f t="shared" si="36"/>
        <v>93.689875200000003</v>
      </c>
      <c r="I35" s="49">
        <v>1.67E-2</v>
      </c>
      <c r="J35" s="3">
        <f t="shared" si="37"/>
        <v>1.56462091584</v>
      </c>
      <c r="K35" s="4">
        <f t="shared" si="38"/>
        <v>1467.8080448000001</v>
      </c>
      <c r="L35" s="10">
        <v>1</v>
      </c>
      <c r="M35" s="6">
        <f t="shared" si="39"/>
        <v>1467.8080448000001</v>
      </c>
      <c r="N35" s="49">
        <v>1.67E-2</v>
      </c>
      <c r="O35" s="2">
        <f t="shared" si="40"/>
        <v>24.512394348160001</v>
      </c>
      <c r="P35" s="13">
        <f t="shared" si="41"/>
        <v>26.077015264</v>
      </c>
      <c r="Q35" s="11">
        <f t="shared" si="30"/>
        <v>36.97</v>
      </c>
      <c r="R35" s="20">
        <f t="shared" si="29"/>
        <v>964.06725431007999</v>
      </c>
    </row>
    <row r="36" spans="1:18" x14ac:dyDescent="0.3">
      <c r="A36" s="86"/>
      <c r="B36" s="83"/>
      <c r="C36" s="38" t="s">
        <v>56</v>
      </c>
      <c r="D36" s="38" t="s">
        <v>47</v>
      </c>
      <c r="E36" s="4">
        <f t="shared" si="43"/>
        <v>1467.8080448000001</v>
      </c>
      <c r="F36" s="4">
        <f t="shared" si="42"/>
        <v>88.068482688000003</v>
      </c>
      <c r="G36" s="51">
        <v>1</v>
      </c>
      <c r="H36" s="1">
        <f t="shared" si="36"/>
        <v>88.068482688000003</v>
      </c>
      <c r="I36" s="49">
        <v>1.67E-2</v>
      </c>
      <c r="J36" s="3">
        <f t="shared" si="37"/>
        <v>1.4707436608896001</v>
      </c>
      <c r="K36" s="4">
        <f t="shared" si="38"/>
        <v>1379.7395621120002</v>
      </c>
      <c r="L36" s="10">
        <v>1</v>
      </c>
      <c r="M36" s="6">
        <f t="shared" si="39"/>
        <v>1379.7395621120002</v>
      </c>
      <c r="N36" s="49">
        <v>1.67E-2</v>
      </c>
      <c r="O36" s="2">
        <f t="shared" si="40"/>
        <v>23.041650687270401</v>
      </c>
      <c r="P36" s="13">
        <f t="shared" si="41"/>
        <v>24.512394348160001</v>
      </c>
      <c r="Q36" s="11">
        <f t="shared" si="30"/>
        <v>36.97</v>
      </c>
      <c r="R36" s="20">
        <f t="shared" si="29"/>
        <v>906.22321905147521</v>
      </c>
    </row>
    <row r="37" spans="1:18" x14ac:dyDescent="0.3">
      <c r="A37" s="86"/>
      <c r="B37" s="83"/>
      <c r="C37" s="38" t="s">
        <v>57</v>
      </c>
      <c r="D37" s="38" t="s">
        <v>47</v>
      </c>
      <c r="E37" s="4">
        <f t="shared" si="43"/>
        <v>1379.7395621120002</v>
      </c>
      <c r="F37" s="4">
        <f t="shared" si="42"/>
        <v>82.784373726720005</v>
      </c>
      <c r="G37" s="51">
        <v>1</v>
      </c>
      <c r="H37" s="1">
        <f t="shared" si="36"/>
        <v>82.784373726720005</v>
      </c>
      <c r="I37" s="49">
        <v>1.67E-2</v>
      </c>
      <c r="J37" s="3">
        <f t="shared" si="37"/>
        <v>1.3824990412362241</v>
      </c>
      <c r="K37" s="4">
        <f t="shared" si="38"/>
        <v>1296.9551883852801</v>
      </c>
      <c r="L37" s="10">
        <v>1</v>
      </c>
      <c r="M37" s="6">
        <f t="shared" si="39"/>
        <v>1296.9551883852801</v>
      </c>
      <c r="N37" s="49">
        <v>1.67E-2</v>
      </c>
      <c r="O37" s="2">
        <f t="shared" si="40"/>
        <v>21.659151646034175</v>
      </c>
      <c r="P37" s="13">
        <f t="shared" si="41"/>
        <v>23.041650687270398</v>
      </c>
      <c r="Q37" s="11">
        <f t="shared" si="30"/>
        <v>36.97</v>
      </c>
      <c r="R37" s="20">
        <f t="shared" si="29"/>
        <v>851.84982590838661</v>
      </c>
    </row>
    <row r="38" spans="1:18" x14ac:dyDescent="0.3">
      <c r="A38" s="86"/>
      <c r="B38" s="83"/>
      <c r="C38" s="38" t="s">
        <v>58</v>
      </c>
      <c r="D38" s="38" t="s">
        <v>47</v>
      </c>
      <c r="E38" s="4">
        <f t="shared" si="43"/>
        <v>1296.9551883852801</v>
      </c>
      <c r="F38" s="4">
        <f t="shared" si="42"/>
        <v>77.817311303116796</v>
      </c>
      <c r="G38" s="51">
        <v>1</v>
      </c>
      <c r="H38" s="1">
        <f t="shared" si="36"/>
        <v>77.817311303116796</v>
      </c>
      <c r="I38" s="49">
        <v>1.67E-2</v>
      </c>
      <c r="J38" s="3">
        <f t="shared" si="37"/>
        <v>1.2995490987620504</v>
      </c>
      <c r="K38" s="4">
        <f t="shared" si="38"/>
        <v>1219.1378770821632</v>
      </c>
      <c r="L38" s="10">
        <v>1</v>
      </c>
      <c r="M38" s="6">
        <f t="shared" si="39"/>
        <v>1219.1378770821632</v>
      </c>
      <c r="N38" s="49">
        <v>1.67E-2</v>
      </c>
      <c r="O38" s="2">
        <f t="shared" si="40"/>
        <v>20.359602547272125</v>
      </c>
      <c r="P38" s="13">
        <f t="shared" si="41"/>
        <v>21.659151646034175</v>
      </c>
      <c r="Q38" s="11">
        <f t="shared" si="30"/>
        <v>36.97</v>
      </c>
      <c r="R38" s="20">
        <f t="shared" si="29"/>
        <v>800.73883635388347</v>
      </c>
    </row>
    <row r="39" spans="1:18" x14ac:dyDescent="0.3">
      <c r="A39" s="86"/>
      <c r="B39" s="83"/>
      <c r="C39" s="38" t="s">
        <v>59</v>
      </c>
      <c r="D39" s="38" t="s">
        <v>47</v>
      </c>
      <c r="E39" s="4">
        <f t="shared" si="43"/>
        <v>1219.1378770821632</v>
      </c>
      <c r="F39" s="4">
        <f t="shared" si="42"/>
        <v>73.148272624929788</v>
      </c>
      <c r="G39" s="51">
        <v>1</v>
      </c>
      <c r="H39" s="1">
        <f t="shared" si="36"/>
        <v>73.148272624929788</v>
      </c>
      <c r="I39" s="49">
        <v>1.67E-2</v>
      </c>
      <c r="J39" s="3">
        <f t="shared" si="37"/>
        <v>1.2215761528363274</v>
      </c>
      <c r="K39" s="4">
        <f t="shared" si="38"/>
        <v>1145.9896044572333</v>
      </c>
      <c r="L39" s="10">
        <v>1</v>
      </c>
      <c r="M39" s="6">
        <f t="shared" si="39"/>
        <v>1145.9896044572333</v>
      </c>
      <c r="N39" s="49">
        <v>1.67E-2</v>
      </c>
      <c r="O39" s="2">
        <f t="shared" si="40"/>
        <v>19.138026394435798</v>
      </c>
      <c r="P39" s="13">
        <f t="shared" si="41"/>
        <v>20.359602547272125</v>
      </c>
      <c r="Q39" s="11">
        <f t="shared" si="30"/>
        <v>36.97</v>
      </c>
      <c r="R39" s="20">
        <f t="shared" si="29"/>
        <v>752.69450617265045</v>
      </c>
    </row>
    <row r="40" spans="1:18" x14ac:dyDescent="0.3">
      <c r="A40" s="86"/>
      <c r="B40" s="83"/>
      <c r="C40" s="38" t="s">
        <v>60</v>
      </c>
      <c r="D40" s="38" t="s">
        <v>62</v>
      </c>
      <c r="E40" s="4">
        <f>E30</f>
        <v>2000</v>
      </c>
      <c r="F40" s="4">
        <f>0.67*E40</f>
        <v>1340</v>
      </c>
      <c r="G40" s="51">
        <v>2</v>
      </c>
      <c r="H40" s="1">
        <f t="shared" ref="H40:H41" si="44">+F40*G40</f>
        <v>2680</v>
      </c>
      <c r="I40" s="49">
        <v>1.67E-2</v>
      </c>
      <c r="J40" s="3">
        <f t="shared" ref="J40:J41" si="45">+H40*I40</f>
        <v>44.756</v>
      </c>
      <c r="K40" s="4">
        <f>E40-F40</f>
        <v>660</v>
      </c>
      <c r="L40" s="10">
        <v>2</v>
      </c>
      <c r="M40" s="6">
        <f t="shared" ref="M40:M41" si="46">+K40*L40</f>
        <v>1320</v>
      </c>
      <c r="N40" s="49">
        <v>1.67E-2</v>
      </c>
      <c r="O40" s="2">
        <f t="shared" ref="O40:O41" si="47">+M40*N40</f>
        <v>22.044</v>
      </c>
      <c r="P40" s="13">
        <f>J40+O40</f>
        <v>66.8</v>
      </c>
      <c r="Q40" s="11">
        <f t="shared" si="30"/>
        <v>36.97</v>
      </c>
      <c r="R40" s="20">
        <f t="shared" si="29"/>
        <v>2469.596</v>
      </c>
    </row>
    <row r="41" spans="1:18" x14ac:dyDescent="0.3">
      <c r="A41" s="86"/>
      <c r="B41" s="83"/>
      <c r="C41" s="38" t="s">
        <v>63</v>
      </c>
      <c r="D41" s="38" t="s">
        <v>64</v>
      </c>
      <c r="E41" s="4">
        <f>E27*0.5</f>
        <v>1000</v>
      </c>
      <c r="F41" s="4">
        <f>E41*0.75</f>
        <v>750</v>
      </c>
      <c r="G41" s="51">
        <v>1</v>
      </c>
      <c r="H41" s="1">
        <f t="shared" si="44"/>
        <v>750</v>
      </c>
      <c r="I41" s="49">
        <v>3.3399999999999999E-2</v>
      </c>
      <c r="J41" s="3">
        <f t="shared" si="45"/>
        <v>25.05</v>
      </c>
      <c r="K41" s="4">
        <f>E41-F41</f>
        <v>250</v>
      </c>
      <c r="L41" s="10">
        <v>1</v>
      </c>
      <c r="M41" s="6">
        <f t="shared" si="46"/>
        <v>250</v>
      </c>
      <c r="N41" s="49">
        <v>1.67E-2</v>
      </c>
      <c r="O41" s="2">
        <f t="shared" si="47"/>
        <v>4.1749999999999998</v>
      </c>
      <c r="P41" s="13">
        <f>J41+O41</f>
        <v>29.225000000000001</v>
      </c>
      <c r="Q41" s="11">
        <f t="shared" si="30"/>
        <v>36.97</v>
      </c>
      <c r="R41" s="20">
        <f t="shared" si="29"/>
        <v>1080.4482499999999</v>
      </c>
    </row>
    <row r="42" spans="1:18" x14ac:dyDescent="0.3">
      <c r="A42" s="86"/>
      <c r="B42" s="83"/>
      <c r="C42" s="38" t="s">
        <v>61</v>
      </c>
      <c r="D42" s="38" t="s">
        <v>48</v>
      </c>
      <c r="E42" s="4">
        <f>K39</f>
        <v>1145.9896044572333</v>
      </c>
      <c r="F42" s="4">
        <f t="shared" ref="F42" si="48">E42*0.2</f>
        <v>229.19792089144667</v>
      </c>
      <c r="G42" s="51">
        <v>2</v>
      </c>
      <c r="H42" s="1">
        <f t="shared" si="36"/>
        <v>458.39584178289334</v>
      </c>
      <c r="I42" s="49">
        <v>8.3500000000000005E-2</v>
      </c>
      <c r="J42" s="3">
        <f t="shared" si="37"/>
        <v>38.276052788871596</v>
      </c>
      <c r="K42" s="4">
        <f t="shared" si="38"/>
        <v>916.79168356578668</v>
      </c>
      <c r="L42" s="10">
        <v>1</v>
      </c>
      <c r="M42" s="6">
        <f t="shared" si="39"/>
        <v>916.79168356578668</v>
      </c>
      <c r="N42" s="49">
        <v>1.67E-2</v>
      </c>
      <c r="O42" s="2">
        <f t="shared" si="40"/>
        <v>15.310421115548637</v>
      </c>
      <c r="P42" s="13">
        <f t="shared" si="41"/>
        <v>53.586473904420231</v>
      </c>
      <c r="Q42" s="11">
        <f t="shared" si="30"/>
        <v>36.97</v>
      </c>
      <c r="R42" s="20">
        <f t="shared" si="29"/>
        <v>1981.0919402464158</v>
      </c>
    </row>
    <row r="43" spans="1:18" s="21" customFormat="1" x14ac:dyDescent="0.3">
      <c r="A43" s="87"/>
      <c r="B43" s="77" t="s">
        <v>20</v>
      </c>
      <c r="C43" s="78"/>
      <c r="D43" s="59"/>
      <c r="E43" s="22">
        <v>2000</v>
      </c>
      <c r="F43" s="22">
        <f>F30</f>
        <v>1340</v>
      </c>
      <c r="G43" s="22">
        <f>H43/F43</f>
        <v>7.6995568935266103</v>
      </c>
      <c r="H43" s="22">
        <f>SUM(H27:H42)</f>
        <v>10317.406237325658</v>
      </c>
      <c r="I43" s="23">
        <f>J43/H43</f>
        <v>0.15077568825066071</v>
      </c>
      <c r="J43" s="26">
        <f>+SUM(J27:J42)</f>
        <v>1555.6140263944358</v>
      </c>
      <c r="K43" s="22">
        <f>K30</f>
        <v>660</v>
      </c>
      <c r="L43" s="23">
        <f>M43/K43</f>
        <v>27.714072546064337</v>
      </c>
      <c r="M43" s="22">
        <f>SUM(M27:M42)</f>
        <v>18291.287880402462</v>
      </c>
      <c r="N43" s="23">
        <f>O43/M43</f>
        <v>2.1233059702637821E-2</v>
      </c>
      <c r="O43" s="26">
        <f>+SUM(O27:O42)</f>
        <v>388.38000760272109</v>
      </c>
      <c r="P43" s="26">
        <f>SUM(P27:P42)</f>
        <v>1943.9940339971567</v>
      </c>
      <c r="Q43" s="17"/>
      <c r="R43" s="19">
        <f>SUM(R27:R42)</f>
        <v>71869.459436874909</v>
      </c>
    </row>
    <row r="44" spans="1:18" ht="12.75" customHeight="1" x14ac:dyDescent="0.3">
      <c r="A44" s="85" t="s">
        <v>19</v>
      </c>
      <c r="B44" s="82" t="s">
        <v>25</v>
      </c>
      <c r="C44" s="38" t="s">
        <v>36</v>
      </c>
      <c r="D44" s="38" t="s">
        <v>37</v>
      </c>
      <c r="E44" s="4">
        <v>1000</v>
      </c>
      <c r="F44" s="4">
        <f>0.67*E44</f>
        <v>670</v>
      </c>
      <c r="G44" s="51">
        <v>1</v>
      </c>
      <c r="H44" s="1">
        <f>+F44*G44</f>
        <v>670</v>
      </c>
      <c r="I44" s="50">
        <v>6.6799999999999998E-2</v>
      </c>
      <c r="J44" s="3">
        <f>+H44*I44</f>
        <v>44.756</v>
      </c>
      <c r="K44" s="4">
        <f t="shared" ref="K44:K56" si="49">E44-F44</f>
        <v>330</v>
      </c>
      <c r="L44" s="10">
        <v>1</v>
      </c>
      <c r="M44" s="6">
        <f>K44*L44</f>
        <v>330</v>
      </c>
      <c r="N44" s="49">
        <v>3.3399999999999999E-2</v>
      </c>
      <c r="O44" s="2">
        <f>+M44*N44</f>
        <v>11.022</v>
      </c>
      <c r="P44" s="13">
        <f>J44+O44</f>
        <v>55.777999999999999</v>
      </c>
      <c r="Q44" s="11">
        <v>36.97</v>
      </c>
      <c r="R44" s="45">
        <f>Q44*P44</f>
        <v>2062.1126599999998</v>
      </c>
    </row>
    <row r="45" spans="1:18" x14ac:dyDescent="0.3">
      <c r="A45" s="86"/>
      <c r="B45" s="83"/>
      <c r="C45" s="38" t="s">
        <v>38</v>
      </c>
      <c r="D45" s="38" t="s">
        <v>39</v>
      </c>
      <c r="E45" s="4">
        <v>1000</v>
      </c>
      <c r="F45" s="4">
        <f>0.67*E45</f>
        <v>670</v>
      </c>
      <c r="G45" s="51">
        <v>1</v>
      </c>
      <c r="H45" s="1">
        <f>+F45*G45</f>
        <v>670</v>
      </c>
      <c r="I45" s="50">
        <v>6.6799999999999998E-2</v>
      </c>
      <c r="J45" s="3">
        <f>+H45*I45</f>
        <v>44.756</v>
      </c>
      <c r="K45" s="4">
        <f t="shared" si="49"/>
        <v>330</v>
      </c>
      <c r="L45" s="10">
        <v>1</v>
      </c>
      <c r="M45" s="6">
        <f>+K45*L45</f>
        <v>330</v>
      </c>
      <c r="N45" s="49">
        <v>3.3399999999999999E-2</v>
      </c>
      <c r="O45" s="2">
        <f>+M45*N45</f>
        <v>11.022</v>
      </c>
      <c r="P45" s="13">
        <f>J45+O45</f>
        <v>55.777999999999999</v>
      </c>
      <c r="Q45" s="11">
        <f>$Q$44</f>
        <v>36.97</v>
      </c>
      <c r="R45" s="45">
        <f t="shared" ref="R45:R59" si="50">Q45*P45</f>
        <v>2062.1126599999998</v>
      </c>
    </row>
    <row r="46" spans="1:18" x14ac:dyDescent="0.3">
      <c r="A46" s="86"/>
      <c r="B46" s="83"/>
      <c r="C46" s="38" t="s">
        <v>49</v>
      </c>
      <c r="D46" s="38" t="s">
        <v>44</v>
      </c>
      <c r="E46" s="4">
        <v>1000</v>
      </c>
      <c r="F46" s="4">
        <f>0.67*0.5*E46</f>
        <v>335</v>
      </c>
      <c r="G46" s="51">
        <v>1</v>
      </c>
      <c r="H46" s="1">
        <f>+F46*G46</f>
        <v>335</v>
      </c>
      <c r="I46" s="2">
        <v>0.5</v>
      </c>
      <c r="J46" s="3">
        <f>+H46*I46</f>
        <v>167.5</v>
      </c>
      <c r="K46" s="4">
        <f t="shared" si="49"/>
        <v>665</v>
      </c>
      <c r="L46" s="10">
        <v>1</v>
      </c>
      <c r="M46" s="6">
        <f>+K46*L46</f>
        <v>665</v>
      </c>
      <c r="N46" s="49">
        <v>3.3399999999999999E-2</v>
      </c>
      <c r="O46" s="2">
        <f>+M46*N46</f>
        <v>22.210999999999999</v>
      </c>
      <c r="P46" s="13">
        <f>J46+O46</f>
        <v>189.71100000000001</v>
      </c>
      <c r="Q46" s="11">
        <f t="shared" ref="Q46:Q59" si="51">$Q$44</f>
        <v>36.97</v>
      </c>
      <c r="R46" s="45">
        <f t="shared" si="50"/>
        <v>7013.6156700000001</v>
      </c>
    </row>
    <row r="47" spans="1:18" x14ac:dyDescent="0.3">
      <c r="A47" s="86"/>
      <c r="B47" s="83"/>
      <c r="C47" s="38" t="s">
        <v>50</v>
      </c>
      <c r="D47" s="38" t="s">
        <v>70</v>
      </c>
      <c r="E47" s="4">
        <v>1000</v>
      </c>
      <c r="F47" s="4">
        <f>0.67*E47</f>
        <v>670</v>
      </c>
      <c r="G47" s="51">
        <v>1</v>
      </c>
      <c r="H47" s="1">
        <f>+F47*G47</f>
        <v>670</v>
      </c>
      <c r="I47" s="2">
        <v>0.5</v>
      </c>
      <c r="J47" s="3">
        <f>+H47*I47</f>
        <v>335</v>
      </c>
      <c r="K47" s="4">
        <f t="shared" si="49"/>
        <v>330</v>
      </c>
      <c r="L47" s="10">
        <v>1</v>
      </c>
      <c r="M47" s="6">
        <f>+K47*L47</f>
        <v>330</v>
      </c>
      <c r="N47" s="49">
        <v>5.0099999999999999E-2</v>
      </c>
      <c r="O47" s="2">
        <f>+M47*N47</f>
        <v>16.533000000000001</v>
      </c>
      <c r="P47" s="46">
        <f t="shared" ref="P47" si="52">+O47+J47</f>
        <v>351.53300000000002</v>
      </c>
      <c r="Q47" s="11">
        <f t="shared" si="51"/>
        <v>36.97</v>
      </c>
      <c r="R47" s="45">
        <f t="shared" si="50"/>
        <v>12996.175010000001</v>
      </c>
    </row>
    <row r="48" spans="1:18" x14ac:dyDescent="0.3">
      <c r="A48" s="86"/>
      <c r="B48" s="83"/>
      <c r="C48" s="38" t="s">
        <v>51</v>
      </c>
      <c r="D48" s="38" t="s">
        <v>45</v>
      </c>
      <c r="E48" s="4">
        <v>1000</v>
      </c>
      <c r="F48" s="4">
        <f>E48*0.75*0.67</f>
        <v>502.50000000000006</v>
      </c>
      <c r="G48" s="51">
        <v>1</v>
      </c>
      <c r="H48" s="1">
        <f t="shared" ref="H48:H59" si="53">+F48*G48</f>
        <v>502.50000000000006</v>
      </c>
      <c r="I48" s="2">
        <v>0.25</v>
      </c>
      <c r="J48" s="3">
        <f t="shared" ref="J48:J59" si="54">+H48*I48</f>
        <v>125.62500000000001</v>
      </c>
      <c r="K48" s="4">
        <f t="shared" si="49"/>
        <v>497.49999999999994</v>
      </c>
      <c r="L48" s="10">
        <v>1</v>
      </c>
      <c r="M48" s="6">
        <f t="shared" ref="M48:M59" si="55">+K48*L48</f>
        <v>497.49999999999994</v>
      </c>
      <c r="N48" s="49">
        <v>3.3399999999999999E-2</v>
      </c>
      <c r="O48" s="2">
        <f t="shared" ref="O48:O59" si="56">+M48*N48</f>
        <v>16.616499999999998</v>
      </c>
      <c r="P48" s="13">
        <f>J48+O48</f>
        <v>142.2415</v>
      </c>
      <c r="Q48" s="11">
        <f t="shared" si="51"/>
        <v>36.97</v>
      </c>
      <c r="R48" s="45">
        <f t="shared" si="50"/>
        <v>5258.6682549999996</v>
      </c>
    </row>
    <row r="49" spans="1:20" x14ac:dyDescent="0.3">
      <c r="A49" s="86"/>
      <c r="B49" s="83"/>
      <c r="C49" s="38" t="s">
        <v>52</v>
      </c>
      <c r="D49" s="38" t="s">
        <v>47</v>
      </c>
      <c r="E49" s="4">
        <f>0.94*E48</f>
        <v>940</v>
      </c>
      <c r="F49" s="4">
        <f>E49*0.06</f>
        <v>56.4</v>
      </c>
      <c r="G49" s="51">
        <v>1</v>
      </c>
      <c r="H49" s="1">
        <f t="shared" si="53"/>
        <v>56.4</v>
      </c>
      <c r="I49" s="49">
        <v>1.67E-2</v>
      </c>
      <c r="J49" s="3">
        <f t="shared" si="54"/>
        <v>0.94187999999999994</v>
      </c>
      <c r="K49" s="4">
        <f t="shared" si="49"/>
        <v>883.6</v>
      </c>
      <c r="L49" s="10">
        <v>1</v>
      </c>
      <c r="M49" s="6">
        <f t="shared" si="55"/>
        <v>883.6</v>
      </c>
      <c r="N49" s="49">
        <v>1.67E-2</v>
      </c>
      <c r="O49" s="2">
        <f t="shared" si="56"/>
        <v>14.756119999999999</v>
      </c>
      <c r="P49" s="13">
        <f t="shared" ref="P49:P56" si="57">J49+O49</f>
        <v>15.697999999999999</v>
      </c>
      <c r="Q49" s="11">
        <f t="shared" si="51"/>
        <v>36.97</v>
      </c>
      <c r="R49" s="45">
        <f t="shared" si="50"/>
        <v>580.35505999999998</v>
      </c>
    </row>
    <row r="50" spans="1:20" x14ac:dyDescent="0.3">
      <c r="A50" s="86"/>
      <c r="B50" s="83"/>
      <c r="C50" s="38" t="s">
        <v>53</v>
      </c>
      <c r="D50" s="38" t="s">
        <v>47</v>
      </c>
      <c r="E50" s="4">
        <f>K49</f>
        <v>883.6</v>
      </c>
      <c r="F50" s="4">
        <f t="shared" ref="F50:F56" si="58">E50*0.06</f>
        <v>53.015999999999998</v>
      </c>
      <c r="G50" s="51">
        <v>1</v>
      </c>
      <c r="H50" s="1">
        <f t="shared" si="53"/>
        <v>53.015999999999998</v>
      </c>
      <c r="I50" s="49">
        <v>1.67E-2</v>
      </c>
      <c r="J50" s="3">
        <f t="shared" si="54"/>
        <v>0.88536719999999991</v>
      </c>
      <c r="K50" s="4">
        <f t="shared" si="49"/>
        <v>830.58400000000006</v>
      </c>
      <c r="L50" s="10">
        <v>1</v>
      </c>
      <c r="M50" s="6">
        <f t="shared" si="55"/>
        <v>830.58400000000006</v>
      </c>
      <c r="N50" s="49">
        <v>1.67E-2</v>
      </c>
      <c r="O50" s="2">
        <f t="shared" si="56"/>
        <v>13.8707528</v>
      </c>
      <c r="P50" s="13">
        <f t="shared" si="57"/>
        <v>14.756119999999999</v>
      </c>
      <c r="Q50" s="11">
        <f t="shared" si="51"/>
        <v>36.97</v>
      </c>
      <c r="R50" s="45">
        <f t="shared" si="50"/>
        <v>545.5337563999999</v>
      </c>
    </row>
    <row r="51" spans="1:20" x14ac:dyDescent="0.3">
      <c r="A51" s="86"/>
      <c r="B51" s="83"/>
      <c r="C51" s="38" t="s">
        <v>54</v>
      </c>
      <c r="D51" s="38" t="s">
        <v>47</v>
      </c>
      <c r="E51" s="4">
        <f t="shared" ref="E51:E56" si="59">K50</f>
        <v>830.58400000000006</v>
      </c>
      <c r="F51" s="4">
        <f t="shared" si="58"/>
        <v>49.835039999999999</v>
      </c>
      <c r="G51" s="51">
        <v>1</v>
      </c>
      <c r="H51" s="1">
        <f t="shared" si="53"/>
        <v>49.835039999999999</v>
      </c>
      <c r="I51" s="49">
        <v>1.67E-2</v>
      </c>
      <c r="J51" s="3">
        <f t="shared" si="54"/>
        <v>0.83224516799999992</v>
      </c>
      <c r="K51" s="4">
        <f t="shared" si="49"/>
        <v>780.74896000000001</v>
      </c>
      <c r="L51" s="10">
        <v>1</v>
      </c>
      <c r="M51" s="6">
        <f t="shared" si="55"/>
        <v>780.74896000000001</v>
      </c>
      <c r="N51" s="49">
        <v>1.67E-2</v>
      </c>
      <c r="O51" s="2">
        <f t="shared" si="56"/>
        <v>13.038507632</v>
      </c>
      <c r="P51" s="13">
        <f t="shared" si="57"/>
        <v>13.8707528</v>
      </c>
      <c r="Q51" s="11">
        <f t="shared" si="51"/>
        <v>36.97</v>
      </c>
      <c r="R51" s="45">
        <f t="shared" si="50"/>
        <v>512.80173101599996</v>
      </c>
    </row>
    <row r="52" spans="1:20" x14ac:dyDescent="0.3">
      <c r="A52" s="86"/>
      <c r="B52" s="83"/>
      <c r="C52" s="38" t="s">
        <v>55</v>
      </c>
      <c r="D52" s="38" t="s">
        <v>47</v>
      </c>
      <c r="E52" s="4">
        <f t="shared" si="59"/>
        <v>780.74896000000001</v>
      </c>
      <c r="F52" s="4">
        <f t="shared" si="58"/>
        <v>46.844937600000002</v>
      </c>
      <c r="G52" s="51">
        <v>1</v>
      </c>
      <c r="H52" s="1">
        <f t="shared" si="53"/>
        <v>46.844937600000002</v>
      </c>
      <c r="I52" s="49">
        <v>1.67E-2</v>
      </c>
      <c r="J52" s="3">
        <f t="shared" si="54"/>
        <v>0.78231045791999998</v>
      </c>
      <c r="K52" s="4">
        <f t="shared" si="49"/>
        <v>733.90402240000003</v>
      </c>
      <c r="L52" s="10">
        <v>1</v>
      </c>
      <c r="M52" s="6">
        <f t="shared" si="55"/>
        <v>733.90402240000003</v>
      </c>
      <c r="N52" s="49">
        <v>1.67E-2</v>
      </c>
      <c r="O52" s="2">
        <f t="shared" si="56"/>
        <v>12.25619717408</v>
      </c>
      <c r="P52" s="13">
        <f t="shared" si="57"/>
        <v>13.038507632</v>
      </c>
      <c r="Q52" s="11">
        <f t="shared" si="51"/>
        <v>36.97</v>
      </c>
      <c r="R52" s="20">
        <f t="shared" si="50"/>
        <v>482.03362715503999</v>
      </c>
    </row>
    <row r="53" spans="1:20" x14ac:dyDescent="0.3">
      <c r="A53" s="86"/>
      <c r="B53" s="83"/>
      <c r="C53" s="38" t="s">
        <v>56</v>
      </c>
      <c r="D53" s="38" t="s">
        <v>47</v>
      </c>
      <c r="E53" s="4">
        <f t="shared" si="59"/>
        <v>733.90402240000003</v>
      </c>
      <c r="F53" s="4">
        <f t="shared" si="58"/>
        <v>44.034241344000002</v>
      </c>
      <c r="G53" s="51">
        <v>1</v>
      </c>
      <c r="H53" s="1">
        <f t="shared" si="53"/>
        <v>44.034241344000002</v>
      </c>
      <c r="I53" s="49">
        <v>1.67E-2</v>
      </c>
      <c r="J53" s="3">
        <f t="shared" si="54"/>
        <v>0.73537183044480003</v>
      </c>
      <c r="K53" s="4">
        <f t="shared" si="49"/>
        <v>689.86978105600008</v>
      </c>
      <c r="L53" s="10">
        <v>1</v>
      </c>
      <c r="M53" s="6">
        <f t="shared" si="55"/>
        <v>689.86978105600008</v>
      </c>
      <c r="N53" s="49">
        <v>1.67E-2</v>
      </c>
      <c r="O53" s="2">
        <f t="shared" si="56"/>
        <v>11.520825343635201</v>
      </c>
      <c r="P53" s="13">
        <f t="shared" si="57"/>
        <v>12.25619717408</v>
      </c>
      <c r="Q53" s="11">
        <f t="shared" si="51"/>
        <v>36.97</v>
      </c>
      <c r="R53" s="20">
        <f t="shared" si="50"/>
        <v>453.11160952573761</v>
      </c>
    </row>
    <row r="54" spans="1:20" x14ac:dyDescent="0.3">
      <c r="A54" s="86"/>
      <c r="B54" s="83"/>
      <c r="C54" s="38" t="s">
        <v>57</v>
      </c>
      <c r="D54" s="38" t="s">
        <v>47</v>
      </c>
      <c r="E54" s="4">
        <f t="shared" si="59"/>
        <v>689.86978105600008</v>
      </c>
      <c r="F54" s="4">
        <f t="shared" si="58"/>
        <v>41.392186863360003</v>
      </c>
      <c r="G54" s="51">
        <v>1</v>
      </c>
      <c r="H54" s="1">
        <f t="shared" si="53"/>
        <v>41.392186863360003</v>
      </c>
      <c r="I54" s="49">
        <v>1.67E-2</v>
      </c>
      <c r="J54" s="3">
        <f t="shared" si="54"/>
        <v>0.69124952061811207</v>
      </c>
      <c r="K54" s="4">
        <f t="shared" si="49"/>
        <v>648.47759419264003</v>
      </c>
      <c r="L54" s="10">
        <v>1</v>
      </c>
      <c r="M54" s="6">
        <f t="shared" si="55"/>
        <v>648.47759419264003</v>
      </c>
      <c r="N54" s="49">
        <v>1.67E-2</v>
      </c>
      <c r="O54" s="2">
        <f t="shared" si="56"/>
        <v>10.829575823017088</v>
      </c>
      <c r="P54" s="13">
        <f t="shared" si="57"/>
        <v>11.520825343635199</v>
      </c>
      <c r="Q54" s="11">
        <f t="shared" si="51"/>
        <v>36.97</v>
      </c>
      <c r="R54" s="20">
        <f t="shared" si="50"/>
        <v>425.9249129541933</v>
      </c>
    </row>
    <row r="55" spans="1:20" x14ac:dyDescent="0.3">
      <c r="A55" s="86"/>
      <c r="B55" s="83"/>
      <c r="C55" s="38" t="s">
        <v>58</v>
      </c>
      <c r="D55" s="38" t="s">
        <v>47</v>
      </c>
      <c r="E55" s="4">
        <f t="shared" si="59"/>
        <v>648.47759419264003</v>
      </c>
      <c r="F55" s="4">
        <f t="shared" si="58"/>
        <v>38.908655651558398</v>
      </c>
      <c r="G55" s="51">
        <v>1</v>
      </c>
      <c r="H55" s="1">
        <f t="shared" si="53"/>
        <v>38.908655651558398</v>
      </c>
      <c r="I55" s="49">
        <v>1.67E-2</v>
      </c>
      <c r="J55" s="3">
        <f t="shared" si="54"/>
        <v>0.64977454938102519</v>
      </c>
      <c r="K55" s="4">
        <f t="shared" si="49"/>
        <v>609.56893854108159</v>
      </c>
      <c r="L55" s="10">
        <v>1</v>
      </c>
      <c r="M55" s="6">
        <f t="shared" si="55"/>
        <v>609.56893854108159</v>
      </c>
      <c r="N55" s="49">
        <v>1.67E-2</v>
      </c>
      <c r="O55" s="2">
        <f t="shared" si="56"/>
        <v>10.179801273636063</v>
      </c>
      <c r="P55" s="13">
        <f t="shared" si="57"/>
        <v>10.829575823017088</v>
      </c>
      <c r="Q55" s="11">
        <f t="shared" si="51"/>
        <v>36.97</v>
      </c>
      <c r="R55" s="20">
        <f t="shared" si="50"/>
        <v>400.36941817694174</v>
      </c>
    </row>
    <row r="56" spans="1:20" x14ac:dyDescent="0.3">
      <c r="A56" s="86"/>
      <c r="B56" s="83"/>
      <c r="C56" s="38" t="s">
        <v>59</v>
      </c>
      <c r="D56" s="38" t="s">
        <v>47</v>
      </c>
      <c r="E56" s="4">
        <f t="shared" si="59"/>
        <v>609.56893854108159</v>
      </c>
      <c r="F56" s="4">
        <f t="shared" si="58"/>
        <v>36.574136312464894</v>
      </c>
      <c r="G56" s="51">
        <v>1</v>
      </c>
      <c r="H56" s="1">
        <f t="shared" si="53"/>
        <v>36.574136312464894</v>
      </c>
      <c r="I56" s="49">
        <v>1.67E-2</v>
      </c>
      <c r="J56" s="3">
        <f t="shared" si="54"/>
        <v>0.61078807641816368</v>
      </c>
      <c r="K56" s="4">
        <f t="shared" si="49"/>
        <v>572.99480222861666</v>
      </c>
      <c r="L56" s="10">
        <v>1</v>
      </c>
      <c r="M56" s="6">
        <f t="shared" si="55"/>
        <v>572.99480222861666</v>
      </c>
      <c r="N56" s="49">
        <v>1.67E-2</v>
      </c>
      <c r="O56" s="2">
        <f t="shared" si="56"/>
        <v>9.5690131972178989</v>
      </c>
      <c r="P56" s="13">
        <f t="shared" si="57"/>
        <v>10.179801273636063</v>
      </c>
      <c r="Q56" s="11">
        <f t="shared" si="51"/>
        <v>36.97</v>
      </c>
      <c r="R56" s="20">
        <f t="shared" si="50"/>
        <v>376.34725308632522</v>
      </c>
    </row>
    <row r="57" spans="1:20" x14ac:dyDescent="0.3">
      <c r="A57" s="86"/>
      <c r="B57" s="83"/>
      <c r="C57" s="38" t="s">
        <v>60</v>
      </c>
      <c r="D57" s="38" t="s">
        <v>62</v>
      </c>
      <c r="E57" s="4">
        <f>E47</f>
        <v>1000</v>
      </c>
      <c r="F57" s="4">
        <f>0.67*E57</f>
        <v>670</v>
      </c>
      <c r="G57" s="51">
        <v>2</v>
      </c>
      <c r="H57" s="1">
        <f>+F57*G57</f>
        <v>1340</v>
      </c>
      <c r="I57" s="49">
        <v>1.67E-2</v>
      </c>
      <c r="J57" s="3">
        <f t="shared" si="54"/>
        <v>22.378</v>
      </c>
      <c r="K57" s="4">
        <f>E57-F57</f>
        <v>330</v>
      </c>
      <c r="L57" s="10">
        <v>2</v>
      </c>
      <c r="M57" s="6">
        <f t="shared" si="55"/>
        <v>660</v>
      </c>
      <c r="N57" s="49">
        <v>1.67E-2</v>
      </c>
      <c r="O57" s="2">
        <f t="shared" si="56"/>
        <v>11.022</v>
      </c>
      <c r="P57" s="13">
        <f>J57+O57</f>
        <v>33.4</v>
      </c>
      <c r="Q57" s="11">
        <f t="shared" si="51"/>
        <v>36.97</v>
      </c>
      <c r="R57" s="20">
        <f t="shared" si="50"/>
        <v>1234.798</v>
      </c>
    </row>
    <row r="58" spans="1:20" x14ac:dyDescent="0.3">
      <c r="A58" s="86"/>
      <c r="B58" s="83"/>
      <c r="C58" s="38" t="s">
        <v>63</v>
      </c>
      <c r="D58" s="38" t="s">
        <v>64</v>
      </c>
      <c r="E58" s="4">
        <f>E44*0.5</f>
        <v>500</v>
      </c>
      <c r="F58" s="4">
        <f>E58*0.75</f>
        <v>375</v>
      </c>
      <c r="G58" s="51">
        <v>1</v>
      </c>
      <c r="H58" s="1">
        <f t="shared" si="53"/>
        <v>375</v>
      </c>
      <c r="I58" s="49">
        <v>3.3399999999999999E-2</v>
      </c>
      <c r="J58" s="3">
        <f t="shared" si="54"/>
        <v>12.525</v>
      </c>
      <c r="K58" s="4">
        <f>E58-F58</f>
        <v>125</v>
      </c>
      <c r="L58" s="10">
        <v>1</v>
      </c>
      <c r="M58" s="6">
        <f t="shared" si="55"/>
        <v>125</v>
      </c>
      <c r="N58" s="49">
        <v>1.67E-2</v>
      </c>
      <c r="O58" s="2">
        <f t="shared" si="56"/>
        <v>2.0874999999999999</v>
      </c>
      <c r="P58" s="13">
        <f>J58+O58</f>
        <v>14.612500000000001</v>
      </c>
      <c r="Q58" s="11">
        <f t="shared" si="51"/>
        <v>36.97</v>
      </c>
      <c r="R58" s="20">
        <f t="shared" si="50"/>
        <v>540.22412499999996</v>
      </c>
    </row>
    <row r="59" spans="1:20" x14ac:dyDescent="0.3">
      <c r="A59" s="86"/>
      <c r="B59" s="83"/>
      <c r="C59" s="38" t="s">
        <v>61</v>
      </c>
      <c r="D59" s="38" t="s">
        <v>48</v>
      </c>
      <c r="E59" s="4">
        <f>K56</f>
        <v>572.99480222861666</v>
      </c>
      <c r="F59" s="4">
        <f t="shared" ref="F59" si="60">E59*0.2</f>
        <v>114.59896044572334</v>
      </c>
      <c r="G59" s="51">
        <v>2</v>
      </c>
      <c r="H59" s="1">
        <f t="shared" si="53"/>
        <v>229.19792089144667</v>
      </c>
      <c r="I59" s="49">
        <v>8.3500000000000005E-2</v>
      </c>
      <c r="J59" s="3">
        <f t="shared" si="54"/>
        <v>19.138026394435798</v>
      </c>
      <c r="K59" s="4">
        <f t="shared" ref="K59" si="61">E59-F59</f>
        <v>458.39584178289334</v>
      </c>
      <c r="L59" s="10">
        <v>1</v>
      </c>
      <c r="M59" s="6">
        <f t="shared" si="55"/>
        <v>458.39584178289334</v>
      </c>
      <c r="N59" s="49">
        <v>1.67E-2</v>
      </c>
      <c r="O59" s="2">
        <f t="shared" si="56"/>
        <v>7.6552105577743186</v>
      </c>
      <c r="P59" s="13">
        <f t="shared" ref="P59" si="62">J59+O59</f>
        <v>26.793236952210115</v>
      </c>
      <c r="Q59" s="11">
        <f t="shared" si="51"/>
        <v>36.97</v>
      </c>
      <c r="R59" s="20">
        <f t="shared" si="50"/>
        <v>990.54597012320789</v>
      </c>
    </row>
    <row r="60" spans="1:20" ht="41.4" x14ac:dyDescent="0.3">
      <c r="A60" s="87"/>
      <c r="B60" s="77" t="s">
        <v>21</v>
      </c>
      <c r="C60" s="78"/>
      <c r="D60" s="59"/>
      <c r="E60" s="22">
        <f>E47</f>
        <v>1000</v>
      </c>
      <c r="F60" s="22">
        <f>F47</f>
        <v>670</v>
      </c>
      <c r="G60" s="22">
        <f>H60/F60</f>
        <v>7.6995568935266103</v>
      </c>
      <c r="H60" s="22">
        <f>SUM(H44:H59)</f>
        <v>5158.7031186628292</v>
      </c>
      <c r="I60" s="23">
        <f>J60/H60</f>
        <v>0.15077568825066071</v>
      </c>
      <c r="J60" s="26">
        <f>+SUM(J44:J59)</f>
        <v>777.80701319721788</v>
      </c>
      <c r="K60" s="22">
        <f>K47</f>
        <v>330</v>
      </c>
      <c r="L60" s="23">
        <f>M60/K60</f>
        <v>27.714072546064337</v>
      </c>
      <c r="M60" s="22">
        <f>SUM(M44:M59)</f>
        <v>9145.6439402012311</v>
      </c>
      <c r="N60" s="23">
        <f>O60/M60</f>
        <v>2.1233059702637821E-2</v>
      </c>
      <c r="O60" s="26">
        <f>+SUM(O44:O59)</f>
        <v>194.19000380136055</v>
      </c>
      <c r="P60" s="26">
        <f>SUM(P44:P59)</f>
        <v>971.99701699857837</v>
      </c>
      <c r="Q60" s="26"/>
      <c r="R60" s="25">
        <f>SUM(R44:R59)</f>
        <v>35934.729718437455</v>
      </c>
      <c r="S60" s="64" t="s">
        <v>67</v>
      </c>
      <c r="T60" s="64" t="s">
        <v>66</v>
      </c>
    </row>
    <row r="61" spans="1:20" s="36" customFormat="1" x14ac:dyDescent="0.3">
      <c r="A61" s="79" t="s">
        <v>9</v>
      </c>
      <c r="B61" s="80"/>
      <c r="C61" s="81"/>
      <c r="D61" s="60"/>
      <c r="E61" s="27">
        <f>SUM(E60,E43,E26)</f>
        <v>18665</v>
      </c>
      <c r="F61" s="27">
        <f>SUM(F60,F43,F26)</f>
        <v>12527</v>
      </c>
      <c r="G61" s="52">
        <f>H61/F61</f>
        <v>7.7805407989190787</v>
      </c>
      <c r="H61" s="27">
        <f>SUM(H60,H43,H26)</f>
        <v>97466.834588059297</v>
      </c>
      <c r="I61" s="28">
        <f>J61/H61</f>
        <v>0.14986398867888151</v>
      </c>
      <c r="J61" s="27">
        <f>SUM(J60,J43,J26)</f>
        <v>14606.768595271336</v>
      </c>
      <c r="K61" s="27">
        <f>SUM(K60,K43,K26)</f>
        <v>6138</v>
      </c>
      <c r="L61" s="28">
        <f>M61/K61</f>
        <v>27.783691128715077</v>
      </c>
      <c r="M61" s="27">
        <f>SUM(M60,M43,M26)</f>
        <v>170536.29614805314</v>
      </c>
      <c r="N61" s="28">
        <f>O61/M61</f>
        <v>2.1221701053777711E-2</v>
      </c>
      <c r="O61" s="27">
        <f>SUM(O60,O43,O26)</f>
        <v>3619.0702956724872</v>
      </c>
      <c r="P61" s="27">
        <f>SUM(P60,P43,P26)</f>
        <v>18225.838890943822</v>
      </c>
      <c r="Q61" s="29"/>
      <c r="R61" s="61">
        <f>SUM(R60,R43,R26)</f>
        <v>618818.90673758357</v>
      </c>
      <c r="S61" s="63">
        <f>0.33*(R61)</f>
        <v>204210.23922340258</v>
      </c>
      <c r="T61" s="63">
        <f>S61+R61</f>
        <v>823029.14596098615</v>
      </c>
    </row>
    <row r="62" spans="1:20" s="36" customFormat="1" x14ac:dyDescent="0.3">
      <c r="A62" s="37" t="s">
        <v>16</v>
      </c>
      <c r="E62" s="31"/>
      <c r="F62" s="31"/>
      <c r="G62" s="53"/>
      <c r="H62" s="33"/>
      <c r="I62" s="32"/>
      <c r="J62" s="34"/>
      <c r="K62" s="31"/>
      <c r="L62" s="32"/>
      <c r="M62" s="31"/>
      <c r="N62" s="32"/>
      <c r="O62" s="34"/>
      <c r="P62" s="34"/>
      <c r="Q62" s="34"/>
      <c r="R62" s="35"/>
    </row>
    <row r="63" spans="1:20" s="36" customFormat="1" ht="14.4" x14ac:dyDescent="0.3">
      <c r="A63" s="30" t="s">
        <v>18</v>
      </c>
      <c r="E63" s="31"/>
      <c r="F63" s="39"/>
      <c r="G63" s="53"/>
      <c r="H63" s="33"/>
      <c r="I63" s="32"/>
      <c r="J63" s="34"/>
      <c r="K63" s="31"/>
      <c r="L63" s="31"/>
      <c r="M63" s="31"/>
      <c r="N63" s="31"/>
      <c r="O63" s="34"/>
      <c r="P63" s="34"/>
      <c r="Q63" s="34"/>
      <c r="R63" s="35"/>
    </row>
    <row r="64" spans="1:20" s="36" customFormat="1" x14ac:dyDescent="0.3">
      <c r="A64" s="30"/>
      <c r="E64" s="31"/>
      <c r="F64" s="31"/>
      <c r="G64" s="53"/>
      <c r="H64" s="33" t="s">
        <v>26</v>
      </c>
      <c r="I64" s="53">
        <f>F61+K61</f>
        <v>18665</v>
      </c>
      <c r="J64" s="34"/>
      <c r="K64" s="31"/>
      <c r="L64" s="32"/>
      <c r="M64" s="31"/>
      <c r="N64" s="32"/>
      <c r="O64" s="34"/>
      <c r="P64" s="34"/>
      <c r="Q64" s="34"/>
      <c r="R64" s="35"/>
    </row>
    <row r="65" spans="1:18" s="36" customFormat="1" x14ac:dyDescent="0.3">
      <c r="A65" s="30"/>
      <c r="E65" s="31"/>
      <c r="F65" s="31"/>
      <c r="G65" s="53"/>
      <c r="H65" s="33" t="s">
        <v>27</v>
      </c>
      <c r="I65" s="53">
        <f>H61+M61</f>
        <v>268003.13073611242</v>
      </c>
      <c r="J65" s="34"/>
      <c r="K65" s="31"/>
      <c r="L65" s="32"/>
      <c r="M65" s="31"/>
      <c r="N65" s="32"/>
      <c r="O65" s="34"/>
      <c r="P65" s="34"/>
      <c r="Q65" s="34"/>
      <c r="R65" s="35"/>
    </row>
    <row r="66" spans="1:18" x14ac:dyDescent="0.3">
      <c r="H66" s="55" t="s">
        <v>28</v>
      </c>
      <c r="I66" s="58">
        <f>I65/I64</f>
        <v>14.358592592344625</v>
      </c>
      <c r="R66" s="41"/>
    </row>
    <row r="67" spans="1:18" x14ac:dyDescent="0.3">
      <c r="H67" s="55" t="s">
        <v>29</v>
      </c>
      <c r="I67" s="56">
        <f>J61+O61</f>
        <v>18225.838890943822</v>
      </c>
    </row>
    <row r="68" spans="1:18" x14ac:dyDescent="0.3">
      <c r="H68" s="55" t="s">
        <v>8</v>
      </c>
      <c r="I68" s="56">
        <f>I67/I65</f>
        <v>6.8006067096618272E-2</v>
      </c>
      <c r="J68" s="57"/>
    </row>
    <row r="70" spans="1:18" x14ac:dyDescent="0.3">
      <c r="H70" s="55"/>
      <c r="I70" s="55"/>
    </row>
    <row r="71" spans="1:18" x14ac:dyDescent="0.3">
      <c r="H71" s="55"/>
      <c r="I71" s="62"/>
    </row>
    <row r="72" spans="1:18" ht="14.4" x14ac:dyDescent="0.3">
      <c r="A72" s="30"/>
      <c r="B72" s="36"/>
      <c r="C72" s="36"/>
      <c r="D72" s="36"/>
      <c r="E72" s="31"/>
      <c r="F72" s="39"/>
      <c r="G72" s="53"/>
      <c r="H72" s="33"/>
      <c r="I72" s="32"/>
    </row>
    <row r="73" spans="1:18" ht="14.4" x14ac:dyDescent="0.3">
      <c r="A73" s="30"/>
      <c r="B73" s="36"/>
      <c r="C73" s="36"/>
      <c r="D73" s="36"/>
      <c r="E73" s="31"/>
      <c r="F73" s="39"/>
      <c r="G73" s="53"/>
      <c r="H73" s="33"/>
      <c r="I73" s="32"/>
    </row>
    <row r="74" spans="1:18" ht="14.4" x14ac:dyDescent="0.3">
      <c r="A74" s="30"/>
      <c r="B74" s="36"/>
      <c r="C74" s="36"/>
      <c r="D74" s="36"/>
      <c r="E74" s="31"/>
      <c r="F74" s="39"/>
      <c r="G74" s="53"/>
      <c r="H74" s="33"/>
      <c r="I74" s="32"/>
    </row>
  </sheetData>
  <mergeCells count="22">
    <mergeCell ref="B60:C60"/>
    <mergeCell ref="A61:C61"/>
    <mergeCell ref="C2:C3"/>
    <mergeCell ref="B4:B6"/>
    <mergeCell ref="A4:A26"/>
    <mergeCell ref="A44:A60"/>
    <mergeCell ref="B43:C43"/>
    <mergeCell ref="A27:A43"/>
    <mergeCell ref="B27:B42"/>
    <mergeCell ref="B44:B59"/>
    <mergeCell ref="B8:B25"/>
    <mergeCell ref="B26:C26"/>
    <mergeCell ref="A1:B1"/>
    <mergeCell ref="D2:D3"/>
    <mergeCell ref="P2:P3"/>
    <mergeCell ref="Q2:Q3"/>
    <mergeCell ref="R2:R3"/>
    <mergeCell ref="E2:E3"/>
    <mergeCell ref="F2:J2"/>
    <mergeCell ref="K2:O2"/>
    <mergeCell ref="B2:B3"/>
    <mergeCell ref="A2:A3"/>
  </mergeCells>
  <pageMargins left="0.25" right="0.25" top="0.75" bottom="0.75" header="0.3" footer="0.3"/>
  <pageSetup paperSize="5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C1F6D714D7B443B15B81272EDA2770" ma:contentTypeVersion="4" ma:contentTypeDescription="Create a new document." ma:contentTypeScope="" ma:versionID="3827c8fb6c474271fc7ab50ac103ca60">
  <xsd:schema xmlns:xsd="http://www.w3.org/2001/XMLSchema" xmlns:xs="http://www.w3.org/2001/XMLSchema" xmlns:p="http://schemas.microsoft.com/office/2006/metadata/properties" xmlns:ns2="0fb3dce1-3dea-4756-8cd8-b33dd5816c80" targetNamespace="http://schemas.microsoft.com/office/2006/metadata/properties" ma:root="true" ma:fieldsID="ee57824292d23662120e940f1374a3a5" ns2:_="">
    <xsd:import namespace="0fb3dce1-3dea-4756-8cd8-b33dd5816c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3dce1-3dea-4756-8cd8-b33dd5816c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A1943E-BBD6-4FEE-A678-535DC794C2C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78227E-9123-484B-B380-86FD668FB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780E49-3FDF-4E8B-A7EC-DA1A5772E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3dce1-3dea-4756-8cd8-b33dd5816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Full burden table</vt:lpstr>
      <vt:lpstr>'Full burden table'!Print_Area</vt:lpstr>
    </vt:vector>
  </TitlesOfParts>
  <Company>Abt Associates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Bumgarner</dc:creator>
  <cp:lastModifiedBy>Franklin, Jamia - FNS</cp:lastModifiedBy>
  <cp:lastPrinted>2018-10-23T20:02:09Z</cp:lastPrinted>
  <dcterms:created xsi:type="dcterms:W3CDTF">2016-02-23T18:57:18Z</dcterms:created>
  <dcterms:modified xsi:type="dcterms:W3CDTF">2025-02-28T17:25:31Z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d3856eaa21ca43919b0a8c1d41d0631b</vt:lpwstr>
  </property>
  <property fmtid="{D5CDD505-2E9C-101B-9397-08002B2CF9AE}" pid="3" name="ContentTypeId">
    <vt:lpwstr>0x0101004DC1F6D714D7B443B15B81272EDA2770</vt:lpwstr>
  </property>
</Properties>
</file>