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codeName="{26A90621-87C4-6C01-FD6A-EE6E7C140903}"/>
  <workbookPr codeName="ThisWorkbook" autoCompressPictures="0"/>
  <mc:AlternateContent xmlns:mc="http://schemas.openxmlformats.org/markup-compatibility/2006">
    <mc:Choice Requires="x15">
      <x15ac:absPath xmlns:x15ac="http://schemas.microsoft.com/office/spreadsheetml/2010/11/ac" url="C:\Users\tjarvis\Desktop\"/>
    </mc:Choice>
  </mc:AlternateContent>
  <xr:revisionPtr revIDLastSave="0" documentId="13_ncr:1_{8A85060E-297E-42EE-8B80-93DA81481E6A}" xr6:coauthVersionLast="47" xr6:coauthVersionMax="47" xr10:uidLastSave="{00000000-0000-0000-0000-000000000000}"/>
  <bookViews>
    <workbookView xWindow="-120" yWindow="-120" windowWidth="29040" windowHeight="15720" tabRatio="849" xr2:uid="{00000000-000D-0000-FFFF-FFFF00000000}"/>
  </bookViews>
  <sheets>
    <sheet name="Instructions" sheetId="39" r:id="rId1"/>
    <sheet name="Enter Data Msg" sheetId="40" state="veryHidden" r:id="rId2"/>
    <sheet name="Edit Narrative" sheetId="44" state="veryHidden" r:id="rId3"/>
    <sheet name="Select STRs" sheetId="43" state="veryHidden" r:id="rId4"/>
    <sheet name="Select NPIs" sheetId="42" state="veryHidden" r:id="rId5"/>
    <sheet name="Status Form Print" sheetId="38" state="veryHidden" r:id="rId6"/>
    <sheet name="Status Form" sheetId="34" r:id="rId7"/>
    <sheet name="CNPIs Employment" sheetId="19" state="hidden" r:id="rId8"/>
    <sheet name="CNPIs Education" sheetId="26" state="hidden" r:id="rId9"/>
    <sheet name="CNPIs Infrastructure Asset" sheetId="27" state="hidden" r:id="rId10"/>
    <sheet name="CNPIs Housing" sheetId="28" state="hidden" r:id="rId11"/>
    <sheet name="CNPIs Health and Social" sheetId="31" state="hidden" r:id="rId12"/>
    <sheet name="CNPIs G2 Civic Engagement" sheetId="32" state="hidden" r:id="rId13"/>
    <sheet name="CNPIs G3 Civic Engagement" sheetId="33" state="hidden" r:id="rId14"/>
    <sheet name="CNPIs List" sheetId="45" r:id="rId15"/>
    <sheet name="Strategies List" sheetId="12" r:id="rId16"/>
    <sheet name="XML Export Map" sheetId="37" state="veryHidden" r:id="rId17"/>
    <sheet name="Lookups" sheetId="9" state="veryHidden" r:id="rId18"/>
  </sheets>
  <functionGroups builtInGroupCount="19"/>
  <definedNames>
    <definedName name="_xlnm._FilterDatabase" localSheetId="3" hidden="1">'Select STRs'!$Z$1:$AB$135</definedName>
    <definedName name="cbCIVG" hidden="1">Lookups!$M$29</definedName>
    <definedName name="cbEDU" hidden="1">Lookups!$M$21</definedName>
    <definedName name="cbEMP" hidden="1">Lookups!$M$19</definedName>
    <definedName name="cbHLTH" hidden="1">Lookups!$M$27</definedName>
    <definedName name="cbHOU" hidden="1">Lookups!$M$25</definedName>
    <definedName name="cbINF" hidden="1">Lookups!$M$23</definedName>
    <definedName name="checkBoxValues" localSheetId="4" hidden="1">'Select NPIs'!$AB$1</definedName>
    <definedName name="checkBoxValues" localSheetId="3" hidden="1">'Select STRs'!$AB$1</definedName>
    <definedName name="cmdDisabled" localSheetId="4" hidden="1">'Select NPIs'!$AI$2:$AI$7</definedName>
    <definedName name="cmdDisabled" localSheetId="3" hidden="1">'Select STRs'!$AI$2:$AI$9</definedName>
    <definedName name="cmdSetting" localSheetId="4" hidden="1">'Select NPIs'!$AH$2:$AH$7</definedName>
    <definedName name="cmdSetting" localSheetId="3" hidden="1">'Select STRs'!$AH$2:$AH$9</definedName>
    <definedName name="cmdTable" localSheetId="4" hidden="1">'Select NPIs'!$AG$2:$AG$7</definedName>
    <definedName name="cmdTable" localSheetId="3" hidden="1">'Select STRs'!$AG$2:$AG$9</definedName>
    <definedName name="Community" hidden="1">Lookups!$H$4:$H$12</definedName>
    <definedName name="Domains" hidden="1">Lookups!$F$4:$F$9</definedName>
    <definedName name="EditText_FieldName" hidden="1">'Edit Narrative'!$X$4</definedName>
    <definedName name="EditText_MaxLength" hidden="1">'Edit Narrative'!$X$6</definedName>
    <definedName name="EditText_Status" hidden="1">'Edit Narrative'!$X$5</definedName>
    <definedName name="EditText_Text" hidden="1">'Edit Narrative'!$B$3</definedName>
    <definedName name="EditText_WsName" hidden="1">'Edit Narrative'!$X$3</definedName>
    <definedName name="Expected_Duration" hidden="1">Lookups!$C$4:$C$11</definedName>
    <definedName name="Expected_Duration_To" hidden="1">Lookups!$D$4:$D$11</definedName>
    <definedName name="fieldNameCol" localSheetId="6" hidden="1">'Status Form'!$Z$9</definedName>
    <definedName name="Final_Status" hidden="1">Lookups!$J$15:$J$19</definedName>
    <definedName name="hideShow" localSheetId="4" hidden="1">'Select NPIs'!$Z$2:$Z$116</definedName>
    <definedName name="hideShow" localSheetId="3" hidden="1">'Select STRs'!$Z$2:$Z$135</definedName>
    <definedName name="M3_A_EditAddress" hidden="1">'Status Form'!$T$2</definedName>
    <definedName name="M3_A_EditArea" hidden="1">'Status Form'!$G$9</definedName>
    <definedName name="M3_A_EditQuestion" hidden="1">'Status Form'!$I$7</definedName>
    <definedName name="M3_A_MaxLength" hidden="1">'Status Form'!$T$3</definedName>
    <definedName name="M3_A11_Strategy" hidden="1">'Status Form'!$C$21</definedName>
    <definedName name="M3_A14_Reported" hidden="1">'Status Form'!$C$24</definedName>
    <definedName name="M3_A5_Domain" hidden="1">'Status Form'!$C$14</definedName>
    <definedName name="M3_A6_Outcomes" hidden="1">'Status Form'!$C$15</definedName>
    <definedName name="M3_A7_OtherCommunity" hidden="1">'Status Form'!$C$17</definedName>
    <definedName name="M3A10Partners" hidden="1">'Status Form'!$C$20</definedName>
    <definedName name="M3A111aMinWage" hidden="1">'XML Export Map'!$D$739</definedName>
    <definedName name="M3A111bJobCreation" hidden="1">'XML Export Map'!$D$740</definedName>
    <definedName name="M3A111cJobFairs" hidden="1">'XML Export Map'!$D$741</definedName>
    <definedName name="M3A111dEITC" hidden="1">'XML Export Map'!$D$742</definedName>
    <definedName name="M3A111eCommSpace" hidden="1">'XML Export Map'!$D$743</definedName>
    <definedName name="M3A111fEmployerEd" hidden="1">'XML Export Map'!$D$744</definedName>
    <definedName name="M3A111gEmplPolChng" hidden="1">'XML Export Map'!$D$745</definedName>
    <definedName name="M3A111hEmplLegChng" hidden="1">'XML Export Map'!$D$746</definedName>
    <definedName name="M3A111i1EmployOther" hidden="1">'XML Export Map'!$D$747</definedName>
    <definedName name="M3A111i1EmployOtherText" hidden="1">'XML Export Map'!$D$748</definedName>
    <definedName name="M3A112aPreschool" hidden="1">'XML Export Map'!$D$750</definedName>
    <definedName name="M3A112bCharterSch" hidden="1">'XML Export Map'!$D$751</definedName>
    <definedName name="M3A112cEnrichAct" hidden="1">'XML Export Map'!$D$752</definedName>
    <definedName name="M3A112dPreK" hidden="1">'XML Export Map'!$D$753</definedName>
    <definedName name="M3A112eTrustFund" hidden="1">'XML Export Map'!$D$754</definedName>
    <definedName name="M3A112fScholarship" hidden="1">'XML Export Map'!$D$755</definedName>
    <definedName name="M3A112gCTC" hidden="1">'XML Export Map'!$D$756</definedName>
    <definedName name="M3A112hAdoptChildCare" hidden="1">'XML Export Map'!$D$757</definedName>
    <definedName name="M3A112iAdultEd" hidden="1">'XML Export Map'!$D$758</definedName>
    <definedName name="M3A112jEdCogDevPol" hidden="1">'XML Export Map'!$D$759</definedName>
    <definedName name="M3A112kEdCogDevLeg" hidden="1">'XML Export Map'!$D$760</definedName>
    <definedName name="M3A112l1EdCogDevOther" hidden="1">'XML Export Map'!$D$761</definedName>
    <definedName name="M3A112l1EdCogDevOtherText" hidden="1">'XML Export Map'!$D$762</definedName>
    <definedName name="M3A113aCulturalAsset" hidden="1">'XML Export Map'!$D$764</definedName>
    <definedName name="M3A113bPolCommRel" hidden="1">'XML Export Map'!$D$765</definedName>
    <definedName name="M3A113cNeighborhoodWatch" hidden="1">'XML Export Map'!$D$766</definedName>
    <definedName name="M3A113dPredLend" hidden="1">'XML Export Map'!$D$767</definedName>
    <definedName name="M3A113eAssetBuild" hidden="1">'XML Export Map'!$D$768</definedName>
    <definedName name="M3A113fDevSpaces" hidden="1">'XML Export Map'!$D$769</definedName>
    <definedName name="M3A113gIncomeTaxPrep" hidden="1">'XML Export Map'!$D$770</definedName>
    <definedName name="M3A113hDataCollSys" hidden="1">'XML Export Map'!$D$771</definedName>
    <definedName name="M3A113iLocal211" hidden="1">'XML Export Map'!$D$772</definedName>
    <definedName name="M3A113jWaterSys" hidden="1">'XML Export Map'!$D$773</definedName>
    <definedName name="M3A113kFinInstitution" hidden="1">'XML Export Map'!$D$774</definedName>
    <definedName name="M3A113lInfrastrucPlan" hidden="1">'XML Export Map'!$D$775</definedName>
    <definedName name="M3A113mParkRec" hidden="1">'XML Export Map'!$D$776</definedName>
    <definedName name="M3A113nWxnHouseStock" hidden="1">'XML Export Map'!$D$777</definedName>
    <definedName name="M3A113oCommCenter" hidden="1">'XML Export Map'!$D$778</definedName>
    <definedName name="M3A113pBenPolicyChanges" hidden="1">'XML Export Map'!$D$779</definedName>
    <definedName name="M3A113qPolChanges" hidden="1">'XML Export Map'!$D$780</definedName>
    <definedName name="M3A113rLegChanges" hidden="1">'XML Export Map'!$D$781</definedName>
    <definedName name="M3A113s1InfrastrAssetOther" hidden="1">'XML Export Map'!$D$782</definedName>
    <definedName name="M3A113s1InfrastrAssetOtherText" hidden="1">'XML Export Map'!$D$783</definedName>
    <definedName name="M3A114aChronicHomeless" hidden="1">'XML Export Map'!$D$785</definedName>
    <definedName name="M3A114bAffordSingleUnit" hidden="1">'XML Export Map'!$D$786</definedName>
    <definedName name="M3A114cAffordMultiUnit" hidden="1">'XML Export Map'!$D$787</definedName>
    <definedName name="M3A114dTenantRights" hidden="1">'XML Export Map'!$D$788</definedName>
    <definedName name="M3A114eShelterCreation" hidden="1">'XML Export Map'!$D$789</definedName>
    <definedName name="M3A114fLandTrust" hidden="1">'XML Export Map'!$D$790</definedName>
    <definedName name="M3A114gBuildCodes" hidden="1">'XML Export Map'!$D$791</definedName>
    <definedName name="M3A114hHousePolChanges" hidden="1">'XML Export Map'!$D$792</definedName>
    <definedName name="M3A114iHouseLegChanges" hidden="1">'XML Export Map'!$D$793</definedName>
    <definedName name="M3A114j1HousingOther" hidden="1">'XML Export Map'!$D$794</definedName>
    <definedName name="M3A114j1HousingOtherText" hidden="1">'XML Export Map'!$D$795</definedName>
    <definedName name="M3A115aHealthCampaign" hidden="1">'XML Export Map'!$D$797</definedName>
    <definedName name="M3A115bFarmMarket" hidden="1">'XML Export Map'!$D$798</definedName>
    <definedName name="M3A115cGrocStore" hidden="1">'XML Export Map'!$D$799</definedName>
    <definedName name="M3A115dGunSafety" hidden="1">'XML Export Map'!$D$800</definedName>
    <definedName name="M3A115eHealthyFood" hidden="1">'XML Export Map'!$D$801</definedName>
    <definedName name="M3A115fNutritionEd" hidden="1">'XML Export Map'!$D$802</definedName>
    <definedName name="M3A115gFoodBank" hidden="1">'XML Export Map'!$D$803</definedName>
    <definedName name="M3A115hDomViolenceCourt" hidden="1">'XML Export Map'!$D$804</definedName>
    <definedName name="M3A115iDrugCourt" hidden="1">'XML Export Map'!$D$805</definedName>
    <definedName name="M3A115jAltEnergy" hidden="1">'XML Export Map'!$D$806</definedName>
    <definedName name="M3A115kHealthClinic" hidden="1">'XML Export Map'!$D$807</definedName>
    <definedName name="M3A115lHealthPolChanges" hidden="1">'XML Export Map'!$D$808</definedName>
    <definedName name="M3A115mHealthLegChanges" hidden="1">'XML Export Map'!$D$809</definedName>
    <definedName name="M3A115n1HealthOther" hidden="1">'XML Export Map'!$D$810</definedName>
    <definedName name="M3A115n1HealthOtherText" hidden="1">'XML Export Map'!$D$811</definedName>
    <definedName name="M3A116G2aHealthSocService" hidden="1">'XML Export Map'!$D$813</definedName>
    <definedName name="M3A116G2bCommVolunteer" hidden="1">'XML Export Map'!$D$814</definedName>
    <definedName name="M3A116G2cPovSim" hidden="1">'XML Export Map'!$D$815</definedName>
    <definedName name="M3A116G2dCapInvest" hidden="1">'XML Export Map'!$D$816</definedName>
    <definedName name="M3A116G2eIncrEquity" hidden="1">'XML Export Map'!$D$817</definedName>
    <definedName name="M3A116G2fEquityAware" hidden="1">'XML Export Map'!$D$818</definedName>
    <definedName name="M3A116G2gNeedsAssess" hidden="1">'XML Export Map'!$D$819</definedName>
    <definedName name="M3A116G2hAdvocEffort" hidden="1">'XML Export Map'!$D$820</definedName>
    <definedName name="M3A116G2iCivicEngPolChanges" hidden="1">'XML Export Map'!$D$821</definedName>
    <definedName name="M3A116G2jCivicEngLegChanges" hidden="1">'XML Export Map'!$D$822</definedName>
    <definedName name="M3A116G2k1CivicEngOther" hidden="1">'XML Export Map'!$D$823</definedName>
    <definedName name="M3A116G2k1CivicEngOtherText" hidden="1">'XML Export Map'!$D$824</definedName>
    <definedName name="M3A116G3aEmpowerLI" hidden="1">'XML Export Map'!$D$826</definedName>
    <definedName name="M3A116G3bLocalGovBodies" hidden="1">'XML Export Map'!$D$827</definedName>
    <definedName name="M3A116G3cSocCapBuild" hidden="1">'XML Export Map'!$D$828</definedName>
    <definedName name="M3A116G3dVolPlacement" hidden="1">'XML Export Map'!$D$829</definedName>
    <definedName name="M3A116G3eCivicEngPolChanges" hidden="1">'XML Export Map'!$D$830</definedName>
    <definedName name="M3A116G3fCivicEngLegChanges" hidden="1">'XML Export Map'!$D$831</definedName>
    <definedName name="M3A116G3g1CivicEngOther" hidden="1">'XML Export Map'!$D$832</definedName>
    <definedName name="M3A116G3g1CivicEngOtherText" hidden="1">'XML Export Map'!$D$833</definedName>
    <definedName name="M3A117aOffHrChildCare" hidden="1">'XML Export Map'!$D$835</definedName>
    <definedName name="M3A117bTransportSys" hidden="1">'XML Export Map'!$D$836</definedName>
    <definedName name="M3A117cTransportServ" hidden="1">'XML Export Map'!$D$837</definedName>
    <definedName name="M3A117dCommSuppPolChanges" hidden="1">'XML Export Map'!$D$838</definedName>
    <definedName name="M3A117eCommSuppLegChanges" hidden="1">'XML Export Map'!$D$839</definedName>
    <definedName name="M3A117f1CommSuppOther" hidden="1">'XML Export Map'!$D$840</definedName>
    <definedName name="M3A117f1CommSuppOtherText" hidden="1">'XML Export Map'!$D$841</definedName>
    <definedName name="M3A118aEmerMan" hidden="1">'XML Export Map'!$D$843</definedName>
    <definedName name="M3A118bEmerDisRelief" hidden="1">'XML Export Map'!$D$844</definedName>
    <definedName name="M3A118cDisPrepPlan" hidden="1">'XML Export Map'!$D$845</definedName>
    <definedName name="M3A118dEmerManPolChanges" hidden="1">'XML Export Map'!$D$846</definedName>
    <definedName name="M3A118eEmerManLegChanges" hidden="1">'XML Export Map'!$D$847</definedName>
    <definedName name="M3A118f1EmerManOther" hidden="1">'XML Export Map'!$D$848</definedName>
    <definedName name="M3A118f1EmerManOtherText" hidden="1">'XML Export Map'!$D$849</definedName>
    <definedName name="M3A12Progress" hidden="1">'Status Form'!$C$22</definedName>
    <definedName name="M3A13Impact" hidden="1">'Status Form'!$C$23</definedName>
    <definedName name="M3A15Status" hidden="1">'Status Form'!$C$25</definedName>
    <definedName name="M3A16Lessons" hidden="1">'Status Form'!$C$26</definedName>
    <definedName name="M3A1InitiativeName" hidden="1">'Status Form'!$C$10</definedName>
    <definedName name="M3A2InitiativeYear" hidden="1">'Status Form'!$C$11</definedName>
    <definedName name="M3A3ProblemID" hidden="1">'Status Form'!$C$12</definedName>
    <definedName name="M3A4Goal" hidden="1">'Status Form'!$C$13</definedName>
    <definedName name="M3A61aJobIncrOpp" hidden="1">'XML Export Map'!$D$641</definedName>
    <definedName name="M3A61bJobOppMain" hidden="1">'XML Export Map'!$D$642</definedName>
    <definedName name="M3A61cLivWageCreate" hidden="1">'XML Export Map'!$D$643</definedName>
    <definedName name="M3A61dLivWageMain" hidden="1">'XML Export Map'!$D$644</definedName>
    <definedName name="M3A61eBenPack" hidden="1">'XML Export Map'!$D$645</definedName>
    <definedName name="M3A61fUnemployRate" hidden="1">'XML Export Map'!$D$647</definedName>
    <definedName name="M3A61gYouthUnemployRate" hidden="1">'XML Export Map'!$D$648</definedName>
    <definedName name="M3A61hYouthUnemployRate" hidden="1">'XML Export Map'!$D$649</definedName>
    <definedName name="M3A61z1OtherEmploy" hidden="1">'XML Export Map'!$D$646</definedName>
    <definedName name="M3A61z6OtherEmploy" hidden="1">'XML Export Map'!$D$650</definedName>
    <definedName name="M3A62aPreSchool" hidden="1">'XML Export Map'!$D$652</definedName>
    <definedName name="M3A62bAffordCare" hidden="1">'XML Export Map'!$D$653</definedName>
    <definedName name="M3A62cScreenings" hidden="1">'XML Export Map'!$D$654</definedName>
    <definedName name="M3A62dSchoolAge" hidden="1">'XML Export Map'!$D$655</definedName>
    <definedName name="M3A62ePostSecondary" hidden="1">'XML Export Map'!$D$656</definedName>
    <definedName name="M3A62fBasicEd" hidden="1">'XML Export Map'!$D$657</definedName>
    <definedName name="M3A62gKindReady" hidden="1">'XML Export Map'!$D$659</definedName>
    <definedName name="M3A62hBasicReadLvl" hidden="1">'XML Export Map'!$D$660</definedName>
    <definedName name="M3A62iBasicMathLvl" hidden="1">'XML Export Map'!$D$661</definedName>
    <definedName name="M3A62jGradRate" hidden="1">'XML Export Map'!$D$662</definedName>
    <definedName name="M3A62kYouthPostSecAttend" hidden="1">'XML Export Map'!$D$663</definedName>
    <definedName name="M3A62lYouthPostSecGrad" hidden="1">'XML Export Map'!$D$664</definedName>
    <definedName name="M3A62mAdultPostSecAttend" hidden="1">'XML Export Map'!$D$665</definedName>
    <definedName name="M3A62nAdultPostSecGrad" hidden="1">'XML Export Map'!$D$666</definedName>
    <definedName name="M3A62oLitRate" hidden="1">'XML Export Map'!$D$667</definedName>
    <definedName name="M3A62z1OtherEdCogDev" hidden="1">'XML Export Map'!$D$658</definedName>
    <definedName name="M3A62z6OtherEdCogDev" hidden="1">'XML Export Map'!$D$668</definedName>
    <definedName name="M3A63a1Commercial" hidden="1">'XML Export Map'!$D$670</definedName>
    <definedName name="M3A63a2Financial" hidden="1">'XML Export Map'!$D$671</definedName>
    <definedName name="M3A63a3TechComm" hidden="1">'XML Export Map'!$D$672</definedName>
    <definedName name="M3A63a4Transportation" hidden="1">'XML Export Map'!$D$673</definedName>
    <definedName name="M3A63a5Recreational" hidden="1">'XML Export Map'!$D$674</definedName>
    <definedName name="M3A63a6OtherPublic" hidden="1">'XML Export Map'!$D$675</definedName>
    <definedName name="M3A63b1Commercial" hidden="1">'XML Export Map'!$D$676</definedName>
    <definedName name="M3A63b2Financial" hidden="1">'XML Export Map'!$D$677</definedName>
    <definedName name="M3A63b3TechComm" hidden="1">'XML Export Map'!$D$678</definedName>
    <definedName name="M3A63b4Transportation" hidden="1">'XML Export Map'!$D$679</definedName>
    <definedName name="M3A63b5Recreational" hidden="1">'XML Export Map'!$D$680</definedName>
    <definedName name="M3A63b6OtherPublic" hidden="1">'XML Export Map'!$D$681</definedName>
    <definedName name="M3A63cAbandonBuild" hidden="1">'XML Export Map'!$D$683</definedName>
    <definedName name="M3A63dEmerRespTime" hidden="1">'XML Export Map'!$D$684</definedName>
    <definedName name="M3A63ePredLend" hidden="1">'XML Export Map'!$D$685</definedName>
    <definedName name="M3A63fEnvirThreat" hidden="1">'XML Export Map'!$D$686</definedName>
    <definedName name="M3A63gTransportService" hidden="1">'XML Export Map'!$D$687</definedName>
    <definedName name="M3A63z1OtherInfraAsset" hidden="1">'XML Export Map'!$D$682</definedName>
    <definedName name="M3A63z6OtherInfraAsset" hidden="1">'XML Export Map'!$D$688</definedName>
    <definedName name="M3A64aSafeHousDev" hidden="1">'XML Export Map'!$D$690</definedName>
    <definedName name="M3A64bSafeHousMain" hidden="1">'XML Export Map'!$D$691</definedName>
    <definedName name="M3A64cShelterBedCreate" hidden="1">'XML Export Map'!$D$692</definedName>
    <definedName name="M3A64dShelterBedMain" hidden="1">'XML Export Map'!$D$693</definedName>
    <definedName name="M3A64eHomeless" hidden="1">'XML Export Map'!$D$695</definedName>
    <definedName name="M3A64fForecloseRate" hidden="1">'XML Export Map'!$D$696</definedName>
    <definedName name="M3A64gHomeOwn" hidden="1">'XML Export Map'!$D$697</definedName>
    <definedName name="M3A64hAffordHouse" hidden="1">'XML Export Map'!$D$698</definedName>
    <definedName name="M3A64iShelterBed" hidden="1">'XML Export Map'!$D$699</definedName>
    <definedName name="M3A64z1OtherHousing" hidden="1">'XML Export Map'!$D$694</definedName>
    <definedName name="M3A64z6OtherHousing" hidden="1">'XML Export Map'!$D$700</definedName>
    <definedName name="M3A65aPhysHealth" hidden="1">'XML Export Map'!$D$702</definedName>
    <definedName name="M3A65bMentHealth" hidden="1">'XML Export Map'!$D$703</definedName>
    <definedName name="M3A65cPubSafe" hidden="1">'XML Export Map'!$D$704</definedName>
    <definedName name="M3A65dFoodResource" hidden="1">'XML Export Map'!$D$705</definedName>
    <definedName name="M3A65eCommRel" hidden="1">'XML Export Map'!$D$706</definedName>
    <definedName name="M3A65fMortRate" hidden="1">'XML Export Map'!$D$708</definedName>
    <definedName name="M3A65gChildObesRate" hidden="1">'XML Export Map'!$D$709</definedName>
    <definedName name="M3A65hAdultObesRate" hidden="1">'XML Export Map'!$D$710</definedName>
    <definedName name="M3A65iImmunRate" hidden="1">'XML Export Map'!$D$711</definedName>
    <definedName name="M3A65jUninsuredFam" hidden="1">'XML Export Map'!$D$712</definedName>
    <definedName name="M3A65kTeenPreg" hidden="1">'XML Export Map'!$D$713</definedName>
    <definedName name="M3A65lUnplanPreg" hidden="1">'XML Export Map'!$D$714</definedName>
    <definedName name="M3A65mSubAbuse" hidden="1">'XML Export Map'!$D$715</definedName>
    <definedName name="M3A65nDomViolence" hidden="1">'XML Export Map'!$D$716</definedName>
    <definedName name="M3A65oChildAbuse" hidden="1">'XML Export Map'!$D$717</definedName>
    <definedName name="M3A65pChildNeglect" hidden="1">'XML Export Map'!$D$718</definedName>
    <definedName name="M3A65qElderAbuse" hidden="1">'XML Export Map'!$D$719</definedName>
    <definedName name="M3A65rElderNeglect" hidden="1">'XML Export Map'!$D$720</definedName>
    <definedName name="M3A65sRecidivism" hidden="1">'XML Export Map'!$D$721</definedName>
    <definedName name="M3A65tNonViolCrime" hidden="1">'XML Export Map'!$D$722</definedName>
    <definedName name="M3A65uViolCrime" hidden="1">'XML Export Map'!$D$723</definedName>
    <definedName name="M3A65vJuvenileCourt" hidden="1">'XML Export Map'!$D$724</definedName>
    <definedName name="M3A65z1OtherHealthSoc" hidden="1">'XML Export Map'!$D$707</definedName>
    <definedName name="M3A65z6OtherHealthSoc" hidden="1">'XML Export Map'!$D$725</definedName>
    <definedName name="M3A66G2aDonatedTime" hidden="1">'XML Export Map'!$D$727</definedName>
    <definedName name="M3A66G2bDonatedResources" hidden="1">'XML Export Map'!$D$728</definedName>
    <definedName name="M3A66G2cPeoplePart" hidden="1">'XML Export Map'!$D$729</definedName>
    <definedName name="M3A66G2z1OtherCivicEng" hidden="1">'XML Export Map'!$D$730</definedName>
    <definedName name="M3A66G2z6OtherCivicEng" hidden="1">'XML Export Map'!$D$731</definedName>
    <definedName name="M3A66G3aSupplImpl" hidden="1">'XML Export Map'!$D$733</definedName>
    <definedName name="M3A66G3bLeadRole" hidden="1">'XML Export Map'!$D$734</definedName>
    <definedName name="M3A66G3z1OtherCivicEng" hidden="1">'XML Export Map'!$D$735</definedName>
    <definedName name="M3A66G3z6OtherCivicEng" hidden="1">'XML Export Map'!$D$736</definedName>
    <definedName name="M3A7Community" hidden="1">'Status Form'!$C$16</definedName>
    <definedName name="M3A7CommunityOther" hidden="1">'Status Form'!$D$17</definedName>
    <definedName name="M3A8Duration" hidden="1">'Status Form'!$C$18</definedName>
    <definedName name="M3A9PartnerType" hidden="1">'Status Form'!$C$19</definedName>
    <definedName name="M3AgencyName" hidden="1">'Status Form'!$C$3</definedName>
    <definedName name="M3B1aJobIncrOppAccuracy" hidden="1">'CNPIs Employment'!$L$9</definedName>
    <definedName name="M3B1aJobIncrOppResults" hidden="1">'CNPIs Employment'!$K$9</definedName>
    <definedName name="M3B1aJobIncrOppTarget" hidden="1">'CNPIs Employment'!$J$9</definedName>
    <definedName name="M3B1bJobOppMainAccuracy" hidden="1">'CNPIs Employment'!$L$10</definedName>
    <definedName name="M3B1bJobOppMainResults" hidden="1">'CNPIs Employment'!$K$10</definedName>
    <definedName name="M3B1bJobOppMainTarget" hidden="1">'CNPIs Employment'!$J$10</definedName>
    <definedName name="M3B1cLivWageCreateAccuracy" hidden="1">'CNPIs Employment'!$L$11</definedName>
    <definedName name="M3B1cLivWageCreateResults" hidden="1">'CNPIs Employment'!$K$11</definedName>
    <definedName name="M3B1cLivWageCreateTarget" hidden="1">'CNPIs Employment'!$J$11</definedName>
    <definedName name="M3B1Comments" hidden="1">'CNPIs Employment'!$B$32</definedName>
    <definedName name="M3B1dLivWageMainAccuracy" hidden="1">'CNPIs Employment'!$L$12</definedName>
    <definedName name="M3B1dLivWageMainResults" hidden="1">'CNPIs Employment'!$K$12</definedName>
    <definedName name="M3B1dLivWageMainTarget" hidden="1">'CNPIs Employment'!$J$12</definedName>
    <definedName name="M3B1eBenPackAccuracy" hidden="1">'CNPIs Employment'!$L$13</definedName>
    <definedName name="M3B1eBenPackResults" hidden="1">'CNPIs Employment'!$K$13</definedName>
    <definedName name="M3B1eBenPackTarget" hidden="1">'CNPIs Employment'!$J$13</definedName>
    <definedName name="M3B1fUnemployRateAccuracy" hidden="1">'CNPIs Employment'!$L$22</definedName>
    <definedName name="M3B1fUnemployRateActualChng" hidden="1">'CNPIs Employment'!$K$22</definedName>
    <definedName name="M3B1fUnemployRateBaseline" hidden="1">'CNPIs Employment'!$G$22</definedName>
    <definedName name="M3B1fUnemployRateExpectChng" hidden="1">'CNPIs Employment'!$I$22</definedName>
    <definedName name="M3B1fUnemployRateResults" hidden="1">'CNPIs Employment'!$J$22</definedName>
    <definedName name="M3B1fUnemployRateTarget" hidden="1">'CNPIs Employment'!$H$22</definedName>
    <definedName name="M3B1gYouthUnemployRateAccuracy" hidden="1">'CNPIs Employment'!$L$23</definedName>
    <definedName name="M3B1gYouthUnemployRateActualChng" hidden="1">'CNPIs Employment'!$K$23</definedName>
    <definedName name="M3B1gYouthUnemployRateBaseline" hidden="1">'CNPIs Employment'!$G$23</definedName>
    <definedName name="M3B1gYouthUnemployRateExpectChng" hidden="1">'CNPIs Employment'!$I$23</definedName>
    <definedName name="M3B1gYouthUnemployRateResults" hidden="1">'CNPIs Employment'!$J$23</definedName>
    <definedName name="M3B1gYouthUnemployRateTarget" hidden="1">'CNPIs Employment'!$H$23</definedName>
    <definedName name="M3B1hUnderemployRateAccuracy" hidden="1">'CNPIs Employment'!$L$24</definedName>
    <definedName name="M3B1hUnderemployRateActualChng" hidden="1">'CNPIs Employment'!$K$24</definedName>
    <definedName name="M3B1hUnderemployRateBaseline" hidden="1">'CNPIs Employment'!$G$24</definedName>
    <definedName name="M3B1hUnderemployRateExpectChng" hidden="1">'CNPIs Employment'!$I$24</definedName>
    <definedName name="M3B1hUnderemployRateResults" hidden="1">'CNPIs Employment'!$J$24</definedName>
    <definedName name="M3B1hUnderemployRateTarget" hidden="1">'CNPIs Employment'!$H$24</definedName>
    <definedName name="M3B1z1OtherEmploy1Accuracy" hidden="1">'CNPIs Employment'!$L$17</definedName>
    <definedName name="M3B1z1OtherEmploy1Name" hidden="1">'CNPIs Employment'!$C$17</definedName>
    <definedName name="M3B1z1OtherEmploy1Results" hidden="1">'CNPIs Employment'!$K$17</definedName>
    <definedName name="M3B1z1OtherEmploy1Target" hidden="1">'CNPIs Employment'!$J$17</definedName>
    <definedName name="M3B1z2OtherEmploy2Accuracy" hidden="1">'CNPIs Employment'!$L$18</definedName>
    <definedName name="M3B1z2OtherEmploy2Name" hidden="1">'CNPIs Employment'!$C$18</definedName>
    <definedName name="M3B1z2OtherEmploy2Results" hidden="1">'CNPIs Employment'!$K$18</definedName>
    <definedName name="M3B1z2OtherEmploy2Target" hidden="1">'CNPIs Employment'!$J$18</definedName>
    <definedName name="M3B1z3OtherEmploy3Accuracy" hidden="1">'CNPIs Employment'!$L$19</definedName>
    <definedName name="M3B1z3OtherEmploy3Name" hidden="1">'CNPIs Employment'!$C$19</definedName>
    <definedName name="M3B1z3OtherEmploy3Results" hidden="1">'CNPIs Employment'!$K$19</definedName>
    <definedName name="M3B1z3OtherEmploy3Target" hidden="1">'CNPIs Employment'!$J$19</definedName>
    <definedName name="M3B1z4OtherEmploy4Accuracy" hidden="1">'CNPIs Employment'!$L$27</definedName>
    <definedName name="M3B1z4OtherEmploy4ActualChng" hidden="1">'CNPIs Employment'!$K$27</definedName>
    <definedName name="M3B1z4OtherEmploy4Baseline" hidden="1">'CNPIs Employment'!$G$27</definedName>
    <definedName name="M3B1z4OtherEmploy4ExpectChng" hidden="1">'CNPIs Employment'!$I$27</definedName>
    <definedName name="M3B1z4OtherEmploy4Name" hidden="1">'CNPIs Employment'!$C$27</definedName>
    <definedName name="M3B1z4OtherEmploy4Results" hidden="1">'CNPIs Employment'!$J$27</definedName>
    <definedName name="M3B1z4OtherEmploy4Target" hidden="1">'CNPIs Employment'!$H$27</definedName>
    <definedName name="M3B1z5OtherEmploy5Accuracy" hidden="1">'CNPIs Employment'!$L$28</definedName>
    <definedName name="M3B1z5OtherEmploy5ActualChng" hidden="1">'CNPIs Employment'!$K$28</definedName>
    <definedName name="M3B1z5OtherEmploy5Baseline" hidden="1">'CNPIs Employment'!$G$28</definedName>
    <definedName name="M3B1z5OtherEmploy5ExpectChng" hidden="1">'CNPIs Employment'!$I$28</definedName>
    <definedName name="M3B1z5OtherEmploy5Name" hidden="1">'CNPIs Employment'!$C$28</definedName>
    <definedName name="M3B1z5OtherEmploy5Results" hidden="1">'CNPIs Employment'!$J$28</definedName>
    <definedName name="M3B1z5OtherEmploy5Target" hidden="1">'CNPIs Employment'!$H$28</definedName>
    <definedName name="M3B1z6OtherEmploy6Accuracy" hidden="1">'CNPIs Employment'!$L$29</definedName>
    <definedName name="M3B1z6OtherEmploy6ActualChng" hidden="1">'CNPIs Employment'!$K$29</definedName>
    <definedName name="M3B1z6OtherEmploy6Baseline" hidden="1">'CNPIs Employment'!$G$29</definedName>
    <definedName name="M3B1z6OtherEmploy6ExpectChng" hidden="1">'CNPIs Employment'!$I$29</definedName>
    <definedName name="M3B1z6OtherEmploy6Name" hidden="1">'CNPIs Employment'!$C$29</definedName>
    <definedName name="M3B1z6OtherEmploy6Results" hidden="1">'CNPIs Employment'!$J$29</definedName>
    <definedName name="M3B1z6OtherEmploy6Target" hidden="1">'CNPIs Employment'!$H$29</definedName>
    <definedName name="M3B2aPreSchoolAccuracy" hidden="1">'CNPIs Education'!$L$9</definedName>
    <definedName name="M3B2aPreSchoolResults" hidden="1">'CNPIs Education'!$K$9</definedName>
    <definedName name="M3B2aPreSchoolTarget" hidden="1">'CNPIs Education'!$J$9</definedName>
    <definedName name="M3B2bAffordCareAccuracy" hidden="1">'CNPIs Education'!$L$10</definedName>
    <definedName name="M3B2bAffordCareResults" hidden="1">'CNPIs Education'!$K$10</definedName>
    <definedName name="M3B2bAffordCareTarget" hidden="1">'CNPIs Education'!$J$10</definedName>
    <definedName name="M3B2Comments" hidden="1">'CNPIs Education'!$B$37</definedName>
    <definedName name="M3B2cScreeningsAccuracy" hidden="1">'CNPIs Education'!$L$11</definedName>
    <definedName name="M3B2cScreeningsResults" hidden="1">'CNPIs Education'!$K$11</definedName>
    <definedName name="M3B2cScreeningsTarget" hidden="1">'CNPIs Education'!$J$11</definedName>
    <definedName name="M3B2dSchoolAgeAccuracy" hidden="1">'CNPIs Education'!$L$12</definedName>
    <definedName name="M3B2dSchoolAgeResults" hidden="1">'CNPIs Education'!$K$12</definedName>
    <definedName name="M3B2dSchoolAgeTarget" hidden="1">'CNPIs Education'!$J$12</definedName>
    <definedName name="M3B2ePostSecondaryAccuracy" hidden="1">'CNPIs Education'!$L$13</definedName>
    <definedName name="M3B2ePostSecondaryResults" hidden="1">'CNPIs Education'!$K$13</definedName>
    <definedName name="M3B2ePostSecondaryTarget" hidden="1">'CNPIs Education'!$J$13</definedName>
    <definedName name="M3B2fBasicEdAccuracy" hidden="1">'CNPIs Education'!$L$14</definedName>
    <definedName name="M3B2fBasicEdResults" hidden="1">'CNPIs Education'!$K$14</definedName>
    <definedName name="M3B2fBasicEdTarget" hidden="1">'CNPIs Education'!$J$14</definedName>
    <definedName name="M3B2gKindReadyAccuracy" hidden="1">'CNPIs Education'!$L$22</definedName>
    <definedName name="M3B2gKindReadyActualChng" hidden="1">'CNPIs Education'!$K$22</definedName>
    <definedName name="M3B2gKindReadyBaseline" hidden="1">'CNPIs Education'!$G$22</definedName>
    <definedName name="M3B2gKindReadyExpectChng" hidden="1">'CNPIs Education'!$I$22</definedName>
    <definedName name="M3B2gKindReadyResults" hidden="1">'CNPIs Education'!$J$22</definedName>
    <definedName name="M3B2gKindReadyTarget" hidden="1">'CNPIs Education'!$H$22</definedName>
    <definedName name="M3B2hBasicReadLvlAccuracy" hidden="1">'CNPIs Education'!$L$23</definedName>
    <definedName name="M3B2hBasicReadLvlActualChng" hidden="1">'CNPIs Education'!$K$23</definedName>
    <definedName name="M3B2hBasicReadLvlBaseline" hidden="1">'CNPIs Education'!$G$23</definedName>
    <definedName name="M3B2hBasicReadLvlExpectChng" hidden="1">'CNPIs Education'!$I$23</definedName>
    <definedName name="M3B2hBasicReadLvlResults" hidden="1">'CNPIs Education'!$J$23</definedName>
    <definedName name="M3B2hBasicReadLvlTarget" hidden="1">'CNPIs Education'!$H$23</definedName>
    <definedName name="M3B2iBasicMathLvlAccuracy" hidden="1">'CNPIs Education'!$L$24</definedName>
    <definedName name="M3B2iBasicMathLvlActualChng" hidden="1">'CNPIs Education'!$K$24</definedName>
    <definedName name="M3B2iBasicMathLvlBaseline" hidden="1">'CNPIs Education'!$G$24</definedName>
    <definedName name="M3B2iBasicMathLvlExpectChng" hidden="1">'CNPIs Education'!$I$24</definedName>
    <definedName name="M3B2iBasicMathLvlResults" hidden="1">'CNPIs Education'!$J$24</definedName>
    <definedName name="M3B2iBasicMathLvlTarget" hidden="1">'CNPIs Education'!$H$24</definedName>
    <definedName name="M3B2jGradRateAccuracy" hidden="1">'CNPIs Education'!$L$25</definedName>
    <definedName name="M3B2jGradRateActualChng" hidden="1">'CNPIs Education'!$K$25</definedName>
    <definedName name="M3B2jGradRateBaseline" hidden="1">'CNPIs Education'!$G$25</definedName>
    <definedName name="M3B2jGradRateExpectChng" hidden="1">'CNPIs Education'!$I$25</definedName>
    <definedName name="M3B2jGradRateResults" hidden="1">'CNPIs Education'!$J$25</definedName>
    <definedName name="M3B2jGradRateTarget" hidden="1">'CNPIs Education'!$H$25</definedName>
    <definedName name="M3B2kYouthPostSecAttendAccuracy" hidden="1">'CNPIs Education'!$L$26</definedName>
    <definedName name="M3B2kYouthPostSecAttendActualChng" hidden="1">'CNPIs Education'!$K$26</definedName>
    <definedName name="M3B2kYouthPostSecAttendBaseline" hidden="1">'CNPIs Education'!$G$26</definedName>
    <definedName name="M3B2kYouthPostSecAttendExpectChng" hidden="1">'CNPIs Education'!$I$26</definedName>
    <definedName name="M3B2kYouthPostSecAttendResults" hidden="1">'CNPIs Education'!$J$26</definedName>
    <definedName name="M3B2kYouthPostSecAttendTarget" hidden="1">'CNPIs Education'!$H$26</definedName>
    <definedName name="M3B2lYouthPostSecGradAccuracy" hidden="1">'CNPIs Education'!$L$27</definedName>
    <definedName name="M3B2lYouthPostSecGradActualChng" hidden="1">'CNPIs Education'!$K$27</definedName>
    <definedName name="M3B2lYouthPostSecGradBaseline" hidden="1">'CNPIs Education'!$G$27</definedName>
    <definedName name="M3B2lYouthPostSecGradExpectChng" hidden="1">'CNPIs Education'!$I$27</definedName>
    <definedName name="M3B2lYouthPostSecGradResults" hidden="1">'CNPIs Education'!$J$27</definedName>
    <definedName name="M3B2lYouthPostSecGradTarget" hidden="1">'CNPIs Education'!$H$27</definedName>
    <definedName name="M3B2mAdultPostSecAttendAccuracy" hidden="1">'CNPIs Education'!$L$28</definedName>
    <definedName name="M3B2mAdultPostSecAttendActualChng" hidden="1">'CNPIs Education'!$K$28</definedName>
    <definedName name="M3B2mAdultPostSecAttendBaseline" hidden="1">'CNPIs Education'!$G$28</definedName>
    <definedName name="M3B2mAdultPostSecAttendExpectChng" hidden="1">'CNPIs Education'!$I$28</definedName>
    <definedName name="M3B2mAdultPostSecAttendResults" hidden="1">'CNPIs Education'!$J$28</definedName>
    <definedName name="M3B2mAdultPostSecAttendTarget" hidden="1">'CNPIs Education'!$H$28</definedName>
    <definedName name="M3B2nAdultPostSecGradAccuracy" hidden="1">'CNPIs Education'!$L$29</definedName>
    <definedName name="M3B2nAdultPostSecGradActualChng" hidden="1">'CNPIs Education'!$K$29</definedName>
    <definedName name="M3B2nAdultPostSecGradBaseline" hidden="1">'CNPIs Education'!$G$29</definedName>
    <definedName name="M3B2nAdultPostSecGradExpectChng" hidden="1">'CNPIs Education'!$I$29</definedName>
    <definedName name="M3B2nAdultPostSecGradResults" hidden="1">'CNPIs Education'!$J$29</definedName>
    <definedName name="M3B2nAdultPostSecGradTarget" hidden="1">'CNPIs Education'!$H$29</definedName>
    <definedName name="M3B2oLitRateAccuracy" hidden="1">'CNPIs Education'!$L$30</definedName>
    <definedName name="M3B2oLitRateActualChng" hidden="1">'CNPIs Education'!$K$30</definedName>
    <definedName name="M3B2oLitRateBaseline" hidden="1">'CNPIs Education'!$G$30</definedName>
    <definedName name="M3B2oLitRateExpectChng" hidden="1">'CNPIs Education'!$I$30</definedName>
    <definedName name="M3B2oLitRateResults" hidden="1">'CNPIs Education'!$J$30</definedName>
    <definedName name="M3B2oLitRateTarget" hidden="1">'CNPIs Education'!$H$30</definedName>
    <definedName name="M3B2z1OtherEdCogDev1Accuracy" hidden="1">'CNPIs Education'!$L$17</definedName>
    <definedName name="M3B2z1OtherEdCogDev1Name" hidden="1">'CNPIs Education'!$C$17</definedName>
    <definedName name="M3B2z1OtherEdCogDev1Results" hidden="1">'CNPIs Education'!$K$17</definedName>
    <definedName name="M3B2z1OtherEdCogDev1Target" hidden="1">'CNPIs Education'!$J$17</definedName>
    <definedName name="M3B2z2OtherEdCogDev2Accuracy" hidden="1">'CNPIs Education'!$L$18</definedName>
    <definedName name="M3B2z2OtherEdCogDev2Name" hidden="1">'CNPIs Education'!$C$18</definedName>
    <definedName name="M3B2z2OtherEdCogDev2Results" hidden="1">'CNPIs Education'!$K$18</definedName>
    <definedName name="M3B2z2OtherEdCogDev2Target" hidden="1">'CNPIs Education'!$J$18</definedName>
    <definedName name="M3B2z3OtherEdCogDev3Accuracy" hidden="1">'CNPIs Education'!$L$19</definedName>
    <definedName name="M3B2z3OtherEdCogDev3Name" hidden="1">'CNPIs Education'!$C$19</definedName>
    <definedName name="M3B2z3OtherEdCogDev3Results" hidden="1">'CNPIs Education'!$K$19</definedName>
    <definedName name="M3B2z3OtherEdCogDev3Target" hidden="1">'CNPIs Education'!$J$19</definedName>
    <definedName name="M3B2z4OtherEdCogDev4Accuracy" hidden="1">'CNPIs Education'!$L$33</definedName>
    <definedName name="M3B2z4OtherEdCogDev4ActualChng" hidden="1">'CNPIs Education'!$K$33</definedName>
    <definedName name="M3B2z4OtherEdCogDev4Baseline" hidden="1">'CNPIs Education'!$G$33</definedName>
    <definedName name="M3B2z4OtherEdCogDev4ExpectChng" hidden="1">'CNPIs Education'!$I$33</definedName>
    <definedName name="M3B2z4OtherEdCogDev4Name" hidden="1">'CNPIs Education'!$C$33</definedName>
    <definedName name="M3B2z4OtherEdCogDev4Results" hidden="1">'CNPIs Education'!$J$33</definedName>
    <definedName name="M3B2z4OtherEdCogDev4Target" hidden="1">'CNPIs Education'!$H$33</definedName>
    <definedName name="M3B2z5OtherEdCogDev5Accuracy" hidden="1">'CNPIs Education'!$L$34</definedName>
    <definedName name="M3B2z5OtherEdCogDev5ActualChng" hidden="1">'CNPIs Education'!$K$34</definedName>
    <definedName name="M3B2z5OtherEdCogDev5Baseline" hidden="1">'CNPIs Education'!$G$34</definedName>
    <definedName name="M3B2z5OtherEdCogDev5ExpectChng" hidden="1">'CNPIs Education'!$I$34</definedName>
    <definedName name="M3B2z5OtherEdCogDev5Name" hidden="1">'CNPIs Education'!$C$34</definedName>
    <definedName name="M3B2z5OtherEdCogDev5Results" hidden="1">'CNPIs Education'!$J$34</definedName>
    <definedName name="M3B2z5OtherEdCogDev5Target" hidden="1">'CNPIs Education'!$H$34</definedName>
    <definedName name="M3B2z6OtherEdCogDev6Accuracy" hidden="1">'CNPIs Education'!$L$35</definedName>
    <definedName name="M3B2z6OtherEdCogDev6ActualChng" hidden="1">'CNPIs Education'!$K$35</definedName>
    <definedName name="M3B2z6OtherEdCogDev6Baseline" hidden="1">'CNPIs Education'!$G$35</definedName>
    <definedName name="M3B2z6OtherEdCogDev6ExpectChng" hidden="1">'CNPIs Education'!$I$35</definedName>
    <definedName name="M3B2z6OtherEdCogDev6Name" hidden="1">'CNPIs Education'!$C$35</definedName>
    <definedName name="M3B2z6OtherEdCogDev6Results" hidden="1">'CNPIs Education'!$J$35</definedName>
    <definedName name="M3B2z6OtherEdCogDev6Target" hidden="1">'CNPIs Education'!$H$35</definedName>
    <definedName name="M3B3a1CommercialAccuracy" hidden="1">'CNPIs Infrastructure Asset'!$J$10</definedName>
    <definedName name="M3B3a1CommercialResults" hidden="1">'CNPIs Infrastructure Asset'!$I$10</definedName>
    <definedName name="M3B3a1CommercialTarget" hidden="1">'CNPIs Infrastructure Asset'!$H$10</definedName>
    <definedName name="M3B3a2FinancialAccuracy" hidden="1">'CNPIs Infrastructure Asset'!$J$11</definedName>
    <definedName name="M3B3a2FinancialResults" hidden="1">'CNPIs Infrastructure Asset'!$I$11</definedName>
    <definedName name="M3B3a2FinancialTarget" hidden="1">'CNPIs Infrastructure Asset'!$H$11</definedName>
    <definedName name="M3B3a3TechCommAccuracy" hidden="1">'CNPIs Infrastructure Asset'!$J$12</definedName>
    <definedName name="M3B3a3TechCommResults" hidden="1">'CNPIs Infrastructure Asset'!$I$12</definedName>
    <definedName name="M3B3a3TechCommTarget" hidden="1">'CNPIs Infrastructure Asset'!$H$12</definedName>
    <definedName name="M3B3a4TransportationAccuracy" hidden="1">'CNPIs Infrastructure Asset'!$J$13</definedName>
    <definedName name="M3B3a4TransportationResults" hidden="1">'CNPIs Infrastructure Asset'!$I$13</definedName>
    <definedName name="M3B3a4TransportationTarget" hidden="1">'CNPIs Infrastructure Asset'!$H$13</definedName>
    <definedName name="M3B3a5RecreationalAccuracy" hidden="1">'CNPIs Infrastructure Asset'!$J$14</definedName>
    <definedName name="M3B3a5RecreationalResults" hidden="1">'CNPIs Infrastructure Asset'!$I$14</definedName>
    <definedName name="M3B3a5RecreationalTarget" hidden="1">'CNPIs Infrastructure Asset'!$H$14</definedName>
    <definedName name="M3B3a6OtherPublicAccuracy" hidden="1">'CNPIs Infrastructure Asset'!$J$15</definedName>
    <definedName name="M3B3a6OtherPublicResults" hidden="1">'CNPIs Infrastructure Asset'!$I$15</definedName>
    <definedName name="M3B3a6OtherPublicTarget" hidden="1">'CNPIs Infrastructure Asset'!$H$15</definedName>
    <definedName name="M3B3b1CommercialAccuracy" hidden="1">'CNPIs Infrastructure Asset'!$J$17</definedName>
    <definedName name="M3B3b1CommercialResults" hidden="1">'CNPIs Infrastructure Asset'!$I$17</definedName>
    <definedName name="M3B3b1CommercialTarget" hidden="1">'CNPIs Infrastructure Asset'!$H$17</definedName>
    <definedName name="M3B3b2FinancialAccuracy" hidden="1">'CNPIs Infrastructure Asset'!$J$18</definedName>
    <definedName name="M3B3b2FinancialResults" hidden="1">'CNPIs Infrastructure Asset'!$I$18</definedName>
    <definedName name="M3B3b2FinancialTarget" hidden="1">'CNPIs Infrastructure Asset'!$H$18</definedName>
    <definedName name="M3B3b3TechCommAccuracy" hidden="1">'CNPIs Infrastructure Asset'!$J$19</definedName>
    <definedName name="M3B3b3TechCommResults" hidden="1">'CNPIs Infrastructure Asset'!$I$19</definedName>
    <definedName name="M3B3b3TechCommTarget" hidden="1">'CNPIs Infrastructure Asset'!$H$19</definedName>
    <definedName name="M3B3b4TransportationAccuracy" hidden="1">'CNPIs Infrastructure Asset'!$J$20</definedName>
    <definedName name="M3B3b4TransportationResults" hidden="1">'CNPIs Infrastructure Asset'!$I$20</definedName>
    <definedName name="M3B3b4TransportationTarget" hidden="1">'CNPIs Infrastructure Asset'!$H$20</definedName>
    <definedName name="M3B3b5RecreationalAccuracy" hidden="1">'CNPIs Infrastructure Asset'!$J$21</definedName>
    <definedName name="M3B3b5RecreationalResults" hidden="1">'CNPIs Infrastructure Asset'!$I$21</definedName>
    <definedName name="M3B3b5RecreationalTarget" hidden="1">'CNPIs Infrastructure Asset'!$H$21</definedName>
    <definedName name="M3B3b6OtherPublicAccuracy" hidden="1">'CNPIs Infrastructure Asset'!$J$22</definedName>
    <definedName name="M3B3b6OtherPublicResults" hidden="1">'CNPIs Infrastructure Asset'!$I$22</definedName>
    <definedName name="M3B3b6OtherPublicTarget" hidden="1">'CNPIs Infrastructure Asset'!$H$22</definedName>
    <definedName name="M3B3cAbandonBuildAccuracy" hidden="1">'CNPIs Infrastructure Asset'!$M$30</definedName>
    <definedName name="M3B3cAbandonBuildActualChng" hidden="1">'CNPIs Infrastructure Asset'!$L$30</definedName>
    <definedName name="M3B3cAbandonBuildBaseline" hidden="1">'CNPIs Infrastructure Asset'!$H$30</definedName>
    <definedName name="M3B3cAbandonBuildExpectChng" hidden="1">'CNPIs Infrastructure Asset'!$J$30</definedName>
    <definedName name="M3B3cAbandonBuildResults" hidden="1">'CNPIs Infrastructure Asset'!$K$30</definedName>
    <definedName name="M3B3cAbandonBuildTarget" hidden="1">'CNPIs Infrastructure Asset'!$I$30</definedName>
    <definedName name="M3B3Comments" hidden="1">'CNPIs Infrastructure Asset'!$B$42</definedName>
    <definedName name="M3B3dEmerRespTimeAccuracy" hidden="1">'CNPIs Infrastructure Asset'!$M$31</definedName>
    <definedName name="M3B3dEmerRespTimeActualChng" hidden="1">'CNPIs Infrastructure Asset'!$L$31</definedName>
    <definedName name="M3B3dEmerRespTimeBaseline" hidden="1">'CNPIs Infrastructure Asset'!$H$31</definedName>
    <definedName name="M3B3dEmerRespTimeExpectChng" hidden="1">'CNPIs Infrastructure Asset'!$J$31</definedName>
    <definedName name="M3B3dEmerRespTimeResults" hidden="1">'CNPIs Infrastructure Asset'!$K$31</definedName>
    <definedName name="M3B3dEmerRespTimeTarget" hidden="1">'CNPIs Infrastructure Asset'!$I$31</definedName>
    <definedName name="M3B3ePredLendAccuracy" hidden="1">'CNPIs Infrastructure Asset'!$M$32</definedName>
    <definedName name="M3B3ePredLendActualChng" hidden="1">'CNPIs Infrastructure Asset'!$L$32</definedName>
    <definedName name="M3B3ePredLendBaseline" hidden="1">'CNPIs Infrastructure Asset'!$H$32</definedName>
    <definedName name="M3B3ePredLendExpectChng" hidden="1">'CNPIs Infrastructure Asset'!$J$32</definedName>
    <definedName name="M3B3ePredLendResults" hidden="1">'CNPIs Infrastructure Asset'!$K$32</definedName>
    <definedName name="M3B3ePredLendTarget" hidden="1">'CNPIs Infrastructure Asset'!$I$32</definedName>
    <definedName name="M3B3fEnvirThreatAccuracy" hidden="1">'CNPIs Infrastructure Asset'!$M$33</definedName>
    <definedName name="M3B3fEnvirThreatActualChng" hidden="1">'CNPIs Infrastructure Asset'!$L$33</definedName>
    <definedName name="M3B3fEnvirThreatBaseline" hidden="1">'CNPIs Infrastructure Asset'!$H$33</definedName>
    <definedName name="M3B3fEnvirThreatExpectChng" hidden="1">'CNPIs Infrastructure Asset'!$J$33</definedName>
    <definedName name="M3B3fEnvirThreatResults" hidden="1">'CNPIs Infrastructure Asset'!$K$33</definedName>
    <definedName name="M3B3fEnvirThreatTarget" hidden="1">'CNPIs Infrastructure Asset'!$I$33</definedName>
    <definedName name="M3B3gTransportServiceAccuracy" hidden="1">'CNPIs Infrastructure Asset'!$M$34</definedName>
    <definedName name="M3B3gTransportServiceActualChng" hidden="1">'CNPIs Infrastructure Asset'!$L$34</definedName>
    <definedName name="M3B3gTransportServiceBaseline" hidden="1">'CNPIs Infrastructure Asset'!$H$34</definedName>
    <definedName name="M3B3gTransportServiceExpectChng" hidden="1">'CNPIs Infrastructure Asset'!$J$34</definedName>
    <definedName name="M3B3gTransportServiceResults" hidden="1">'CNPIs Infrastructure Asset'!$K$34</definedName>
    <definedName name="M3B3gTransportServiceTarget" hidden="1">'CNPIs Infrastructure Asset'!$I$34</definedName>
    <definedName name="M3B3z1OtherInfraAsset1Accuracy" hidden="1">'CNPIs Infrastructure Asset'!$J$25</definedName>
    <definedName name="M3B3z1OtherInfraAsset1Name" hidden="1">'CNPIs Infrastructure Asset'!$C$25</definedName>
    <definedName name="M3B3z1OtherInfraAsset1Results" hidden="1">'CNPIs Infrastructure Asset'!$I$25</definedName>
    <definedName name="M3B3z1OtherInfraAsset1Target" hidden="1">'CNPIs Infrastructure Asset'!$H$25</definedName>
    <definedName name="M3B3z2OtherInfraAsset2Accuracy" hidden="1">'CNPIs Infrastructure Asset'!$J$26</definedName>
    <definedName name="M3B3z2OtherInfraAsset2Name" hidden="1">'CNPIs Infrastructure Asset'!$C$26</definedName>
    <definedName name="M3B3z2OtherInfraAsset2Results" hidden="1">'CNPIs Infrastructure Asset'!$I$26</definedName>
    <definedName name="M3B3z2OtherInfraAsset2Target" hidden="1">'CNPIs Infrastructure Asset'!$H$26</definedName>
    <definedName name="M3B3z3OtherInfraAsset3Accuracy" hidden="1">'CNPIs Infrastructure Asset'!$J$27</definedName>
    <definedName name="M3B3z3OtherInfraAsset3Name" hidden="1">'CNPIs Infrastructure Asset'!$C$27</definedName>
    <definedName name="M3B3z3OtherInfraAsset3Results" hidden="1">'CNPIs Infrastructure Asset'!$I$27</definedName>
    <definedName name="M3B3z3OtherInfraAsset3Target" hidden="1">'CNPIs Infrastructure Asset'!$H$27</definedName>
    <definedName name="M3B3z4OtherInfraAsset4Accuracy" hidden="1">'CNPIs Infrastructure Asset'!$M$37</definedName>
    <definedName name="M3B3z4OtherInfraAsset4ActualChng" hidden="1">'CNPIs Infrastructure Asset'!$L$37</definedName>
    <definedName name="M3B3z4OtherInfraAsset4Baseline" hidden="1">'CNPIs Infrastructure Asset'!$H$37</definedName>
    <definedName name="M3B3z4OtherInfraAsset4ExpectChng" hidden="1">'CNPIs Infrastructure Asset'!$J$37</definedName>
    <definedName name="M3B3z4OtherInfraAsset4Name" hidden="1">'CNPIs Infrastructure Asset'!$C$37</definedName>
    <definedName name="M3B3z4OtherInfraAsset4Results" hidden="1">'CNPIs Infrastructure Asset'!$K$37</definedName>
    <definedName name="M3B3z4OtherInfraAsset4Target" hidden="1">'CNPIs Infrastructure Asset'!$I$37</definedName>
    <definedName name="M3B3z5OtherInfraAsset5Accuracy" hidden="1">'CNPIs Infrastructure Asset'!$M$38</definedName>
    <definedName name="M3B3z5OtherInfraAsset5ActualChng" hidden="1">'CNPIs Infrastructure Asset'!$L$38</definedName>
    <definedName name="M3B3z5OtherInfraAsset5Baseline" hidden="1">'CNPIs Infrastructure Asset'!$H$38</definedName>
    <definedName name="M3B3z5OtherInfraAsset5ExpectChng" hidden="1">'CNPIs Infrastructure Asset'!$J$38</definedName>
    <definedName name="M3B3z5OtherInfraAsset5Name" hidden="1">'CNPIs Infrastructure Asset'!$C$38</definedName>
    <definedName name="M3B3z5OtherInfraAsset5Results" hidden="1">'CNPIs Infrastructure Asset'!$K$38</definedName>
    <definedName name="M3B3z5OtherInfraAsset5Target" hidden="1">'CNPIs Infrastructure Asset'!$I$38</definedName>
    <definedName name="M3B3z6OtherInfraAsset6Accuracy" hidden="1">'CNPIs Infrastructure Asset'!$M$39</definedName>
    <definedName name="M3B3z6OtherInfraAsset6ActualChng" hidden="1">'CNPIs Infrastructure Asset'!$L$39</definedName>
    <definedName name="M3B3z6OtherInfraAsset6Baseline" hidden="1">'CNPIs Infrastructure Asset'!$H$39</definedName>
    <definedName name="M3B3z6OtherInfraAsset6ExpectChng" hidden="1">'CNPIs Infrastructure Asset'!$J$39</definedName>
    <definedName name="M3B3z6OtherInfraAsset6Name" hidden="1">'CNPIs Infrastructure Asset'!$C$39</definedName>
    <definedName name="M3B3z6OtherInfraAsset6Results" hidden="1">'CNPIs Infrastructure Asset'!$K$39</definedName>
    <definedName name="M3B3z6OtherInfraAsset6Target" hidden="1">'CNPIs Infrastructure Asset'!$I$39</definedName>
    <definedName name="M3B4aSafeHousDevAccuracy" hidden="1">'CNPIs Housing'!$L$9</definedName>
    <definedName name="M3B4aSafeHousDevResults" hidden="1">'CNPIs Housing'!$K$9</definedName>
    <definedName name="M3B4aSafeHousDevTarget" hidden="1">'CNPIs Housing'!$J$9</definedName>
    <definedName name="M3B4bSafeHousMainAccuracy" hidden="1">'CNPIs Housing'!$L$10</definedName>
    <definedName name="M3B4bSafeHousMainResults" hidden="1">'CNPIs Housing'!$K$10</definedName>
    <definedName name="M3B4bSafeHousMainTarget" hidden="1">'CNPIs Housing'!$J$10</definedName>
    <definedName name="M3B4Comments" hidden="1">'CNPIs Housing'!$B$32</definedName>
    <definedName name="M3B4cShelterBedCreateAccuracy" hidden="1">'CNPIs Housing'!$L$11</definedName>
    <definedName name="M3B4cShelterBedCreateResults" hidden="1">'CNPIs Housing'!$K$11</definedName>
    <definedName name="M3B4cShelterBedCreateTarget" hidden="1">'CNPIs Housing'!$J$11</definedName>
    <definedName name="M3B4dShelterBedMainAccuracy" hidden="1">'CNPIs Housing'!$L$12</definedName>
    <definedName name="M3B4dShelterBedMainResults" hidden="1">'CNPIs Housing'!$K$12</definedName>
    <definedName name="M3B4dShelterBedMainTarget" hidden="1">'CNPIs Housing'!$J$12</definedName>
    <definedName name="M3B4eHomelessAccuracy" hidden="1">'CNPIs Housing'!$L$20</definedName>
    <definedName name="M3B4eHomelessActualChng" hidden="1">'CNPIs Housing'!$K$20</definedName>
    <definedName name="M3B4eHomelessBaseline" hidden="1">'CNPIs Housing'!$G$20</definedName>
    <definedName name="M3B4eHomelessExpectChng" hidden="1">'CNPIs Housing'!$I$20</definedName>
    <definedName name="M3B4eHomelessResults" hidden="1">'CNPIs Housing'!$J$20</definedName>
    <definedName name="M3B4eHomelessTarget" hidden="1">'CNPIs Housing'!$H$20</definedName>
    <definedName name="M3B4fForecloseRateAccuracy" hidden="1">'CNPIs Housing'!$L$21</definedName>
    <definedName name="M3B4fForecloseRateActualChng" hidden="1">'CNPIs Housing'!$K$21</definedName>
    <definedName name="M3B4fForecloseRateBaseline" hidden="1">'CNPIs Housing'!$G$21</definedName>
    <definedName name="M3B4fForecloseRateExpectChng" hidden="1">'CNPIs Housing'!$I$21</definedName>
    <definedName name="M3B4fForecloseRateResults" hidden="1">'CNPIs Housing'!$J$21</definedName>
    <definedName name="M3B4fForecloseRateTarget" hidden="1">'CNPIs Housing'!$H$21</definedName>
    <definedName name="M3B4gHomeOwnAccuracy" hidden="1">'CNPIs Housing'!$L$22</definedName>
    <definedName name="M3B4gHomeOwnActualChng" hidden="1">'CNPIs Housing'!$K$22</definedName>
    <definedName name="M3B4gHomeOwnBaseline" hidden="1">'CNPIs Housing'!$G$22</definedName>
    <definedName name="M3B4gHomeOwnExpectChng" hidden="1">'CNPIs Housing'!$I$22</definedName>
    <definedName name="M3B4gHomeOwnResults" hidden="1">'CNPIs Housing'!$J$22</definedName>
    <definedName name="M3B4gHomeOwnTarget" hidden="1">'CNPIs Housing'!$H$22</definedName>
    <definedName name="M3B4hAffordHouseAccuracy" hidden="1">'CNPIs Housing'!$L$23</definedName>
    <definedName name="M3B4hAffordHouseActualChng" hidden="1">'CNPIs Housing'!$K$23</definedName>
    <definedName name="M3B4hAffordHouseBaseline" hidden="1">'CNPIs Housing'!$G$23</definedName>
    <definedName name="M3B4hAffordHouseExpectChng" hidden="1">'CNPIs Housing'!$I$23</definedName>
    <definedName name="M3B4hAffordHouseResults" hidden="1">'CNPIs Housing'!$J$23</definedName>
    <definedName name="M3B4hAffordHouseTarget" hidden="1">'CNPIs Housing'!$H$23</definedName>
    <definedName name="M3B4iShelterBedAccuracy" hidden="1">'CNPIs Housing'!$L$24</definedName>
    <definedName name="M3B4iShelterBedActualChng" hidden="1">'CNPIs Housing'!$K$24</definedName>
    <definedName name="M3B4iShelterBedBaseline" hidden="1">'CNPIs Housing'!$G$24</definedName>
    <definedName name="M3B4iShelterBedExpectChng" hidden="1">'CNPIs Housing'!$I$24</definedName>
    <definedName name="M3B4iShelterBedResults" hidden="1">'CNPIs Housing'!$J$24</definedName>
    <definedName name="M3B4iShelterBedTarget" hidden="1">'CNPIs Housing'!$H$24</definedName>
    <definedName name="M3B4z1OtherHousing1Accuracy" hidden="1">'CNPIs Housing'!$L$15</definedName>
    <definedName name="M3B4z1OtherHousing1Name" hidden="1">'CNPIs Housing'!$C$15</definedName>
    <definedName name="M3B4z1OtherHousing1Results" hidden="1">'CNPIs Housing'!$K$15</definedName>
    <definedName name="M3B4z1OtherHousing1Target" hidden="1">'CNPIs Housing'!$J$15</definedName>
    <definedName name="M3B4z2OtherHousing2Accuracy" hidden="1">'CNPIs Housing'!$L$16</definedName>
    <definedName name="M3B4z2OtherHousing2Name" hidden="1">'CNPIs Housing'!$C$16</definedName>
    <definedName name="M3B4z2OtherHousing2Results" hidden="1">'CNPIs Housing'!$K$16</definedName>
    <definedName name="M3B4z2OtherHousing2Target" hidden="1">'CNPIs Housing'!$J$16</definedName>
    <definedName name="M3B4z3OtherHousing3Accuracy" hidden="1">'CNPIs Housing'!$L$17</definedName>
    <definedName name="M3B4z3OtherHousing3Name" hidden="1">'CNPIs Housing'!$C$17</definedName>
    <definedName name="M3B4z3OtherHousing3Results" hidden="1">'CNPIs Housing'!$K$17</definedName>
    <definedName name="M3B4z3OtherHousing3Target" hidden="1">'CNPIs Housing'!$J$17</definedName>
    <definedName name="M3B4z4OtherHousing4Accuracy" hidden="1">'CNPIs Housing'!$L$27</definedName>
    <definedName name="M3B4z4OtherHousing4ActualChng" hidden="1">'CNPIs Housing'!$K$27</definedName>
    <definedName name="M3B4z4OtherHousing4Baseline" hidden="1">'CNPIs Housing'!$G$27</definedName>
    <definedName name="M3B4z4OtherHousing4ExpectChng" hidden="1">'CNPIs Housing'!$I$27</definedName>
    <definedName name="M3B4z4OtherHousing4Name" hidden="1">'CNPIs Housing'!$C$27</definedName>
    <definedName name="M3B4z4OtherHousing4Results" hidden="1">'CNPIs Housing'!$J$27</definedName>
    <definedName name="M3B4z4OtherHousing4Target" hidden="1">'CNPIs Housing'!$H$27</definedName>
    <definedName name="M3B4z5OtherHousing5Accuracy" hidden="1">'CNPIs Housing'!$L$28</definedName>
    <definedName name="M3B4z5OtherHousing5ActualChng" hidden="1">'CNPIs Housing'!$K$28</definedName>
    <definedName name="M3B4z5OtherHousing5Baseline" hidden="1">'CNPIs Housing'!$G$28</definedName>
    <definedName name="M3B4z5OtherHousing5ExpectChng" hidden="1">'CNPIs Housing'!$I$28</definedName>
    <definedName name="M3B4z5OtherHousing5Name" hidden="1">'CNPIs Housing'!$C$28</definedName>
    <definedName name="M3B4z5OtherHousing5Results" hidden="1">'CNPIs Housing'!$J$28</definedName>
    <definedName name="M3B4z5OtherHousing5Target" hidden="1">'CNPIs Housing'!$H$28</definedName>
    <definedName name="M3B4z6OtherHousing6Accuracy" hidden="1">'CNPIs Housing'!$L$29</definedName>
    <definedName name="M3B4z6OtherHousing6ActualChng" hidden="1">'CNPIs Housing'!$K$29</definedName>
    <definedName name="M3B4z6OtherHousing6Baseline" hidden="1">'CNPIs Housing'!$G$29</definedName>
    <definedName name="M3B4z6OtherHousing6ExpectChng" hidden="1">'CNPIs Housing'!$I$29</definedName>
    <definedName name="M3B4z6OtherHousing6Name" hidden="1">'CNPIs Housing'!$C$29</definedName>
    <definedName name="M3B4z6OtherHousing6Results" hidden="1">'CNPIs Housing'!$J$29</definedName>
    <definedName name="M3B4z6OtherHousing6Target" hidden="1">'CNPIs Housing'!$H$29</definedName>
    <definedName name="M3B5aPhysHealthAccuracy" hidden="1">'CNPIs Health and Social'!$L$9</definedName>
    <definedName name="M3B5aPhysHealthResults" hidden="1">'CNPIs Health and Social'!$K$9</definedName>
    <definedName name="M3B5aPhysHealthTarget" hidden="1">'CNPIs Health and Social'!$J$9</definedName>
    <definedName name="M3B5bMentHealthAccuracy" hidden="1">'CNPIs Health and Social'!$L$10</definedName>
    <definedName name="M3B5bMentHealthResults" hidden="1">'CNPIs Health and Social'!$K$10</definedName>
    <definedName name="M3B5bMentHealthTarget" hidden="1">'CNPIs Health and Social'!$J$10</definedName>
    <definedName name="M3B5Comments" hidden="1">'CNPIs Health and Social'!$B$48</definedName>
    <definedName name="M3B5cPubSafeAccuracy" hidden="1">'CNPIs Health and Social'!$L$11</definedName>
    <definedName name="M3B5cPubSafeResults" hidden="1">'CNPIs Health and Social'!$K$11</definedName>
    <definedName name="M3B5cPubSafeTarget" hidden="1">'CNPIs Health and Social'!$J$11</definedName>
    <definedName name="M3B5dFoodResourceAccuracy" hidden="1">'CNPIs Health and Social'!$L$12</definedName>
    <definedName name="M3B5dFoodResourceResults" hidden="1">'CNPIs Health and Social'!$K$12</definedName>
    <definedName name="M3B5dFoodResourceTarget" hidden="1">'CNPIs Health and Social'!$J$12</definedName>
    <definedName name="M3B5eCommRelAccuracy" hidden="1">'CNPIs Health and Social'!$L$13</definedName>
    <definedName name="M3B5eCommRelResults" hidden="1">'CNPIs Health and Social'!$K$13</definedName>
    <definedName name="M3B5eCommRelTarget" hidden="1">'CNPIs Health and Social'!$J$13</definedName>
    <definedName name="M3B5fMortRateAccuracy" hidden="1">'CNPIs Health and Social'!$L$21</definedName>
    <definedName name="M3B5fMortRateActualChng" hidden="1">'CNPIs Health and Social'!$K$21</definedName>
    <definedName name="M3B5fMortRateBaseline" hidden="1">'CNPIs Health and Social'!$G$21</definedName>
    <definedName name="M3B5fMortRateExpectChng" hidden="1">'CNPIs Health and Social'!$I$21</definedName>
    <definedName name="M3B5fMortRateResults" hidden="1">'CNPIs Health and Social'!$J$21</definedName>
    <definedName name="M3B5fMortRateTarget" hidden="1">'CNPIs Health and Social'!$H$21</definedName>
    <definedName name="M3B5G2Comments" hidden="1">'CNPIs G2 Civic Engagement'!$B$24</definedName>
    <definedName name="M3B5gChildObesRateAccuracy" hidden="1">'CNPIs Health and Social'!$L$22</definedName>
    <definedName name="M3B5gChildObesRateActualChng" hidden="1">'CNPIs Health and Social'!$K$22</definedName>
    <definedName name="M3B5gChildObesRateBaseline" hidden="1">'CNPIs Health and Social'!$G$22</definedName>
    <definedName name="M3B5gChildObesRateExpectChng" hidden="1">'CNPIs Health and Social'!$I$22</definedName>
    <definedName name="M3B5gChildObesRateResults" hidden="1">'CNPIs Health and Social'!$J$22</definedName>
    <definedName name="M3B5gChildObesRateTarget" hidden="1">'CNPIs Health and Social'!$H$22</definedName>
    <definedName name="M3B5hAdultObesRateAccuracy" hidden="1">'CNPIs Health and Social'!$L$23</definedName>
    <definedName name="M3B5hAdultObesRateActualChng" hidden="1">'CNPIs Health and Social'!$K$23</definedName>
    <definedName name="M3B5hAdultObesRateBaseline" hidden="1">'CNPIs Health and Social'!$G$23</definedName>
    <definedName name="M3B5hAdultObesRateExpectChng" hidden="1">'CNPIs Health and Social'!$I$23</definedName>
    <definedName name="M3B5hAdultObesRateResults" hidden="1">'CNPIs Health and Social'!$J$23</definedName>
    <definedName name="M3B5hAdultObesRateTarget" hidden="1">'CNPIs Health and Social'!$H$23</definedName>
    <definedName name="M3B5iImmunRateAccuracy" hidden="1">'CNPIs Health and Social'!$L$24</definedName>
    <definedName name="M3B5iImmunRateActualChng" hidden="1">'CNPIs Health and Social'!$K$24</definedName>
    <definedName name="M3B5iImmunRateBaseline" hidden="1">'CNPIs Health and Social'!$G$24</definedName>
    <definedName name="M3B5iImmunRateExpectChng" hidden="1">'CNPIs Health and Social'!$I$24</definedName>
    <definedName name="M3B5iImmunRateResults" hidden="1">'CNPIs Health and Social'!$J$24</definedName>
    <definedName name="M3B5iImmunRateTarget" hidden="1">'CNPIs Health and Social'!$H$24</definedName>
    <definedName name="M3B5jUninsuredFamAccuracy" hidden="1">'CNPIs Health and Social'!$L$25</definedName>
    <definedName name="M3B5jUninsuredFamActualChng" hidden="1">'CNPIs Health and Social'!$K$25</definedName>
    <definedName name="M3B5jUninsuredFamBaseline" hidden="1">'CNPIs Health and Social'!$G$25</definedName>
    <definedName name="M3B5jUninsuredFamExpectChng" hidden="1">'CNPIs Health and Social'!$I$25</definedName>
    <definedName name="M3B5jUninsuredFamResults" hidden="1">'CNPIs Health and Social'!$J$25</definedName>
    <definedName name="M3B5jUninsuredFamTarget" hidden="1">'CNPIs Health and Social'!$H$25</definedName>
    <definedName name="M3B5kTeenPregAccuracy" hidden="1">'CNPIs Health and Social'!$L$27</definedName>
    <definedName name="M3B5kTeenPregActualChng" hidden="1">'CNPIs Health and Social'!$K$27</definedName>
    <definedName name="M3B5kTeenPregBaseline" hidden="1">'CNPIs Health and Social'!$G$27</definedName>
    <definedName name="M3B5kTeenPregExpectChng" hidden="1">'CNPIs Health and Social'!$I$27</definedName>
    <definedName name="M3B5kTeenPregResults" hidden="1">'CNPIs Health and Social'!$J$27</definedName>
    <definedName name="M3B5kTeenPregTarget" hidden="1">'CNPIs Health and Social'!$H$27</definedName>
    <definedName name="M3B5lUnplanPregAccuracy" hidden="1">'CNPIs Health and Social'!$L$28</definedName>
    <definedName name="M3B5lUnplanPregActualChng" hidden="1">'CNPIs Health and Social'!$K$28</definedName>
    <definedName name="M3B5lUnplanPregBaseline" hidden="1">'CNPIs Health and Social'!$G$28</definedName>
    <definedName name="M3B5lUnplanPregExpectChng" hidden="1">'CNPIs Health and Social'!$I$28</definedName>
    <definedName name="M3B5lUnplanPregResults" hidden="1">'CNPIs Health and Social'!$J$28</definedName>
    <definedName name="M3B5lUnplanPregTarget" hidden="1">'CNPIs Health and Social'!$H$28</definedName>
    <definedName name="M3B5mSubAbuseAccuracy" hidden="1">'CNPIs Health and Social'!$L$29</definedName>
    <definedName name="M3B5mSubAbuseActualChng" hidden="1">'CNPIs Health and Social'!$K$29</definedName>
    <definedName name="M3B5mSubAbuseBaseline" hidden="1">'CNPIs Health and Social'!$G$29</definedName>
    <definedName name="M3B5mSubAbuseExpectChng" hidden="1">'CNPIs Health and Social'!$I$29</definedName>
    <definedName name="M3B5mSubAbuseResults" hidden="1">'CNPIs Health and Social'!$J$29</definedName>
    <definedName name="M3B5mSubAbuseTarget" hidden="1">'CNPIs Health and Social'!$H$29</definedName>
    <definedName name="M3B5nDomViolenceAccuracy" hidden="1">'CNPIs Health and Social'!$L$30</definedName>
    <definedName name="M3B5nDomViolenceActualChng" hidden="1">'CNPIs Health and Social'!$K$30</definedName>
    <definedName name="M3B5nDomViolenceBaseline" hidden="1">'CNPIs Health and Social'!$G$30</definedName>
    <definedName name="M3B5nDomViolenceExpectChng" hidden="1">'CNPIs Health and Social'!$I$30</definedName>
    <definedName name="M3B5nDomViolenceResults" hidden="1">'CNPIs Health and Social'!$J$30</definedName>
    <definedName name="M3B5nDomViolenceTarget" hidden="1">'CNPIs Health and Social'!$H$30</definedName>
    <definedName name="M3B5oChildAbuseAccuracy" hidden="1">'CNPIs Health and Social'!$L$31</definedName>
    <definedName name="M3B5oChildAbuseActualChng" hidden="1">'CNPIs Health and Social'!$K$31</definedName>
    <definedName name="M3B5oChildAbuseBaseline" hidden="1">'CNPIs Health and Social'!$G$31</definedName>
    <definedName name="M3B5oChildAbuseExpectChng" hidden="1">'CNPIs Health and Social'!$I$31</definedName>
    <definedName name="M3B5oChildAbuseResults" hidden="1">'CNPIs Health and Social'!$J$31</definedName>
    <definedName name="M3B5oChildAbuseTarget" hidden="1">'CNPIs Health and Social'!$H$31</definedName>
    <definedName name="M3B5pChildNeglectAccuracy" hidden="1">'CNPIs Health and Social'!$L$32</definedName>
    <definedName name="M3B5pChildNeglectActualChng" hidden="1">'CNPIs Health and Social'!$K$32</definedName>
    <definedName name="M3B5pChildNeglectBaseline" hidden="1">'CNPIs Health and Social'!$G$32</definedName>
    <definedName name="M3B5pChildNeglectExpectChng" hidden="1">'CNPIs Health and Social'!$I$32</definedName>
    <definedName name="M3B5pChildNeglectResults" hidden="1">'CNPIs Health and Social'!$J$32</definedName>
    <definedName name="M3B5pChildNeglectTarget" hidden="1">'CNPIs Health and Social'!$H$32</definedName>
    <definedName name="M3B5qElderAbuseAccuracy" hidden="1">'CNPIs Health and Social'!$L$33</definedName>
    <definedName name="M3B5qElderAbuseActualChng" hidden="1">'CNPIs Health and Social'!$K$33</definedName>
    <definedName name="M3B5qElderAbuseBaseline" hidden="1">'CNPIs Health and Social'!$G$33</definedName>
    <definedName name="M3B5qElderAbuseExpectChng" hidden="1">'CNPIs Health and Social'!$I$33</definedName>
    <definedName name="M3B5qElderAbuseResults" hidden="1">'CNPIs Health and Social'!$J$33</definedName>
    <definedName name="M3B5qElderAbuseTarget" hidden="1">'CNPIs Health and Social'!$H$33</definedName>
    <definedName name="M3B5rElderNeglectAccuracy" hidden="1">'CNPIs Health and Social'!$L$34</definedName>
    <definedName name="M3B5rElderNeglectActualChng" hidden="1">'CNPIs Health and Social'!$K$34</definedName>
    <definedName name="M3B5rElderNeglectBaseline" hidden="1">'CNPIs Health and Social'!$G$34</definedName>
    <definedName name="M3B5rElderNeglectExpectChng" hidden="1">'CNPIs Health and Social'!$I$34</definedName>
    <definedName name="M3B5rElderNeglectResults" hidden="1">'CNPIs Health and Social'!$J$34</definedName>
    <definedName name="M3B5rElderNeglectTarget" hidden="1">'CNPIs Health and Social'!$H$34</definedName>
    <definedName name="M3B5sRecidivismAccuracy" hidden="1">'CNPIs Health and Social'!$L$37</definedName>
    <definedName name="M3B5sRecidivismActualChng" hidden="1">'CNPIs Health and Social'!$K$37</definedName>
    <definedName name="M3B5sRecidivismBaseline" hidden="1">'CNPIs Health and Social'!$G$37</definedName>
    <definedName name="M3B5sRecidivismExpectChng" hidden="1">'CNPIs Health and Social'!$I$37</definedName>
    <definedName name="M3B5sRecidivismResults" hidden="1">'CNPIs Health and Social'!$J$37</definedName>
    <definedName name="M3B5sRecidivismTarget" hidden="1">'CNPIs Health and Social'!$H$37</definedName>
    <definedName name="M3B5tNonViolCrimeAccuracy" hidden="1">'CNPIs Health and Social'!$L$38</definedName>
    <definedName name="M3B5tNonViolCrimeActualChng" hidden="1">'CNPIs Health and Social'!$K$38</definedName>
    <definedName name="M3B5tNonViolCrimeBaseline" hidden="1">'CNPIs Health and Social'!$G$38</definedName>
    <definedName name="M3B5tNonViolCrimeExpectChng" hidden="1">'CNPIs Health and Social'!$I$38</definedName>
    <definedName name="M3B5tNonViolCrimeResults" hidden="1">'CNPIs Health and Social'!$J$38</definedName>
    <definedName name="M3B5tNonViolCrimeTarget" hidden="1">'CNPIs Health and Social'!$H$38</definedName>
    <definedName name="M3B5uViolCrimeAccuracy" hidden="1">'CNPIs Health and Social'!$L$39</definedName>
    <definedName name="M3B5uViolCrimeActualChng" hidden="1">'CNPIs Health and Social'!$K$39</definedName>
    <definedName name="M3B5uViolCrimeBaseline" hidden="1">'CNPIs Health and Social'!$G$39</definedName>
    <definedName name="M3B5uViolCrimeExpectChng" hidden="1">'CNPIs Health and Social'!$I$39</definedName>
    <definedName name="M3B5uViolCrimeResults" hidden="1">'CNPIs Health and Social'!$J$39</definedName>
    <definedName name="M3B5uViolCrimeTarget" hidden="1">'CNPIs Health and Social'!$H$39</definedName>
    <definedName name="M3B5vJuvenileCourtAccuracy" hidden="1">'CNPIs Health and Social'!$L$40</definedName>
    <definedName name="M3B5vJuvenileCourtActualChng" hidden="1">'CNPIs Health and Social'!$K$40</definedName>
    <definedName name="M3B5vJuvenileCourtBaseline" hidden="1">'CNPIs Health and Social'!$G$40</definedName>
    <definedName name="M3B5vJuvenileCourtExpectChng" hidden="1">'CNPIs Health and Social'!$I$40</definedName>
    <definedName name="M3B5vJuvenileCourtResults" hidden="1">'CNPIs Health and Social'!$J$40</definedName>
    <definedName name="M3B5vJuvenileCourtTarget" hidden="1">'CNPIs Health and Social'!$H$40</definedName>
    <definedName name="M3B5z1OtherHealthSoc1Accuracy" hidden="1">'CNPIs Health and Social'!$L$16</definedName>
    <definedName name="M3B5z1OtherHealthSoc1Name" hidden="1">'CNPIs Health and Social'!$C$16</definedName>
    <definedName name="M3B5z1OtherHealthSoc1Results" hidden="1">'CNPIs Health and Social'!$K$16</definedName>
    <definedName name="M3B5z1OtherHealthSoc1Target" hidden="1">'CNPIs Health and Social'!$J$16</definedName>
    <definedName name="M3B5z2OtherHealthSoc2Accuracy" hidden="1">'CNPIs Health and Social'!$L$17</definedName>
    <definedName name="M3B5z2OtherHealthSoc2Name" hidden="1">'CNPIs Health and Social'!$C$17</definedName>
    <definedName name="M3B5z2OtherHealthSoc2Results" hidden="1">'CNPIs Health and Social'!$K$17</definedName>
    <definedName name="M3B5z2OtherHealthSoc2Target" hidden="1">'CNPIs Health and Social'!$J$17</definedName>
    <definedName name="M3B5z3OtherHealthSoc3Accuracy" hidden="1">'CNPIs Health and Social'!$L$18</definedName>
    <definedName name="M3B5z3OtherHealthSoc3Name" hidden="1">'CNPIs Health and Social'!$C$18</definedName>
    <definedName name="M3B5z3OtherHealthSoc3Results" hidden="1">'CNPIs Health and Social'!$K$18</definedName>
    <definedName name="M3B5z3OtherHealthSoc3Target" hidden="1">'CNPIs Health and Social'!$J$18</definedName>
    <definedName name="M3B5z4OtherHealthSoc4Accuracy" hidden="1">'CNPIs Health and Social'!$L$43</definedName>
    <definedName name="M3B5z4OtherHealthSoc4ActualChng" hidden="1">'CNPIs Health and Social'!$K$43</definedName>
    <definedName name="M3B5z4OtherHealthSoc4Baseline" hidden="1">'CNPIs Health and Social'!$G$43</definedName>
    <definedName name="M3B5z4OtherHealthSoc4ExpectChng" hidden="1">'CNPIs Health and Social'!$I$43</definedName>
    <definedName name="M3B5z4OtherHealthSoc4Name" hidden="1">'CNPIs Health and Social'!$C$43</definedName>
    <definedName name="M3B5z4OtherHealthSoc4Results" hidden="1">'CNPIs Health and Social'!$J$43</definedName>
    <definedName name="M3B5z4OtherHealthSoc4Target" hidden="1">'CNPIs Health and Social'!$H$43</definedName>
    <definedName name="M3B5z5OtherHealthSoc5Accuracy" hidden="1">'CNPIs Health and Social'!$L$44</definedName>
    <definedName name="M3B5z5OtherHealthSoc5ActualChng" hidden="1">'CNPIs Health and Social'!$K$44</definedName>
    <definedName name="M3B5z5OtherHealthSoc5Baseline" hidden="1">'CNPIs Health and Social'!$G$44</definedName>
    <definedName name="M3B5z5OtherHealthSoc5ExpectChng" hidden="1">'CNPIs Health and Social'!$I$44</definedName>
    <definedName name="M3B5z5OtherHealthSoc5Name" hidden="1">'CNPIs Health and Social'!$C$44</definedName>
    <definedName name="M3B5z5OtherHealthSoc5Results" hidden="1">'CNPIs Health and Social'!$J$44</definedName>
    <definedName name="M3B5z5OtherHealthSoc5Target" hidden="1">'CNPIs Health and Social'!$H$44</definedName>
    <definedName name="M3B5z6OtherHealthSoc6Accuracy" hidden="1">'CNPIs Health and Social'!$L$45</definedName>
    <definedName name="M3B5z6OtherHealthSoc6ActualChng" hidden="1">'CNPIs Health and Social'!$K$45</definedName>
    <definedName name="M3B5z6OtherHealthSoc6Baseline" hidden="1">'CNPIs Health and Social'!$G$45</definedName>
    <definedName name="M3B5z6OtherHealthSoc6ExpectChng" hidden="1">'CNPIs Health and Social'!$I$45</definedName>
    <definedName name="M3B5z6OtherHealthSoc6Name" hidden="1">'CNPIs Health and Social'!$C$45</definedName>
    <definedName name="M3B5z6OtherHealthSoc6Results" hidden="1">'CNPIs Health and Social'!$J$45</definedName>
    <definedName name="M3B5z6OtherHealthSoc6Target" hidden="1">'CNPIs Health and Social'!$H$45</definedName>
    <definedName name="M3B6G2aDonatedTimeAccuracy" hidden="1">'CNPIs G2 Civic Engagement'!$L$10</definedName>
    <definedName name="M3B6G2aDonatedTimeActualChng" hidden="1">'CNPIs G2 Civic Engagement'!$K$10</definedName>
    <definedName name="M3B6G2aDonatedTimeBaseline" hidden="1">'CNPIs G2 Civic Engagement'!$G$10</definedName>
    <definedName name="M3B6G2aDonatedTimeExpectChng" hidden="1">'CNPIs G2 Civic Engagement'!$I$10</definedName>
    <definedName name="M3B6G2aDonatedTimeResults" hidden="1">'CNPIs G2 Civic Engagement'!$J$10</definedName>
    <definedName name="M3B6G2aDonatedTimeTarget" hidden="1">'CNPIs G2 Civic Engagement'!$H$10</definedName>
    <definedName name="M3B6G2bDonatedResourcesAccuracy" hidden="1">'CNPIs G2 Civic Engagement'!$L$11</definedName>
    <definedName name="M3B6G2bDonatedResourcesActualChng" hidden="1">'CNPIs G2 Civic Engagement'!$K$11</definedName>
    <definedName name="M3B6G2bDonatedResourcesBaseline" hidden="1">'CNPIs G2 Civic Engagement'!$G$11</definedName>
    <definedName name="M3B6G2bDonatedResourcesExpectChng" hidden="1">'CNPIs G2 Civic Engagement'!$I$11</definedName>
    <definedName name="M3B6G2bDonatedResourcesResults" hidden="1">'CNPIs G2 Civic Engagement'!$J$11</definedName>
    <definedName name="M3B6G2bDonatedResourcesTarget" hidden="1">'CNPIs G2 Civic Engagement'!$H$11</definedName>
    <definedName name="M3B6G2cPeoplePartAccuracy" hidden="1">'CNPIs G2 Civic Engagement'!$L$12</definedName>
    <definedName name="M3B6G2cPeoplePartActualChng" hidden="1">'CNPIs G2 Civic Engagement'!$K$12</definedName>
    <definedName name="M3B6G2cPeoplePartBaseline" hidden="1">'CNPIs G2 Civic Engagement'!$G$12</definedName>
    <definedName name="M3B6G2cPeoplePartExpectChng" hidden="1">'CNPIs G2 Civic Engagement'!$I$12</definedName>
    <definedName name="M3B6G2cPeoplePartResults" hidden="1">'CNPIs G2 Civic Engagement'!$J$12</definedName>
    <definedName name="M3B6G2cPeoplePartTarget" hidden="1">'CNPIs G2 Civic Engagement'!$H$12</definedName>
    <definedName name="M3B6G2z1OtherCivicEngG21Accuracy" hidden="1">'CNPIs G2 Civic Engagement'!$L$15</definedName>
    <definedName name="M3B6G2z1OtherCivicEngG21ActualChng" hidden="1">'CNPIs G2 Civic Engagement'!$K$15</definedName>
    <definedName name="M3B6G2z1OtherCivicEngG21Baseline" hidden="1">'CNPIs G2 Civic Engagement'!$G$15</definedName>
    <definedName name="M3B6G2z1OtherCivicEngG21ExpectChng" hidden="1">'CNPIs G2 Civic Engagement'!$I$15</definedName>
    <definedName name="M3B6G2z1OtherCivicEngG21Name" hidden="1">'CNPIs G2 Civic Engagement'!$C$15</definedName>
    <definedName name="M3B6G2z1OtherCivicEngG21Results" hidden="1">'CNPIs G2 Civic Engagement'!$J$15</definedName>
    <definedName name="M3B6G2z1OtherCivicEngG21Target" hidden="1">'CNPIs G2 Civic Engagement'!$H$15</definedName>
    <definedName name="M3B6G2z2OtherCivicEngG22Accuracy" hidden="1">'CNPIs G2 Civic Engagement'!$L$16</definedName>
    <definedName name="M3B6G2z2OtherCivicEngG22ActualChng" hidden="1">'CNPIs G2 Civic Engagement'!$K$16</definedName>
    <definedName name="M3B6G2z2OtherCivicEngG22Baseline" hidden="1">'CNPIs G2 Civic Engagement'!$G$16</definedName>
    <definedName name="M3B6G2z2OtherCivicEngG22ExpectChng" hidden="1">'CNPIs G2 Civic Engagement'!$I$16</definedName>
    <definedName name="M3B6G2z2OtherCivicEngG22Name" hidden="1">'CNPIs G2 Civic Engagement'!$C$16</definedName>
    <definedName name="M3B6G2z2OtherCivicEngG22Results" hidden="1">'CNPIs G2 Civic Engagement'!$J$16</definedName>
    <definedName name="M3B6G2z2OtherCivicEngG22Target" hidden="1">'CNPIs G2 Civic Engagement'!$H$16</definedName>
    <definedName name="M3B6G2z3OtherCivicEngG23Accuracy" hidden="1">'CNPIs G2 Civic Engagement'!$L$17</definedName>
    <definedName name="M3B6G2z3OtherCivicEngG23ActualChng" hidden="1">'CNPIs G2 Civic Engagement'!$K$17</definedName>
    <definedName name="M3B6G2z3OtherCivicEngG23Baseline" hidden="1">'CNPIs G2 Civic Engagement'!$G$17</definedName>
    <definedName name="M3B6G2z3OtherCivicEngG23ExpectChng" hidden="1">'CNPIs G2 Civic Engagement'!$I$17</definedName>
    <definedName name="M3B6G2z3OtherCivicEngG23Name" hidden="1">'CNPIs G2 Civic Engagement'!$C$17</definedName>
    <definedName name="M3B6G2z3OtherCivicEngG23Results" hidden="1">'CNPIs G2 Civic Engagement'!$J$17</definedName>
    <definedName name="M3B6G2z3OtherCivicEngG23Target" hidden="1">'CNPIs G2 Civic Engagement'!$H$17</definedName>
    <definedName name="M3B6G2z4OtherCivicEngG24Accuracy" hidden="1">'CNPIs G2 Civic Engagement'!$L$20</definedName>
    <definedName name="M3B6G2z4OtherCivicEngG24Name" hidden="1">'CNPIs G2 Civic Engagement'!$C$20</definedName>
    <definedName name="M3B6G2z4OtherCivicEngG24Results" hidden="1">'CNPIs G2 Civic Engagement'!$K$20</definedName>
    <definedName name="M3B6G2z4OtherCivicEngG24Target" hidden="1">'CNPIs G2 Civic Engagement'!$J$20</definedName>
    <definedName name="M3B6G2z5OtherCivicEngG25Accuracy" hidden="1">'CNPIs G2 Civic Engagement'!$L$21</definedName>
    <definedName name="M3B6G2z5OtherCivicEngG25Name" hidden="1">'CNPIs G2 Civic Engagement'!$C$21</definedName>
    <definedName name="M3B6G2z5OtherCivicEngG25Results" hidden="1">'CNPIs G2 Civic Engagement'!$K$21</definedName>
    <definedName name="M3B6G2z5OtherCivicEngG25Target" hidden="1">'CNPIs G2 Civic Engagement'!$J$21</definedName>
    <definedName name="M3B6G2z6OtherCivicEngG26Accuracy" hidden="1">'CNPIs G2 Civic Engagement'!$L$22</definedName>
    <definedName name="M3B6G2z6OtherCivicEngG26Name" hidden="1">'CNPIs G2 Civic Engagement'!$C$22</definedName>
    <definedName name="M3B6G2z6OtherCivicEngG26Results" hidden="1">'CNPIs G2 Civic Engagement'!$K$22</definedName>
    <definedName name="M3B6G2z6OtherCivicEngG26Target" hidden="1">'CNPIs G2 Civic Engagement'!$J$22</definedName>
    <definedName name="M3B6G3aSuppImplAccuracy" hidden="1">'CNPIs G3 Civic Engagement'!$L$10</definedName>
    <definedName name="M3B6G3aSuppImplActualChng" hidden="1">'CNPIs G3 Civic Engagement'!$K$10</definedName>
    <definedName name="M3B6G3aSuppImplBaseline" hidden="1">'CNPIs G3 Civic Engagement'!$G$10</definedName>
    <definedName name="M3B6G3aSuppImplExpectChng" hidden="1">'CNPIs G3 Civic Engagement'!$I$10</definedName>
    <definedName name="M3B6G3aSuppImplResults" hidden="1">'CNPIs G3 Civic Engagement'!$J$10</definedName>
    <definedName name="M3B6G3aSuppImplTarget" hidden="1">'CNPIs G3 Civic Engagement'!$H$10</definedName>
    <definedName name="M3B6G3bLeadRoleAccuracy" hidden="1">'CNPIs G3 Civic Engagement'!$L$11</definedName>
    <definedName name="M3B6G3bLeadRoleActualChng" hidden="1">'CNPIs G3 Civic Engagement'!$K$11</definedName>
    <definedName name="M3B6G3bLeadRoleBaseline" hidden="1">'CNPIs G3 Civic Engagement'!$G$11</definedName>
    <definedName name="M3B6G3bLeadRoleExpectChng" hidden="1">'CNPIs G3 Civic Engagement'!$I$11</definedName>
    <definedName name="M3B6G3bLeadRoleResults" hidden="1">'CNPIs G3 Civic Engagement'!$J$11</definedName>
    <definedName name="M3B6G3bLeadRoleTarget" hidden="1">'CNPIs G3 Civic Engagement'!$H$11</definedName>
    <definedName name="M3B6G3Comments" hidden="1">'CNPIs G3 Civic Engagement'!$B$23</definedName>
    <definedName name="M3B6G3z1OtherCivicEngG31Accuracy" hidden="1">'CNPIs G3 Civic Engagement'!$L$14</definedName>
    <definedName name="M3B6G3z1OtherCivicEngG31ActualChng" hidden="1">'CNPIs G3 Civic Engagement'!$K$14</definedName>
    <definedName name="M3B6G3z1OtherCivicEngG31Baseline" hidden="1">'CNPIs G3 Civic Engagement'!$G$14</definedName>
    <definedName name="M3B6G3z1OtherCivicEngG31ExpectChng" hidden="1">'CNPIs G3 Civic Engagement'!$I$14</definedName>
    <definedName name="M3B6G3z1OtherCivicEngG31Name" hidden="1">'CNPIs G3 Civic Engagement'!$C$14</definedName>
    <definedName name="M3B6G3z1OtherCivicEngG31Results" hidden="1">'CNPIs G3 Civic Engagement'!$J$14</definedName>
    <definedName name="M3B6G3z1OtherCivicEngG31Target" hidden="1">'CNPIs G3 Civic Engagement'!$H$14</definedName>
    <definedName name="M3B6G3z2OtherCivicEngG32Accuracy" hidden="1">'CNPIs G3 Civic Engagement'!$L$15</definedName>
    <definedName name="M3B6G3z2OtherCivicEngG32ActualChng" hidden="1">'CNPIs G3 Civic Engagement'!$K$15</definedName>
    <definedName name="M3B6G3z2OtherCivicEngG32Baseline" hidden="1">'CNPIs G3 Civic Engagement'!$G$15</definedName>
    <definedName name="M3B6G3z2OtherCivicEngG32ExpectChng" hidden="1">'CNPIs G3 Civic Engagement'!$I$15</definedName>
    <definedName name="M3B6G3z2OtherCivicEngG32Name" hidden="1">'CNPIs G3 Civic Engagement'!$C$15</definedName>
    <definedName name="M3B6G3z2OtherCivicEngG32Results" hidden="1">'CNPIs G3 Civic Engagement'!$J$15</definedName>
    <definedName name="M3B6G3z2OtherCivicEngG32Target" hidden="1">'CNPIs G3 Civic Engagement'!$H$15</definedName>
    <definedName name="M3B6G3z3OtherCivicEngG33Accuracy" hidden="1">'CNPIs G3 Civic Engagement'!$L$16</definedName>
    <definedName name="M3B6G3z3OtherCivicEngG33ActualChng" hidden="1">'CNPIs G3 Civic Engagement'!$K$16</definedName>
    <definedName name="M3B6G3z3OtherCivicEngG33Baseline" hidden="1">'CNPIs G3 Civic Engagement'!$G$16</definedName>
    <definedName name="M3B6G3z3OtherCivicEngG33ExpectChng" hidden="1">'CNPIs G3 Civic Engagement'!$I$16</definedName>
    <definedName name="M3B6G3z3OtherCivicEngG33Name" hidden="1">'CNPIs G3 Civic Engagement'!$C$16</definedName>
    <definedName name="M3B6G3z3OtherCivicEngG33Results" hidden="1">'CNPIs G3 Civic Engagement'!$J$16</definedName>
    <definedName name="M3B6G3z3OtherCivicEngG33Target" hidden="1">'CNPIs G3 Civic Engagement'!$H$16</definedName>
    <definedName name="M3B6G3z4OtherCivicEngG34Accuracy" hidden="1">'CNPIs G3 Civic Engagement'!$L$19</definedName>
    <definedName name="M3B6G3z4OtherCivicEngG34Name" hidden="1">'CNPIs G3 Civic Engagement'!$C$19</definedName>
    <definedName name="M3B6G3z4OtherCivicEngG34Results" hidden="1">'CNPIs G3 Civic Engagement'!$K$19</definedName>
    <definedName name="M3B6G3z4OtherCivicEngG34Target" hidden="1">'CNPIs G3 Civic Engagement'!$J$19</definedName>
    <definedName name="M3B6G3z5OtherCivicEngG35Accuracy" hidden="1">'CNPIs G3 Civic Engagement'!$L$20</definedName>
    <definedName name="M3B6G3z5OtherCivicEngG35Name" hidden="1">'CNPIs G3 Civic Engagement'!$C$20</definedName>
    <definedName name="M3B6G3z5OtherCivicEngG35Results" hidden="1">'CNPIs G3 Civic Engagement'!$K$20</definedName>
    <definedName name="M3B6G3z5OtherCivicEngG35Target" hidden="1">'CNPIs G3 Civic Engagement'!$J$20</definedName>
    <definedName name="M3B6G3z6OtherCivicEngG36Accuracy" hidden="1">'CNPIs G3 Civic Engagement'!$L$21</definedName>
    <definedName name="M3B6G3z6OtherCivicEngG36Name" hidden="1">'CNPIs G3 Civic Engagement'!$C$21</definedName>
    <definedName name="M3B6G3z6OtherCivicEngG36Results" hidden="1">'CNPIs G3 Civic Engagement'!$K$21</definedName>
    <definedName name="M3B6G3z6OtherCivicEngG36Target" hidden="1">'CNPIs G3 Civic Engagement'!$J$21</definedName>
    <definedName name="M3GrantNumber" hidden="1">'XML Export Map'!$D$12</definedName>
    <definedName name="M3IncludesCSBGCares" hidden="1">Lookups!$N$33</definedName>
    <definedName name="M3IncludesCSBGDisaster" hidden="1">Lookups!$N$35</definedName>
    <definedName name="M3IncludesCSBGFunds" hidden="1">Lookups!$N$35</definedName>
    <definedName name="M3LeadAgency" hidden="1">'XML Export Map'!$D$4</definedName>
    <definedName name="M3OrgAbbrev" hidden="1">'XML Export Map'!$D$7</definedName>
    <definedName name="M3ProgramAcronym" hidden="1">'XML Export Map'!$D$8</definedName>
    <definedName name="M3ReportingStatus" hidden="1">'Status Form'!$C$8</definedName>
    <definedName name="M3ReportPeriodEndDate" hidden="1">'XML Export Map'!$D$11</definedName>
    <definedName name="M3ReportPeriodStartDate" hidden="1">'XML Export Map'!$D$10</definedName>
    <definedName name="M3StateName" hidden="1">'Status Form'!$C$4</definedName>
    <definedName name="M3UEI" hidden="1">'Status Form'!$E$4</definedName>
    <definedName name="Memo_Err_Message" hidden="1">Lookups!$M$4</definedName>
    <definedName name="Memo_Err_Title" hidden="1">Lookups!$M$3</definedName>
    <definedName name="Memo_Max_Length" hidden="1">'Edit Narrative'!$X$6</definedName>
    <definedName name="OtherText" hidden="1">Lookups!$M$6</definedName>
    <definedName name="Partnership_Type" hidden="1">Lookups!$J$4:$J$7</definedName>
    <definedName name="_xlnm.Print_Area" localSheetId="8" hidden="1">'CNPIs Education'!$A$2:$L$36</definedName>
    <definedName name="_xlnm.Print_Area" localSheetId="7" hidden="1">'CNPIs Employment'!$A$2:$L$31</definedName>
    <definedName name="_xlnm.Print_Area" localSheetId="12" hidden="1">'CNPIs G2 Civic Engagement'!$A$2:$M$23</definedName>
    <definedName name="_xlnm.Print_Area" localSheetId="13" hidden="1">'CNPIs G3 Civic Engagement'!$A$2:$M$22</definedName>
    <definedName name="_xlnm.Print_Area" localSheetId="11" hidden="1">'CNPIs Health and Social'!$B$2:$L$47</definedName>
    <definedName name="_xlnm.Print_Area" localSheetId="10" hidden="1">'CNPIs Housing'!$A$2:$M$31</definedName>
    <definedName name="_xlnm.Print_Area" localSheetId="9" hidden="1">'CNPIs Infrastructure Asset'!$A$2:$M$41</definedName>
    <definedName name="_xlnm.Print_Area" localSheetId="6" hidden="1">'Status Form'!$G$9:$T$26</definedName>
    <definedName name="_xlnm.Print_Area" localSheetId="5" hidden="1">'Status Form Print'!$B$1:$E$39</definedName>
    <definedName name="_xlnm.Print_Area" localSheetId="15" hidden="1">'Strategies List'!$A$2:$C$96</definedName>
    <definedName name="_xlnm.Print_Titles" localSheetId="8" hidden="1">'CNPIs Education'!$2:$5</definedName>
    <definedName name="_xlnm.Print_Titles" localSheetId="7" hidden="1">'CNPIs Employment'!$2:$4</definedName>
    <definedName name="_xlnm.Print_Titles" localSheetId="12" hidden="1">'CNPIs G2 Civic Engagement'!$2:$5</definedName>
    <definedName name="_xlnm.Print_Titles" localSheetId="13" hidden="1">'CNPIs G3 Civic Engagement'!$2:$5</definedName>
    <definedName name="_xlnm.Print_Titles" localSheetId="11" hidden="1">'CNPIs Health and Social'!$2:$5</definedName>
    <definedName name="_xlnm.Print_Titles" localSheetId="10" hidden="1">'CNPIs Housing'!$2:$5</definedName>
    <definedName name="_xlnm.Print_Titles" localSheetId="9" hidden="1">'CNPIs Infrastructure Asset'!$2:$5</definedName>
    <definedName name="_xlnm.Print_Titles" localSheetId="0" hidden="1">Instructions!$2:$3</definedName>
    <definedName name="_xlnm.Print_Titles" localSheetId="15" hidden="1">'Strategies List'!$2:$2</definedName>
    <definedName name="Progress" hidden="1">Lookups!$F$15:$F$18</definedName>
    <definedName name="Project_Year" hidden="1">Lookups!$A$4:$A$11</definedName>
    <definedName name="Reporting_Status" hidden="1">Lookups!$J$10:$J$12</definedName>
    <definedName name="XML_Filename" hidden="1">Lookups!$M$16</definedName>
    <definedName name="year" hidden="1">Lookups!$A$4:$A$15</definedName>
    <definedName name="Yes_No" hidden="1">Lookups!$C$15:$C$16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38" l="1"/>
  <c r="G31" i="38"/>
  <c r="G30" i="38"/>
  <c r="G29" i="38"/>
  <c r="G28" i="38"/>
  <c r="G27" i="38"/>
  <c r="G26" i="38"/>
  <c r="G25" i="38"/>
  <c r="G17" i="38"/>
  <c r="G16" i="38"/>
  <c r="G15" i="38"/>
  <c r="G14" i="38"/>
  <c r="G13" i="38"/>
  <c r="Y5" i="44" l="1"/>
  <c r="B2" i="44" s="1"/>
  <c r="Y4" i="44"/>
  <c r="B1" i="44" s="1"/>
  <c r="C33" i="38"/>
  <c r="C34" i="38"/>
  <c r="C36" i="38"/>
  <c r="C37" i="38"/>
  <c r="C21" i="38"/>
  <c r="C19" i="38"/>
  <c r="D16" i="37"/>
  <c r="D311" i="37"/>
  <c r="Z9" i="34"/>
  <c r="AB26" i="34"/>
  <c r="AA26" i="34"/>
  <c r="AB25" i="34"/>
  <c r="AA25" i="34"/>
  <c r="AB23" i="34"/>
  <c r="AA23" i="34"/>
  <c r="AB22" i="34"/>
  <c r="AA22" i="34"/>
  <c r="AB20" i="34"/>
  <c r="AA20" i="34"/>
  <c r="AB19" i="34"/>
  <c r="AA19" i="34"/>
  <c r="AB18" i="34"/>
  <c r="AA18" i="34"/>
  <c r="AB17" i="34"/>
  <c r="AA17" i="34"/>
  <c r="AB16" i="34"/>
  <c r="AA16" i="34"/>
  <c r="AB13" i="34"/>
  <c r="AA13" i="34"/>
  <c r="AB12" i="34"/>
  <c r="AA12" i="34"/>
  <c r="AB11" i="34"/>
  <c r="AA11" i="34"/>
  <c r="AA10" i="34"/>
  <c r="AB10" i="34"/>
  <c r="AI7" i="43"/>
  <c r="AI6" i="43"/>
  <c r="AI5" i="43"/>
  <c r="AI4" i="43"/>
  <c r="AI3" i="43"/>
  <c r="AI2" i="43"/>
  <c r="Z100" i="43" l="1"/>
  <c r="Z63" i="43"/>
  <c r="Z42" i="43"/>
  <c r="Z120" i="43"/>
  <c r="Z106" i="43"/>
  <c r="Z78" i="43"/>
  <c r="Z60" i="43"/>
  <c r="Z135" i="43"/>
  <c r="Z133" i="43"/>
  <c r="Z134" i="43" s="1"/>
  <c r="Z132" i="43"/>
  <c r="Z131" i="43"/>
  <c r="Z130" i="43"/>
  <c r="Z129" i="43"/>
  <c r="Z128" i="43"/>
  <c r="Z127" i="43"/>
  <c r="Z125" i="43"/>
  <c r="Z123" i="43"/>
  <c r="Z124" i="43" s="1"/>
  <c r="Z122" i="43"/>
  <c r="Z121" i="43"/>
  <c r="Z118" i="43"/>
  <c r="Z115" i="43"/>
  <c r="Z111" i="43"/>
  <c r="Z107" i="43"/>
  <c r="Z105" i="43"/>
  <c r="Z104" i="43"/>
  <c r="Z102" i="43"/>
  <c r="Z103" i="43" s="1"/>
  <c r="Z101" i="43"/>
  <c r="Z97" i="43"/>
  <c r="Z96" i="43"/>
  <c r="Z95" i="43"/>
  <c r="Z94" i="43"/>
  <c r="Z92" i="43"/>
  <c r="Z90" i="43"/>
  <c r="Z81" i="43"/>
  <c r="Z80" i="43"/>
  <c r="Z79" i="43"/>
  <c r="Z75" i="43"/>
  <c r="Z73" i="43"/>
  <c r="Z66" i="43"/>
  <c r="Z65" i="43"/>
  <c r="Z64" i="43"/>
  <c r="Z58" i="43"/>
  <c r="Z41" i="43"/>
  <c r="Z40" i="43"/>
  <c r="Z39" i="43"/>
  <c r="Z38" i="43"/>
  <c r="Z37" i="43"/>
  <c r="Z36" i="43"/>
  <c r="Z35" i="43"/>
  <c r="Z22" i="43"/>
  <c r="Z21" i="43"/>
  <c r="Z20" i="43"/>
  <c r="Z19" i="43"/>
  <c r="Z8" i="43"/>
  <c r="Z7" i="43"/>
  <c r="Z6" i="43"/>
  <c r="Z126" i="43"/>
  <c r="Z116" i="43"/>
  <c r="Z112" i="43"/>
  <c r="Z89" i="43"/>
  <c r="Z87" i="43"/>
  <c r="Z88" i="43" s="1"/>
  <c r="Z86" i="43"/>
  <c r="Z85" i="43"/>
  <c r="Z84" i="43"/>
  <c r="Z83" i="43"/>
  <c r="Z82" i="43"/>
  <c r="Z72" i="43"/>
  <c r="Z71" i="43"/>
  <c r="Z69" i="43"/>
  <c r="Z70" i="43" s="1"/>
  <c r="Z53" i="43"/>
  <c r="Z52" i="43"/>
  <c r="Z51" i="43"/>
  <c r="Z50" i="43"/>
  <c r="Z49" i="43"/>
  <c r="Z48" i="43"/>
  <c r="Z47" i="43"/>
  <c r="Z46" i="43"/>
  <c r="Z45" i="43"/>
  <c r="Z44" i="43"/>
  <c r="Z43" i="43"/>
  <c r="Z34" i="43"/>
  <c r="Z32" i="43"/>
  <c r="Z33" i="43" s="1"/>
  <c r="Z31" i="43"/>
  <c r="Z30" i="43"/>
  <c r="Z29" i="43"/>
  <c r="Z28" i="43"/>
  <c r="Z27" i="43"/>
  <c r="Z26" i="43"/>
  <c r="Z25" i="43"/>
  <c r="Z24" i="43"/>
  <c r="Z23" i="43"/>
  <c r="Z18" i="43"/>
  <c r="Z16" i="43"/>
  <c r="Z17" i="43" s="1"/>
  <c r="Z15" i="43"/>
  <c r="Z14" i="43"/>
  <c r="Z13" i="43"/>
  <c r="Z12" i="43"/>
  <c r="Z11" i="43"/>
  <c r="Z10" i="43"/>
  <c r="Z9" i="43"/>
  <c r="I311" i="37"/>
  <c r="T638" i="37"/>
  <c r="T637" i="37"/>
  <c r="T636" i="37"/>
  <c r="T635" i="37"/>
  <c r="T634" i="37"/>
  <c r="T633" i="37"/>
  <c r="T632" i="37"/>
  <c r="T631" i="37"/>
  <c r="T630" i="37"/>
  <c r="T629" i="37"/>
  <c r="T628" i="37"/>
  <c r="T627" i="37"/>
  <c r="T626" i="37"/>
  <c r="T625" i="37"/>
  <c r="T624" i="37"/>
  <c r="T623" i="37"/>
  <c r="T622" i="37"/>
  <c r="T621" i="37"/>
  <c r="T620" i="37"/>
  <c r="T619" i="37"/>
  <c r="T618" i="37"/>
  <c r="T617" i="37"/>
  <c r="T616" i="37"/>
  <c r="T615" i="37"/>
  <c r="T614" i="37"/>
  <c r="T613" i="37"/>
  <c r="T612" i="37"/>
  <c r="T611" i="37"/>
  <c r="T610" i="37"/>
  <c r="T609" i="37"/>
  <c r="T608" i="37"/>
  <c r="T607" i="37"/>
  <c r="T606" i="37"/>
  <c r="T605" i="37"/>
  <c r="T604" i="37"/>
  <c r="T603" i="37"/>
  <c r="T602" i="37"/>
  <c r="T601" i="37"/>
  <c r="T600" i="37"/>
  <c r="T599" i="37"/>
  <c r="Z54" i="43" l="1"/>
  <c r="Z55" i="43"/>
  <c r="Z56" i="43" s="1"/>
  <c r="Z59" i="43"/>
  <c r="Z57" i="43"/>
  <c r="Z61" i="43"/>
  <c r="Z67" i="43"/>
  <c r="Z62" i="43"/>
  <c r="Z99" i="43"/>
  <c r="Z68" i="43"/>
  <c r="Z93" i="43"/>
  <c r="Z110" i="43"/>
  <c r="Z113" i="43"/>
  <c r="Z114" i="43" s="1"/>
  <c r="Z98" i="43"/>
  <c r="Z117" i="43"/>
  <c r="Z119" i="43"/>
  <c r="Z74" i="43"/>
  <c r="Z91" i="43"/>
  <c r="Z108" i="43"/>
  <c r="Z109" i="43"/>
  <c r="Z76" i="43"/>
  <c r="Z77" i="43"/>
  <c r="AI7" i="42"/>
  <c r="Z111" i="42" s="1"/>
  <c r="AI6" i="42"/>
  <c r="Z94" i="42" s="1"/>
  <c r="AI5" i="42"/>
  <c r="Z74" i="42" s="1"/>
  <c r="AI4" i="42"/>
  <c r="Z58" i="42" s="1"/>
  <c r="AI3" i="42"/>
  <c r="Z30" i="42" s="1"/>
  <c r="AI2" i="42"/>
  <c r="Z8" i="42" s="1"/>
  <c r="Z116" i="42"/>
  <c r="Z112" i="42"/>
  <c r="Z113" i="42" l="1"/>
  <c r="Z114" i="42"/>
  <c r="Z115" i="42"/>
  <c r="Z20" i="42"/>
  <c r="Z22" i="42"/>
  <c r="Z23" i="42"/>
  <c r="Z21" i="42"/>
  <c r="Z24" i="42"/>
  <c r="Z10" i="42"/>
  <c r="Z15" i="42"/>
  <c r="Z26" i="42"/>
  <c r="Z33" i="42"/>
  <c r="Z31" i="42"/>
  <c r="Z28" i="42"/>
  <c r="Z36" i="42"/>
  <c r="Z37" i="42"/>
  <c r="Z27" i="42"/>
  <c r="Z34" i="42"/>
  <c r="Z38" i="42"/>
  <c r="Z16" i="42"/>
  <c r="Z9" i="42"/>
  <c r="Z61" i="42"/>
  <c r="Z62" i="42"/>
  <c r="Z63" i="42"/>
  <c r="Z64" i="42"/>
  <c r="Z67" i="42"/>
  <c r="Z69" i="42"/>
  <c r="Z70" i="42"/>
  <c r="Z71" i="42"/>
  <c r="Z66" i="42"/>
  <c r="Z68" i="42"/>
  <c r="Z73" i="42"/>
  <c r="Z14" i="42"/>
  <c r="Z65" i="42"/>
  <c r="Z72" i="42"/>
  <c r="Z56" i="42"/>
  <c r="Z60" i="42"/>
  <c r="Z41" i="42"/>
  <c r="Z44" i="42"/>
  <c r="Z45" i="42"/>
  <c r="Z40" i="42"/>
  <c r="Z42" i="42"/>
  <c r="Z46" i="42"/>
  <c r="Z47" i="42"/>
  <c r="Z48" i="42"/>
  <c r="Z49" i="42"/>
  <c r="Z50" i="42"/>
  <c r="Z39" i="42"/>
  <c r="Z51" i="42"/>
  <c r="Z52" i="42"/>
  <c r="Z54" i="42"/>
  <c r="Z76" i="42"/>
  <c r="Z80" i="42"/>
  <c r="Z91" i="42"/>
  <c r="Z95" i="42"/>
  <c r="Z53" i="42"/>
  <c r="Z57" i="42"/>
  <c r="Z59" i="42"/>
  <c r="Z43" i="42"/>
  <c r="Z77" i="42"/>
  <c r="Z78" i="42"/>
  <c r="Z79" i="42"/>
  <c r="Z82" i="42"/>
  <c r="Z83" i="42"/>
  <c r="Z84" i="42"/>
  <c r="Z87" i="42"/>
  <c r="Z93" i="42"/>
  <c r="Z96" i="42"/>
  <c r="Z98" i="42"/>
  <c r="Z102" i="42"/>
  <c r="Z75" i="42"/>
  <c r="Z103" i="42"/>
  <c r="Z104" i="42"/>
  <c r="Z105" i="42"/>
  <c r="Z106" i="42"/>
  <c r="Z107" i="42"/>
  <c r="Z32" i="42"/>
  <c r="Z19" i="42"/>
  <c r="Z35" i="42"/>
  <c r="Z90" i="42"/>
  <c r="Z97" i="42"/>
  <c r="Z25" i="42"/>
  <c r="Z29" i="42"/>
  <c r="Z99" i="42"/>
  <c r="Z12" i="42"/>
  <c r="Z81" i="42"/>
  <c r="Z101" i="42"/>
  <c r="Z86" i="42"/>
  <c r="Z88" i="42"/>
  <c r="Z55" i="42"/>
  <c r="Z89" i="42"/>
  <c r="Z108" i="42"/>
  <c r="Z100" i="42"/>
  <c r="Z85" i="42"/>
  <c r="Z92" i="42"/>
  <c r="Z110" i="42"/>
  <c r="Z109" i="42"/>
  <c r="Z18" i="42"/>
  <c r="Z7" i="42"/>
  <c r="Z17" i="42"/>
  <c r="Z6" i="42"/>
  <c r="Z11" i="42"/>
  <c r="Z13" i="42"/>
  <c r="D9" i="37" a="1"/>
  <c r="D9" i="37" s="1"/>
  <c r="J6" i="33" a="1"/>
  <c r="J6" i="33" s="1"/>
  <c r="J6" i="32" a="1"/>
  <c r="J6" i="32" s="1"/>
  <c r="J6" i="31" a="1"/>
  <c r="J6" i="31" s="1"/>
  <c r="J6" i="28" a="1"/>
  <c r="J6" i="28" s="1"/>
  <c r="J6" i="27" a="1"/>
  <c r="J6" i="27" s="1"/>
  <c r="J6" i="26" a="1"/>
  <c r="J6" i="26" s="1"/>
  <c r="J6" i="19" a="1"/>
  <c r="J6" i="19" s="1"/>
  <c r="E4" i="38" a="1"/>
  <c r="E4" i="38" s="1"/>
  <c r="D40" i="37"/>
  <c r="D39" i="37"/>
  <c r="D38" i="37"/>
  <c r="D37" i="37"/>
  <c r="D309" i="37"/>
  <c r="I309" i="37" s="1"/>
  <c r="D308" i="37"/>
  <c r="I308" i="37" s="1"/>
  <c r="D307" i="37"/>
  <c r="I307" i="37" s="1"/>
  <c r="D305" i="37"/>
  <c r="I305" i="37" s="1"/>
  <c r="D304" i="37"/>
  <c r="I304" i="37" s="1"/>
  <c r="D303" i="37"/>
  <c r="I303" i="37" s="1"/>
  <c r="D301" i="37"/>
  <c r="I301" i="37" s="1"/>
  <c r="D300" i="37"/>
  <c r="I300" i="37" s="1"/>
  <c r="D299" i="37"/>
  <c r="I299" i="37" s="1"/>
  <c r="D263" i="37"/>
  <c r="I263" i="37" s="1"/>
  <c r="D262" i="37"/>
  <c r="I262" i="37" s="1"/>
  <c r="D261" i="37"/>
  <c r="I261" i="37" s="1"/>
  <c r="D259" i="37"/>
  <c r="I259" i="37" s="1"/>
  <c r="D258" i="37"/>
  <c r="I258" i="37" s="1"/>
  <c r="D257" i="37"/>
  <c r="I257" i="37" s="1"/>
  <c r="D255" i="37"/>
  <c r="I255" i="37" s="1"/>
  <c r="D254" i="37"/>
  <c r="I254" i="37" s="1"/>
  <c r="D253" i="37"/>
  <c r="I253" i="37" s="1"/>
  <c r="L21" i="33"/>
  <c r="D310" i="37" s="1"/>
  <c r="I310" i="37" s="1"/>
  <c r="L20" i="33"/>
  <c r="D306" i="37" s="1"/>
  <c r="I306" i="37" s="1"/>
  <c r="L19" i="33"/>
  <c r="D302" i="37" s="1"/>
  <c r="I302" i="37" s="1"/>
  <c r="L22" i="32"/>
  <c r="D264" i="37" s="1"/>
  <c r="I264" i="37" s="1"/>
  <c r="L21" i="32"/>
  <c r="D260" i="37" s="1"/>
  <c r="I260" i="37" s="1"/>
  <c r="L20" i="32"/>
  <c r="D256" i="37" s="1"/>
  <c r="I256" i="37" s="1"/>
  <c r="G6" i="38" l="1"/>
  <c r="E6" i="33"/>
  <c r="E5" i="33"/>
  <c r="E6" i="32"/>
  <c r="E5" i="32"/>
  <c r="E6" i="31"/>
  <c r="E5" i="31"/>
  <c r="E6" i="28"/>
  <c r="E5" i="28"/>
  <c r="E6" i="27"/>
  <c r="E5" i="27"/>
  <c r="E6" i="26"/>
  <c r="E5" i="26"/>
  <c r="E5" i="19"/>
  <c r="E6" i="19"/>
  <c r="L2" i="37" a="1"/>
  <c r="L2" i="37" l="1"/>
  <c r="D208" i="37" a="1"/>
  <c r="D208" i="37" s="1"/>
  <c r="I208" i="37" s="1"/>
  <c r="D206" i="37" a="1"/>
  <c r="D206" i="37" s="1"/>
  <c r="I206" i="37" s="1"/>
  <c r="D207" i="37" a="1"/>
  <c r="D207" i="37" s="1"/>
  <c r="I207" i="37" s="1"/>
  <c r="D210" i="37" a="1"/>
  <c r="D210" i="37" s="1"/>
  <c r="I210" i="37" s="1"/>
  <c r="D201" i="37" a="1"/>
  <c r="D201" i="37" s="1"/>
  <c r="I201" i="37" s="1"/>
  <c r="D199" i="37" a="1"/>
  <c r="D199" i="37" s="1"/>
  <c r="I199" i="37" s="1"/>
  <c r="D200" i="37" a="1"/>
  <c r="D200" i="37" s="1"/>
  <c r="I200" i="37" s="1"/>
  <c r="D203" i="37" a="1"/>
  <c r="D203" i="37" s="1"/>
  <c r="I203" i="37" s="1"/>
  <c r="D194" i="37" a="1"/>
  <c r="D194" i="37" s="1"/>
  <c r="I194" i="37" s="1"/>
  <c r="D192" i="37" a="1"/>
  <c r="D192" i="37" s="1"/>
  <c r="I192" i="37" s="1"/>
  <c r="D193" i="37" a="1"/>
  <c r="D193" i="37" s="1"/>
  <c r="I193" i="37" s="1"/>
  <c r="D196" i="37" a="1"/>
  <c r="D196" i="37" s="1"/>
  <c r="I196" i="37" s="1"/>
  <c r="D171" i="37" a="1"/>
  <c r="D171" i="37" s="1"/>
  <c r="I171" i="37" s="1"/>
  <c r="D170" i="37" a="1"/>
  <c r="D170" i="37" s="1"/>
  <c r="I170" i="37" s="1"/>
  <c r="D172" i="37" a="1"/>
  <c r="D172" i="37" s="1"/>
  <c r="I172" i="37" s="1"/>
  <c r="D167" i="37" a="1"/>
  <c r="D167" i="37" s="1"/>
  <c r="I167" i="37" s="1"/>
  <c r="D166" i="37" a="1"/>
  <c r="D166" i="37" s="1"/>
  <c r="I166" i="37" s="1"/>
  <c r="D168" i="37" a="1"/>
  <c r="D168" i="37" s="1"/>
  <c r="I168" i="37" s="1"/>
  <c r="D163" i="37" a="1"/>
  <c r="D163" i="37" s="1"/>
  <c r="I163" i="37" s="1"/>
  <c r="D162" i="37" a="1"/>
  <c r="D162" i="37" s="1"/>
  <c r="I162" i="37" s="1"/>
  <c r="D164" i="37" a="1"/>
  <c r="D164" i="37" s="1"/>
  <c r="I164" i="37" s="1"/>
  <c r="D187" i="37" a="1"/>
  <c r="D187" i="37" s="1"/>
  <c r="I187" i="37" s="1"/>
  <c r="D186" i="37" a="1"/>
  <c r="D186" i="37" s="1"/>
  <c r="I186" i="37" s="1"/>
  <c r="D189" i="37" a="1"/>
  <c r="D189" i="37" s="1"/>
  <c r="I189" i="37" s="1"/>
  <c r="D181" i="37" a="1"/>
  <c r="D181" i="37" s="1"/>
  <c r="I181" i="37" s="1"/>
  <c r="D180" i="37" a="1"/>
  <c r="D180" i="37" s="1"/>
  <c r="I180" i="37" s="1"/>
  <c r="D183" i="37" a="1"/>
  <c r="D183" i="37" s="1"/>
  <c r="I183" i="37" s="1"/>
  <c r="D175" i="37" a="1"/>
  <c r="D175" i="37" s="1"/>
  <c r="I175" i="37" s="1"/>
  <c r="D174" i="37" a="1"/>
  <c r="D174" i="37" s="1"/>
  <c r="I174" i="37" s="1"/>
  <c r="D177" i="37" a="1"/>
  <c r="D177" i="37" s="1"/>
  <c r="I177" i="37" s="1"/>
  <c r="D159" i="37" a="1"/>
  <c r="D159" i="37" s="1"/>
  <c r="I159" i="37" s="1"/>
  <c r="D160" i="37" a="1"/>
  <c r="D160" i="37" s="1"/>
  <c r="I160" i="37" s="1"/>
  <c r="D156" i="37" a="1"/>
  <c r="D156" i="37" s="1"/>
  <c r="I156" i="37" s="1"/>
  <c r="D157" i="37" a="1"/>
  <c r="D157" i="37" s="1"/>
  <c r="I157" i="37" s="1"/>
  <c r="D153" i="37" a="1"/>
  <c r="D153" i="37" s="1"/>
  <c r="I153" i="37" s="1"/>
  <c r="D154" i="37" a="1"/>
  <c r="D154" i="37" s="1"/>
  <c r="I154" i="37" s="1"/>
  <c r="D150" i="37" a="1"/>
  <c r="D150" i="37" s="1"/>
  <c r="I150" i="37" s="1"/>
  <c r="D151" i="37" a="1"/>
  <c r="D151" i="37" s="1"/>
  <c r="I151" i="37" s="1"/>
  <c r="D147" i="37" a="1"/>
  <c r="D147" i="37" s="1"/>
  <c r="I147" i="37" s="1"/>
  <c r="D148" i="37" a="1"/>
  <c r="D148" i="37" s="1"/>
  <c r="I148" i="37" s="1"/>
  <c r="K2" i="37" l="1"/>
  <c r="C10" i="38"/>
  <c r="C9" i="38"/>
  <c r="C8" i="38"/>
  <c r="C7" i="38"/>
  <c r="C3" i="38"/>
  <c r="C260" i="37" a="1"/>
  <c r="C37" i="37" a="1"/>
  <c r="C259" i="37" a="1"/>
  <c r="C39" i="37" a="1"/>
  <c r="C307" i="37" a="1"/>
  <c r="C257" i="37" a="1"/>
  <c r="C304" i="37" a="1"/>
  <c r="C301" i="37" a="1"/>
  <c r="C309" i="37" a="1"/>
  <c r="C38" i="37" a="1"/>
  <c r="C306" i="37" a="1"/>
  <c r="C299" i="37" a="1"/>
  <c r="C40" i="37" a="1"/>
  <c r="C262" i="37" a="1"/>
  <c r="C261" i="37" a="1"/>
  <c r="C305" i="37" a="1"/>
  <c r="C255" i="37" a="1"/>
  <c r="C310" i="37" a="1"/>
  <c r="C254" i="37" a="1"/>
  <c r="C256" i="37" a="1"/>
  <c r="C258" i="37" a="1"/>
  <c r="C264" i="37" a="1"/>
  <c r="C308" i="37" a="1"/>
  <c r="C253" i="37" a="1"/>
  <c r="C303" i="37" a="1"/>
  <c r="C302" i="37" a="1"/>
  <c r="C300" i="37" a="1"/>
  <c r="C263" i="37" a="1"/>
  <c r="C257" i="37" l="1"/>
  <c r="C303" i="37"/>
  <c r="C258" i="37"/>
  <c r="C306" i="37"/>
  <c r="C259" i="37"/>
  <c r="C253" i="37"/>
  <c r="C264" i="37"/>
  <c r="C309" i="37"/>
  <c r="C305" i="37"/>
  <c r="C254" i="37"/>
  <c r="C39" i="37"/>
  <c r="C262" i="37"/>
  <c r="C301" i="37"/>
  <c r="C255" i="37"/>
  <c r="C300" i="37"/>
  <c r="C38" i="37"/>
  <c r="C256" i="37"/>
  <c r="C37" i="37"/>
  <c r="C308" i="37"/>
  <c r="C299" i="37"/>
  <c r="C263" i="37"/>
  <c r="C304" i="37"/>
  <c r="C302" i="37"/>
  <c r="C40" i="37"/>
  <c r="C260" i="37"/>
  <c r="C261" i="37"/>
  <c r="C310" i="37"/>
  <c r="C307" i="37"/>
  <c r="D5" i="37"/>
  <c r="I16" i="33" l="1"/>
  <c r="D295" i="37" s="1"/>
  <c r="I295" i="37" s="1"/>
  <c r="I15" i="33"/>
  <c r="D288" i="37" s="1"/>
  <c r="I288" i="37" s="1"/>
  <c r="L16" i="33"/>
  <c r="D298" i="37" s="1"/>
  <c r="I298" i="37" s="1"/>
  <c r="L15" i="33"/>
  <c r="D291" i="37" s="1"/>
  <c r="I291" i="37" s="1"/>
  <c r="I29" i="19" l="1"/>
  <c r="D209" i="37" s="1"/>
  <c r="I209" i="37" s="1"/>
  <c r="I28" i="19"/>
  <c r="D202" i="37" s="1"/>
  <c r="I202" i="37" s="1"/>
  <c r="I27" i="19"/>
  <c r="D195" i="37" s="1"/>
  <c r="I195" i="37" s="1"/>
  <c r="C4" i="38" l="1"/>
  <c r="K16" i="33" l="1"/>
  <c r="D297" i="37" s="1"/>
  <c r="I297" i="37" s="1"/>
  <c r="K15" i="33"/>
  <c r="D290" i="37" s="1"/>
  <c r="I290" i="37" s="1"/>
  <c r="L14" i="33"/>
  <c r="D284" i="37" s="1"/>
  <c r="I284" i="37" s="1"/>
  <c r="K14" i="33"/>
  <c r="D283" i="37" s="1"/>
  <c r="I283" i="37" s="1"/>
  <c r="I14" i="33"/>
  <c r="D281" i="37" s="1"/>
  <c r="I281" i="37" s="1"/>
  <c r="L11" i="33"/>
  <c r="D277" i="37" s="1"/>
  <c r="I277" i="37" s="1"/>
  <c r="K11" i="33"/>
  <c r="D276" i="37" s="1"/>
  <c r="I276" i="37" s="1"/>
  <c r="I11" i="33"/>
  <c r="D274" i="37" s="1"/>
  <c r="I274" i="37" s="1"/>
  <c r="L10" i="33"/>
  <c r="D271" i="37" s="1"/>
  <c r="I271" i="37" s="1"/>
  <c r="K10" i="33"/>
  <c r="D270" i="37" s="1"/>
  <c r="I270" i="37" s="1"/>
  <c r="I10" i="33"/>
  <c r="D268" i="37" s="1"/>
  <c r="I268" i="37" s="1"/>
  <c r="L17" i="32"/>
  <c r="D252" i="37" s="1"/>
  <c r="I252" i="37" s="1"/>
  <c r="K17" i="32"/>
  <c r="D251" i="37" s="1"/>
  <c r="I251" i="37" s="1"/>
  <c r="I17" i="32"/>
  <c r="D249" i="37" s="1"/>
  <c r="I249" i="37" s="1"/>
  <c r="L16" i="32"/>
  <c r="D245" i="37" s="1"/>
  <c r="I245" i="37" s="1"/>
  <c r="K16" i="32"/>
  <c r="D244" i="37" s="1"/>
  <c r="I244" i="37" s="1"/>
  <c r="I16" i="32"/>
  <c r="D242" i="37" s="1"/>
  <c r="I242" i="37" s="1"/>
  <c r="L15" i="32"/>
  <c r="D238" i="37" s="1"/>
  <c r="I238" i="37" s="1"/>
  <c r="K15" i="32"/>
  <c r="D237" i="37" s="1"/>
  <c r="I237" i="37" s="1"/>
  <c r="I15" i="32"/>
  <c r="D235" i="37" s="1"/>
  <c r="I235" i="37" s="1"/>
  <c r="L12" i="32"/>
  <c r="D231" i="37" s="1"/>
  <c r="I231" i="37" s="1"/>
  <c r="K12" i="32"/>
  <c r="D230" i="37" s="1"/>
  <c r="I230" i="37" s="1"/>
  <c r="I12" i="32"/>
  <c r="D228" i="37" s="1"/>
  <c r="I228" i="37" s="1"/>
  <c r="L11" i="32"/>
  <c r="D225" i="37" s="1"/>
  <c r="I225" i="37" s="1"/>
  <c r="K11" i="32"/>
  <c r="D224" i="37" s="1"/>
  <c r="I224" i="37" s="1"/>
  <c r="I11" i="32"/>
  <c r="D222" i="37" s="1"/>
  <c r="I222" i="37" s="1"/>
  <c r="L10" i="32"/>
  <c r="D219" i="37" s="1"/>
  <c r="I219" i="37" s="1"/>
  <c r="K10" i="32"/>
  <c r="D218" i="37" s="1"/>
  <c r="I218" i="37" s="1"/>
  <c r="I10" i="32"/>
  <c r="D216" i="37" s="1"/>
  <c r="I216" i="37" s="1"/>
  <c r="L45" i="31"/>
  <c r="D461" i="37" s="1"/>
  <c r="I461" i="37" s="1"/>
  <c r="K45" i="31"/>
  <c r="D460" i="37" s="1"/>
  <c r="I460" i="37" s="1"/>
  <c r="I45" i="31"/>
  <c r="D458" i="37" s="1"/>
  <c r="I458" i="37" s="1"/>
  <c r="L44" i="31"/>
  <c r="D454" i="37" s="1"/>
  <c r="I454" i="37" s="1"/>
  <c r="K44" i="31"/>
  <c r="D453" i="37" s="1"/>
  <c r="I453" i="37" s="1"/>
  <c r="I44" i="31"/>
  <c r="D451" i="37" s="1"/>
  <c r="I451" i="37" s="1"/>
  <c r="L43" i="31"/>
  <c r="D447" i="37" s="1"/>
  <c r="I447" i="37" s="1"/>
  <c r="K43" i="31"/>
  <c r="D446" i="37" s="1"/>
  <c r="I446" i="37" s="1"/>
  <c r="I43" i="31"/>
  <c r="D444" i="37" s="1"/>
  <c r="I444" i="37" s="1"/>
  <c r="L40" i="31"/>
  <c r="D440" i="37" s="1"/>
  <c r="I440" i="37" s="1"/>
  <c r="K40" i="31"/>
  <c r="D439" i="37" s="1"/>
  <c r="I439" i="37" s="1"/>
  <c r="I40" i="31"/>
  <c r="D437" i="37" s="1"/>
  <c r="I437" i="37" s="1"/>
  <c r="L39" i="31"/>
  <c r="D434" i="37" s="1"/>
  <c r="I434" i="37" s="1"/>
  <c r="K39" i="31"/>
  <c r="D433" i="37" s="1"/>
  <c r="I433" i="37" s="1"/>
  <c r="I39" i="31"/>
  <c r="D431" i="37" s="1"/>
  <c r="I431" i="37" s="1"/>
  <c r="L38" i="31"/>
  <c r="D428" i="37" s="1"/>
  <c r="I428" i="37" s="1"/>
  <c r="K38" i="31"/>
  <c r="D427" i="37" s="1"/>
  <c r="I427" i="37" s="1"/>
  <c r="I38" i="31"/>
  <c r="D425" i="37" s="1"/>
  <c r="I425" i="37" s="1"/>
  <c r="L37" i="31"/>
  <c r="D422" i="37" s="1"/>
  <c r="I422" i="37" s="1"/>
  <c r="K37" i="31"/>
  <c r="D421" i="37" s="1"/>
  <c r="I421" i="37" s="1"/>
  <c r="I37" i="31"/>
  <c r="D419" i="37" s="1"/>
  <c r="I419" i="37" s="1"/>
  <c r="L34" i="31"/>
  <c r="D416" i="37" s="1"/>
  <c r="I416" i="37" s="1"/>
  <c r="K34" i="31"/>
  <c r="D415" i="37" s="1"/>
  <c r="I415" i="37" s="1"/>
  <c r="I34" i="31"/>
  <c r="D413" i="37" s="1"/>
  <c r="I413" i="37" s="1"/>
  <c r="L33" i="31"/>
  <c r="D410" i="37" s="1"/>
  <c r="I410" i="37" s="1"/>
  <c r="K33" i="31"/>
  <c r="D409" i="37" s="1"/>
  <c r="I409" i="37" s="1"/>
  <c r="I33" i="31"/>
  <c r="D407" i="37" s="1"/>
  <c r="I407" i="37" s="1"/>
  <c r="L32" i="31"/>
  <c r="D404" i="37" s="1"/>
  <c r="I404" i="37" s="1"/>
  <c r="K32" i="31"/>
  <c r="D403" i="37" s="1"/>
  <c r="I403" i="37" s="1"/>
  <c r="I32" i="31"/>
  <c r="D401" i="37" s="1"/>
  <c r="I401" i="37" s="1"/>
  <c r="L31" i="31"/>
  <c r="D398" i="37" s="1"/>
  <c r="I398" i="37" s="1"/>
  <c r="K31" i="31"/>
  <c r="D397" i="37" s="1"/>
  <c r="I397" i="37" s="1"/>
  <c r="I31" i="31"/>
  <c r="D395" i="37" s="1"/>
  <c r="I395" i="37" s="1"/>
  <c r="L30" i="31"/>
  <c r="D392" i="37" s="1"/>
  <c r="I392" i="37" s="1"/>
  <c r="K30" i="31"/>
  <c r="D391" i="37" s="1"/>
  <c r="I391" i="37" s="1"/>
  <c r="I30" i="31"/>
  <c r="D389" i="37" s="1"/>
  <c r="I389" i="37" s="1"/>
  <c r="L29" i="31"/>
  <c r="D386" i="37" s="1"/>
  <c r="I386" i="37" s="1"/>
  <c r="K29" i="31"/>
  <c r="D385" i="37" s="1"/>
  <c r="I385" i="37" s="1"/>
  <c r="I29" i="31"/>
  <c r="D383" i="37" s="1"/>
  <c r="I383" i="37" s="1"/>
  <c r="L28" i="31"/>
  <c r="D380" i="37" s="1"/>
  <c r="I380" i="37" s="1"/>
  <c r="K28" i="31"/>
  <c r="D379" i="37" s="1"/>
  <c r="I379" i="37" s="1"/>
  <c r="I28" i="31"/>
  <c r="D377" i="37" s="1"/>
  <c r="I377" i="37" s="1"/>
  <c r="L27" i="31"/>
  <c r="D374" i="37" s="1"/>
  <c r="I374" i="37" s="1"/>
  <c r="K27" i="31"/>
  <c r="D373" i="37" s="1"/>
  <c r="I373" i="37" s="1"/>
  <c r="I27" i="31"/>
  <c r="D371" i="37" s="1"/>
  <c r="I371" i="37" s="1"/>
  <c r="L25" i="31"/>
  <c r="D368" i="37" s="1"/>
  <c r="I368" i="37" s="1"/>
  <c r="K25" i="31"/>
  <c r="D367" i="37" s="1"/>
  <c r="I367" i="37" s="1"/>
  <c r="I25" i="31"/>
  <c r="D365" i="37" s="1"/>
  <c r="I365" i="37" s="1"/>
  <c r="L24" i="31"/>
  <c r="D362" i="37" s="1"/>
  <c r="I362" i="37" s="1"/>
  <c r="K24" i="31"/>
  <c r="D361" i="37" s="1"/>
  <c r="I361" i="37" s="1"/>
  <c r="I24" i="31"/>
  <c r="D359" i="37" s="1"/>
  <c r="I359" i="37" s="1"/>
  <c r="L23" i="31"/>
  <c r="D356" i="37" s="1"/>
  <c r="I356" i="37" s="1"/>
  <c r="K23" i="31"/>
  <c r="D355" i="37" s="1"/>
  <c r="I355" i="37" s="1"/>
  <c r="I23" i="31"/>
  <c r="D353" i="37" s="1"/>
  <c r="I353" i="37" s="1"/>
  <c r="L22" i="31"/>
  <c r="D350" i="37" s="1"/>
  <c r="I350" i="37" s="1"/>
  <c r="K22" i="31"/>
  <c r="D349" i="37" s="1"/>
  <c r="I349" i="37" s="1"/>
  <c r="I22" i="31"/>
  <c r="D347" i="37" s="1"/>
  <c r="I347" i="37" s="1"/>
  <c r="L21" i="31"/>
  <c r="D344" i="37" s="1"/>
  <c r="I344" i="37" s="1"/>
  <c r="K21" i="31"/>
  <c r="D343" i="37" s="1"/>
  <c r="I343" i="37" s="1"/>
  <c r="I21" i="31"/>
  <c r="D341" i="37" s="1"/>
  <c r="I341" i="37" s="1"/>
  <c r="L18" i="31"/>
  <c r="D338" i="37" s="1"/>
  <c r="I338" i="37" s="1"/>
  <c r="L17" i="31"/>
  <c r="D334" i="37" s="1"/>
  <c r="I334" i="37" s="1"/>
  <c r="L16" i="31"/>
  <c r="D330" i="37" s="1"/>
  <c r="I330" i="37" s="1"/>
  <c r="L13" i="31"/>
  <c r="D326" i="37" s="1"/>
  <c r="I326" i="37" s="1"/>
  <c r="L12" i="31"/>
  <c r="D323" i="37" s="1"/>
  <c r="I323" i="37" s="1"/>
  <c r="L11" i="31"/>
  <c r="D320" i="37" s="1"/>
  <c r="I320" i="37" s="1"/>
  <c r="L10" i="31"/>
  <c r="D317" i="37" s="1"/>
  <c r="I317" i="37" s="1"/>
  <c r="L9" i="31"/>
  <c r="D314" i="37" s="1"/>
  <c r="I314" i="37" s="1"/>
  <c r="L29" i="28"/>
  <c r="D537" i="37" s="1"/>
  <c r="I537" i="37" s="1"/>
  <c r="K29" i="28"/>
  <c r="D536" i="37" s="1"/>
  <c r="I536" i="37" s="1"/>
  <c r="I29" i="28"/>
  <c r="D534" i="37" s="1"/>
  <c r="I534" i="37" s="1"/>
  <c r="L28" i="28"/>
  <c r="D530" i="37" s="1"/>
  <c r="I530" i="37" s="1"/>
  <c r="K28" i="28"/>
  <c r="D529" i="37" s="1"/>
  <c r="I529" i="37" s="1"/>
  <c r="I28" i="28"/>
  <c r="D527" i="37" s="1"/>
  <c r="I527" i="37" s="1"/>
  <c r="L27" i="28"/>
  <c r="D523" i="37" s="1"/>
  <c r="I523" i="37" s="1"/>
  <c r="K27" i="28"/>
  <c r="D522" i="37" s="1"/>
  <c r="I522" i="37" s="1"/>
  <c r="I27" i="28"/>
  <c r="D520" i="37" s="1"/>
  <c r="I520" i="37" s="1"/>
  <c r="L24" i="28"/>
  <c r="D516" i="37" s="1"/>
  <c r="I516" i="37" s="1"/>
  <c r="K24" i="28"/>
  <c r="D515" i="37" s="1"/>
  <c r="I515" i="37" s="1"/>
  <c r="I24" i="28"/>
  <c r="D513" i="37" s="1"/>
  <c r="I513" i="37" s="1"/>
  <c r="L23" i="28"/>
  <c r="D510" i="37" s="1"/>
  <c r="I510" i="37" s="1"/>
  <c r="K23" i="28"/>
  <c r="D509" i="37" s="1"/>
  <c r="I509" i="37" s="1"/>
  <c r="I23" i="28"/>
  <c r="D507" i="37" s="1"/>
  <c r="I507" i="37" s="1"/>
  <c r="L22" i="28"/>
  <c r="D504" i="37" s="1"/>
  <c r="I504" i="37" s="1"/>
  <c r="K22" i="28"/>
  <c r="D503" i="37" s="1"/>
  <c r="I503" i="37" s="1"/>
  <c r="I22" i="28"/>
  <c r="D501" i="37" s="1"/>
  <c r="I501" i="37" s="1"/>
  <c r="L21" i="28"/>
  <c r="D498" i="37" s="1"/>
  <c r="I498" i="37" s="1"/>
  <c r="K21" i="28"/>
  <c r="D497" i="37" s="1"/>
  <c r="I497" i="37" s="1"/>
  <c r="I21" i="28"/>
  <c r="D495" i="37" s="1"/>
  <c r="I495" i="37" s="1"/>
  <c r="L20" i="28"/>
  <c r="D492" i="37" s="1"/>
  <c r="I492" i="37" s="1"/>
  <c r="K20" i="28"/>
  <c r="D491" i="37" s="1"/>
  <c r="I491" i="37" s="1"/>
  <c r="I20" i="28"/>
  <c r="D489" i="37" s="1"/>
  <c r="I489" i="37" s="1"/>
  <c r="L17" i="28"/>
  <c r="D486" i="37" s="1"/>
  <c r="I486" i="37" s="1"/>
  <c r="L16" i="28"/>
  <c r="D482" i="37" s="1"/>
  <c r="I482" i="37" s="1"/>
  <c r="L15" i="28"/>
  <c r="D478" i="37" s="1"/>
  <c r="I478" i="37" s="1"/>
  <c r="L12" i="28"/>
  <c r="D474" i="37" s="1"/>
  <c r="I474" i="37" s="1"/>
  <c r="L11" i="28"/>
  <c r="D471" i="37" s="1"/>
  <c r="I471" i="37" s="1"/>
  <c r="L10" i="28"/>
  <c r="D468" i="37" s="1"/>
  <c r="I468" i="37" s="1"/>
  <c r="L9" i="28"/>
  <c r="D465" i="37" s="1"/>
  <c r="I465" i="37" s="1"/>
  <c r="M39" i="27"/>
  <c r="D637" i="37" s="1"/>
  <c r="I637" i="37" s="1"/>
  <c r="L39" i="27"/>
  <c r="D636" i="37" s="1"/>
  <c r="I636" i="37" s="1"/>
  <c r="J39" i="27"/>
  <c r="D634" i="37" s="1"/>
  <c r="I634" i="37" s="1"/>
  <c r="M38" i="27"/>
  <c r="D630" i="37" s="1"/>
  <c r="I630" i="37" s="1"/>
  <c r="L38" i="27"/>
  <c r="D629" i="37" s="1"/>
  <c r="I629" i="37" s="1"/>
  <c r="J38" i="27"/>
  <c r="D627" i="37" s="1"/>
  <c r="I627" i="37" s="1"/>
  <c r="M37" i="27"/>
  <c r="D623" i="37" s="1"/>
  <c r="I623" i="37" s="1"/>
  <c r="L37" i="27"/>
  <c r="D622" i="37" s="1"/>
  <c r="I622" i="37" s="1"/>
  <c r="J37" i="27"/>
  <c r="D620" i="37" s="1"/>
  <c r="I620" i="37" s="1"/>
  <c r="M34" i="27"/>
  <c r="D616" i="37" s="1"/>
  <c r="I616" i="37" s="1"/>
  <c r="L34" i="27"/>
  <c r="D615" i="37" s="1"/>
  <c r="I615" i="37" s="1"/>
  <c r="J34" i="27"/>
  <c r="D613" i="37" s="1"/>
  <c r="I613" i="37" s="1"/>
  <c r="M33" i="27"/>
  <c r="D610" i="37" s="1"/>
  <c r="I610" i="37" s="1"/>
  <c r="L33" i="27"/>
  <c r="D609" i="37" s="1"/>
  <c r="I609" i="37" s="1"/>
  <c r="J33" i="27"/>
  <c r="D607" i="37" s="1"/>
  <c r="I607" i="37" s="1"/>
  <c r="M32" i="27"/>
  <c r="D604" i="37" s="1"/>
  <c r="I604" i="37" s="1"/>
  <c r="L32" i="27"/>
  <c r="D603" i="37" s="1"/>
  <c r="I603" i="37" s="1"/>
  <c r="J32" i="27"/>
  <c r="D601" i="37" s="1"/>
  <c r="I601" i="37" s="1"/>
  <c r="M31" i="27"/>
  <c r="D598" i="37" s="1"/>
  <c r="I598" i="37" s="1"/>
  <c r="L31" i="27"/>
  <c r="D597" i="37" s="1"/>
  <c r="I597" i="37" s="1"/>
  <c r="J31" i="27"/>
  <c r="D595" i="37" s="1"/>
  <c r="I595" i="37" s="1"/>
  <c r="M30" i="27"/>
  <c r="D592" i="37" s="1"/>
  <c r="I592" i="37" s="1"/>
  <c r="L30" i="27"/>
  <c r="D591" i="37" s="1"/>
  <c r="I591" i="37" s="1"/>
  <c r="J30" i="27"/>
  <c r="D589" i="37" s="1"/>
  <c r="I589" i="37" s="1"/>
  <c r="J27" i="27"/>
  <c r="D586" i="37" s="1"/>
  <c r="I586" i="37" s="1"/>
  <c r="J26" i="27"/>
  <c r="D582" i="37" s="1"/>
  <c r="I582" i="37" s="1"/>
  <c r="J25" i="27"/>
  <c r="D578" i="37" s="1"/>
  <c r="I578" i="37" s="1"/>
  <c r="J22" i="27"/>
  <c r="D574" i="37" s="1"/>
  <c r="I574" i="37" s="1"/>
  <c r="J21" i="27"/>
  <c r="D571" i="37" s="1"/>
  <c r="I571" i="37" s="1"/>
  <c r="J20" i="27"/>
  <c r="D568" i="37" s="1"/>
  <c r="I568" i="37" s="1"/>
  <c r="J19" i="27"/>
  <c r="D565" i="37" s="1"/>
  <c r="I565" i="37" s="1"/>
  <c r="J18" i="27"/>
  <c r="D562" i="37" s="1"/>
  <c r="I562" i="37" s="1"/>
  <c r="J17" i="27"/>
  <c r="D559" i="37" s="1"/>
  <c r="I559" i="37" s="1"/>
  <c r="J15" i="27"/>
  <c r="D556" i="37" s="1"/>
  <c r="I556" i="37" s="1"/>
  <c r="J14" i="27"/>
  <c r="D553" i="37" s="1"/>
  <c r="I553" i="37" s="1"/>
  <c r="J13" i="27"/>
  <c r="D550" i="37" s="1"/>
  <c r="I550" i="37" s="1"/>
  <c r="J12" i="27"/>
  <c r="D547" i="37" s="1"/>
  <c r="I547" i="37" s="1"/>
  <c r="J11" i="27"/>
  <c r="D544" i="37" s="1"/>
  <c r="I544" i="37" s="1"/>
  <c r="J10" i="27"/>
  <c r="D541" i="37" s="1"/>
  <c r="I541" i="37" s="1"/>
  <c r="L35" i="26"/>
  <c r="D145" i="37" s="1"/>
  <c r="I145" i="37" s="1"/>
  <c r="K35" i="26"/>
  <c r="D144" i="37" s="1"/>
  <c r="I144" i="37" s="1"/>
  <c r="I35" i="26"/>
  <c r="D142" i="37" s="1"/>
  <c r="I142" i="37" s="1"/>
  <c r="L34" i="26"/>
  <c r="D138" i="37" s="1"/>
  <c r="I138" i="37" s="1"/>
  <c r="K34" i="26"/>
  <c r="D137" i="37" s="1"/>
  <c r="I137" i="37" s="1"/>
  <c r="I34" i="26"/>
  <c r="D135" i="37" s="1"/>
  <c r="I135" i="37" s="1"/>
  <c r="L33" i="26"/>
  <c r="D131" i="37" s="1"/>
  <c r="I131" i="37" s="1"/>
  <c r="K33" i="26"/>
  <c r="D130" i="37" s="1"/>
  <c r="I130" i="37" s="1"/>
  <c r="I33" i="26"/>
  <c r="D128" i="37" s="1"/>
  <c r="I128" i="37" s="1"/>
  <c r="L30" i="26"/>
  <c r="D124" i="37" s="1"/>
  <c r="I124" i="37" s="1"/>
  <c r="K30" i="26"/>
  <c r="D123" i="37" s="1"/>
  <c r="I123" i="37" s="1"/>
  <c r="I30" i="26"/>
  <c r="D121" i="37" s="1"/>
  <c r="I121" i="37" s="1"/>
  <c r="L29" i="26"/>
  <c r="D118" i="37" s="1"/>
  <c r="I118" i="37" s="1"/>
  <c r="K29" i="26"/>
  <c r="D117" i="37" s="1"/>
  <c r="I117" i="37" s="1"/>
  <c r="I29" i="26"/>
  <c r="D115" i="37" s="1"/>
  <c r="I115" i="37" s="1"/>
  <c r="L28" i="26"/>
  <c r="D112" i="37" s="1"/>
  <c r="I112" i="37" s="1"/>
  <c r="K28" i="26"/>
  <c r="D111" i="37" s="1"/>
  <c r="I111" i="37" s="1"/>
  <c r="I28" i="26"/>
  <c r="D109" i="37" s="1"/>
  <c r="I109" i="37" s="1"/>
  <c r="L27" i="26"/>
  <c r="D106" i="37" s="1"/>
  <c r="I106" i="37" s="1"/>
  <c r="K27" i="26"/>
  <c r="D105" i="37" s="1"/>
  <c r="I105" i="37" s="1"/>
  <c r="I27" i="26"/>
  <c r="D103" i="37" s="1"/>
  <c r="I103" i="37" s="1"/>
  <c r="L26" i="26"/>
  <c r="D100" i="37" s="1"/>
  <c r="I100" i="37" s="1"/>
  <c r="K26" i="26"/>
  <c r="D99" i="37" s="1"/>
  <c r="I99" i="37" s="1"/>
  <c r="I26" i="26"/>
  <c r="D97" i="37" s="1"/>
  <c r="I97" i="37" s="1"/>
  <c r="L25" i="26"/>
  <c r="D94" i="37" s="1"/>
  <c r="I94" i="37" s="1"/>
  <c r="K25" i="26"/>
  <c r="D93" i="37" s="1"/>
  <c r="I93" i="37" s="1"/>
  <c r="I25" i="26"/>
  <c r="D91" i="37" s="1"/>
  <c r="I91" i="37" s="1"/>
  <c r="L24" i="26"/>
  <c r="D88" i="37" s="1"/>
  <c r="I88" i="37" s="1"/>
  <c r="K24" i="26"/>
  <c r="D87" i="37" s="1"/>
  <c r="I87" i="37" s="1"/>
  <c r="I24" i="26"/>
  <c r="D85" i="37" s="1"/>
  <c r="I85" i="37" s="1"/>
  <c r="L23" i="26"/>
  <c r="D82" i="37" s="1"/>
  <c r="I82" i="37" s="1"/>
  <c r="K23" i="26"/>
  <c r="D81" i="37" s="1"/>
  <c r="I81" i="37" s="1"/>
  <c r="I23" i="26"/>
  <c r="D79" i="37" s="1"/>
  <c r="I79" i="37" s="1"/>
  <c r="L22" i="26"/>
  <c r="D76" i="37" s="1"/>
  <c r="I76" i="37" s="1"/>
  <c r="K22" i="26"/>
  <c r="D75" i="37" s="1"/>
  <c r="I75" i="37" s="1"/>
  <c r="I22" i="26"/>
  <c r="D73" i="37" s="1"/>
  <c r="I73" i="37" s="1"/>
  <c r="L19" i="26"/>
  <c r="D70" i="37" s="1"/>
  <c r="I70" i="37" s="1"/>
  <c r="L18" i="26"/>
  <c r="D66" i="37" s="1"/>
  <c r="I66" i="37" s="1"/>
  <c r="L17" i="26"/>
  <c r="D62" i="37" s="1"/>
  <c r="I62" i="37" s="1"/>
  <c r="L14" i="26"/>
  <c r="D58" i="37" s="1"/>
  <c r="I58" i="37" s="1"/>
  <c r="L13" i="26"/>
  <c r="D55" i="37" s="1"/>
  <c r="I55" i="37" s="1"/>
  <c r="L12" i="26"/>
  <c r="D52" i="37" s="1"/>
  <c r="I52" i="37" s="1"/>
  <c r="L11" i="26"/>
  <c r="D49" i="37" s="1"/>
  <c r="I49" i="37" s="1"/>
  <c r="L10" i="26"/>
  <c r="D46" i="37" s="1"/>
  <c r="I46" i="37" s="1"/>
  <c r="L9" i="26"/>
  <c r="D43" i="37" s="1"/>
  <c r="I43" i="37" s="1"/>
  <c r="L29" i="19"/>
  <c r="D212" i="37" s="1"/>
  <c r="I212" i="37" s="1"/>
  <c r="K29" i="19"/>
  <c r="D211" i="37" s="1"/>
  <c r="I211" i="37" s="1"/>
  <c r="L28" i="19"/>
  <c r="D205" i="37" s="1"/>
  <c r="I205" i="37" s="1"/>
  <c r="K28" i="19"/>
  <c r="D204" i="37" s="1"/>
  <c r="I204" i="37" s="1"/>
  <c r="L27" i="19"/>
  <c r="D198" i="37" s="1"/>
  <c r="I198" i="37" s="1"/>
  <c r="K27" i="19"/>
  <c r="D197" i="37" s="1"/>
  <c r="I197" i="37" s="1"/>
  <c r="L24" i="19"/>
  <c r="D191" i="37" s="1"/>
  <c r="I191" i="37" s="1"/>
  <c r="K24" i="19"/>
  <c r="D190" i="37" s="1"/>
  <c r="I190" i="37" s="1"/>
  <c r="I24" i="19"/>
  <c r="D188" i="37" s="1"/>
  <c r="I188" i="37" s="1"/>
  <c r="L23" i="19"/>
  <c r="D185" i="37" s="1"/>
  <c r="I185" i="37" s="1"/>
  <c r="K23" i="19"/>
  <c r="D184" i="37" s="1"/>
  <c r="I184" i="37" s="1"/>
  <c r="I23" i="19"/>
  <c r="D182" i="37" s="1"/>
  <c r="I182" i="37" s="1"/>
  <c r="L22" i="19"/>
  <c r="D179" i="37" s="1"/>
  <c r="I179" i="37" s="1"/>
  <c r="K22" i="19"/>
  <c r="D178" i="37" s="1"/>
  <c r="I178" i="37" s="1"/>
  <c r="I22" i="19"/>
  <c r="D176" i="37" s="1"/>
  <c r="I176" i="37" s="1"/>
  <c r="L19" i="19"/>
  <c r="D173" i="37" s="1"/>
  <c r="I173" i="37" s="1"/>
  <c r="L18" i="19"/>
  <c r="D169" i="37" s="1"/>
  <c r="I169" i="37" s="1"/>
  <c r="L17" i="19"/>
  <c r="D165" i="37" s="1"/>
  <c r="I165" i="37" s="1"/>
  <c r="L13" i="19"/>
  <c r="D161" i="37" s="1"/>
  <c r="I161" i="37" s="1"/>
  <c r="L12" i="19"/>
  <c r="D158" i="37" s="1"/>
  <c r="I158" i="37" s="1"/>
  <c r="L11" i="19"/>
  <c r="D155" i="37" s="1"/>
  <c r="I155" i="37" s="1"/>
  <c r="L10" i="19"/>
  <c r="D152" i="37" s="1"/>
  <c r="I152" i="37" s="1"/>
  <c r="L9" i="19"/>
  <c r="D149" i="37" s="1"/>
  <c r="I149" i="37" s="1"/>
  <c r="D6" i="37" l="1"/>
  <c r="D294" i="37"/>
  <c r="I294" i="37" s="1"/>
  <c r="D296" i="37"/>
  <c r="I296" i="37" s="1"/>
  <c r="D292" i="37"/>
  <c r="I292" i="37" s="1"/>
  <c r="D293" i="37"/>
  <c r="I293" i="37" s="1"/>
  <c r="D287" i="37"/>
  <c r="I287" i="37" s="1"/>
  <c r="D289" i="37"/>
  <c r="I289" i="37" s="1"/>
  <c r="D285" i="37"/>
  <c r="I285" i="37" s="1"/>
  <c r="D286" i="37"/>
  <c r="I286" i="37" s="1"/>
  <c r="D280" i="37"/>
  <c r="I280" i="37" s="1"/>
  <c r="D282" i="37"/>
  <c r="I282" i="37" s="1"/>
  <c r="D278" i="37"/>
  <c r="I278" i="37" s="1"/>
  <c r="D279" i="37"/>
  <c r="I279" i="37" s="1"/>
  <c r="D273" i="37"/>
  <c r="I273" i="37" s="1"/>
  <c r="D275" i="37"/>
  <c r="I275" i="37" s="1"/>
  <c r="D272" i="37"/>
  <c r="I272" i="37" s="1"/>
  <c r="D267" i="37"/>
  <c r="I267" i="37" s="1"/>
  <c r="D269" i="37"/>
  <c r="I269" i="37" s="1"/>
  <c r="D266" i="37"/>
  <c r="I266" i="37" s="1"/>
  <c r="D248" i="37"/>
  <c r="I248" i="37" s="1"/>
  <c r="D250" i="37"/>
  <c r="I250" i="37" s="1"/>
  <c r="D246" i="37"/>
  <c r="I246" i="37" s="1"/>
  <c r="D247" i="37"/>
  <c r="I247" i="37" s="1"/>
  <c r="D241" i="37"/>
  <c r="I241" i="37" s="1"/>
  <c r="D243" i="37"/>
  <c r="I243" i="37" s="1"/>
  <c r="D239" i="37"/>
  <c r="I239" i="37" s="1"/>
  <c r="D240" i="37"/>
  <c r="I240" i="37" s="1"/>
  <c r="D234" i="37"/>
  <c r="I234" i="37" s="1"/>
  <c r="D236" i="37"/>
  <c r="I236" i="37" s="1"/>
  <c r="D232" i="37"/>
  <c r="I232" i="37" s="1"/>
  <c r="D233" i="37"/>
  <c r="I233" i="37" s="1"/>
  <c r="D227" i="37"/>
  <c r="I227" i="37" s="1"/>
  <c r="D229" i="37"/>
  <c r="I229" i="37" s="1"/>
  <c r="D226" i="37"/>
  <c r="I226" i="37" s="1"/>
  <c r="D221" i="37"/>
  <c r="I221" i="37" s="1"/>
  <c r="D223" i="37"/>
  <c r="I223" i="37" s="1"/>
  <c r="D220" i="37"/>
  <c r="I220" i="37" s="1"/>
  <c r="D215" i="37"/>
  <c r="I215" i="37" s="1"/>
  <c r="D217" i="37"/>
  <c r="I217" i="37" s="1"/>
  <c r="D214" i="37"/>
  <c r="I214" i="37" s="1"/>
  <c r="D457" i="37"/>
  <c r="I457" i="37" s="1"/>
  <c r="D459" i="37"/>
  <c r="I459" i="37" s="1"/>
  <c r="D455" i="37"/>
  <c r="I455" i="37" s="1"/>
  <c r="D456" i="37"/>
  <c r="I456" i="37" s="1"/>
  <c r="D450" i="37"/>
  <c r="I450" i="37" s="1"/>
  <c r="D452" i="37"/>
  <c r="I452" i="37" s="1"/>
  <c r="D448" i="37"/>
  <c r="I448" i="37" s="1"/>
  <c r="D449" i="37"/>
  <c r="I449" i="37" s="1"/>
  <c r="D443" i="37"/>
  <c r="I443" i="37" s="1"/>
  <c r="D445" i="37"/>
  <c r="I445" i="37" s="1"/>
  <c r="D441" i="37"/>
  <c r="I441" i="37" s="1"/>
  <c r="D442" i="37"/>
  <c r="I442" i="37" s="1"/>
  <c r="D336" i="37"/>
  <c r="I336" i="37" s="1"/>
  <c r="D337" i="37"/>
  <c r="I337" i="37" s="1"/>
  <c r="D335" i="37"/>
  <c r="I335" i="37" s="1"/>
  <c r="D332" i="37"/>
  <c r="I332" i="37" s="1"/>
  <c r="D333" i="37"/>
  <c r="I333" i="37" s="1"/>
  <c r="D331" i="37"/>
  <c r="I331" i="37" s="1"/>
  <c r="D328" i="37"/>
  <c r="I328" i="37" s="1"/>
  <c r="D329" i="37"/>
  <c r="I329" i="37" s="1"/>
  <c r="D327" i="37"/>
  <c r="I327" i="37" s="1"/>
  <c r="D436" i="37"/>
  <c r="I436" i="37" s="1"/>
  <c r="D438" i="37"/>
  <c r="I438" i="37" s="1"/>
  <c r="D435" i="37"/>
  <c r="I435" i="37" s="1"/>
  <c r="D430" i="37"/>
  <c r="I430" i="37" s="1"/>
  <c r="D432" i="37"/>
  <c r="I432" i="37" s="1"/>
  <c r="D429" i="37"/>
  <c r="I429" i="37" s="1"/>
  <c r="D424" i="37"/>
  <c r="I424" i="37" s="1"/>
  <c r="D426" i="37"/>
  <c r="I426" i="37" s="1"/>
  <c r="D423" i="37"/>
  <c r="I423" i="37" s="1"/>
  <c r="D418" i="37"/>
  <c r="I418" i="37" s="1"/>
  <c r="D420" i="37"/>
  <c r="I420" i="37" s="1"/>
  <c r="D417" i="37"/>
  <c r="I417" i="37" s="1"/>
  <c r="D412" i="37"/>
  <c r="I412" i="37" s="1"/>
  <c r="D414" i="37"/>
  <c r="I414" i="37" s="1"/>
  <c r="D411" i="37"/>
  <c r="I411" i="37" s="1"/>
  <c r="D406" i="37"/>
  <c r="I406" i="37" s="1"/>
  <c r="D408" i="37"/>
  <c r="I408" i="37" s="1"/>
  <c r="D405" i="37"/>
  <c r="I405" i="37" s="1"/>
  <c r="D400" i="37"/>
  <c r="I400" i="37" s="1"/>
  <c r="D402" i="37"/>
  <c r="I402" i="37" s="1"/>
  <c r="D399" i="37"/>
  <c r="I399" i="37" s="1"/>
  <c r="D394" i="37"/>
  <c r="I394" i="37" s="1"/>
  <c r="D396" i="37"/>
  <c r="I396" i="37" s="1"/>
  <c r="D393" i="37"/>
  <c r="I393" i="37" s="1"/>
  <c r="D388" i="37"/>
  <c r="I388" i="37" s="1"/>
  <c r="D390" i="37"/>
  <c r="I390" i="37" s="1"/>
  <c r="D387" i="37"/>
  <c r="I387" i="37" s="1"/>
  <c r="D382" i="37"/>
  <c r="I382" i="37" s="1"/>
  <c r="D384" i="37"/>
  <c r="I384" i="37" s="1"/>
  <c r="D381" i="37"/>
  <c r="I381" i="37" s="1"/>
  <c r="D376" i="37"/>
  <c r="I376" i="37" s="1"/>
  <c r="D378" i="37"/>
  <c r="I378" i="37" s="1"/>
  <c r="D375" i="37"/>
  <c r="I375" i="37" s="1"/>
  <c r="D370" i="37"/>
  <c r="I370" i="37" s="1"/>
  <c r="D372" i="37"/>
  <c r="I372" i="37" s="1"/>
  <c r="D369" i="37"/>
  <c r="I369" i="37" s="1"/>
  <c r="D364" i="37"/>
  <c r="I364" i="37" s="1"/>
  <c r="D366" i="37"/>
  <c r="I366" i="37" s="1"/>
  <c r="D363" i="37"/>
  <c r="I363" i="37" s="1"/>
  <c r="D358" i="37"/>
  <c r="I358" i="37" s="1"/>
  <c r="D360" i="37"/>
  <c r="I360" i="37" s="1"/>
  <c r="D357" i="37"/>
  <c r="I357" i="37" s="1"/>
  <c r="D352" i="37"/>
  <c r="I352" i="37" s="1"/>
  <c r="D354" i="37"/>
  <c r="I354" i="37" s="1"/>
  <c r="D351" i="37"/>
  <c r="I351" i="37" s="1"/>
  <c r="D346" i="37"/>
  <c r="I346" i="37" s="1"/>
  <c r="D348" i="37"/>
  <c r="I348" i="37" s="1"/>
  <c r="D345" i="37"/>
  <c r="I345" i="37" s="1"/>
  <c r="D265" i="37"/>
  <c r="I265" i="37" s="1"/>
  <c r="D340" i="37"/>
  <c r="I340" i="37" s="1"/>
  <c r="D342" i="37"/>
  <c r="I342" i="37" s="1"/>
  <c r="D339" i="37"/>
  <c r="I339" i="37" s="1"/>
  <c r="D324" i="37"/>
  <c r="I324" i="37" s="1"/>
  <c r="D325" i="37"/>
  <c r="I325" i="37" s="1"/>
  <c r="D321" i="37"/>
  <c r="I321" i="37" s="1"/>
  <c r="D322" i="37"/>
  <c r="I322" i="37" s="1"/>
  <c r="D318" i="37"/>
  <c r="I318" i="37" s="1"/>
  <c r="D319" i="37"/>
  <c r="I319" i="37" s="1"/>
  <c r="D462" i="37"/>
  <c r="I462" i="37" s="1"/>
  <c r="D315" i="37"/>
  <c r="I315" i="37" s="1"/>
  <c r="D316" i="37"/>
  <c r="I316" i="37" s="1"/>
  <c r="D312" i="37"/>
  <c r="I312" i="37" s="1"/>
  <c r="D313" i="37"/>
  <c r="I313" i="37" s="1"/>
  <c r="D533" i="37"/>
  <c r="I533" i="37" s="1"/>
  <c r="D535" i="37"/>
  <c r="I535" i="37" s="1"/>
  <c r="D531" i="37"/>
  <c r="I531" i="37" s="1"/>
  <c r="D532" i="37"/>
  <c r="I532" i="37" s="1"/>
  <c r="D526" i="37"/>
  <c r="I526" i="37" s="1"/>
  <c r="D528" i="37"/>
  <c r="I528" i="37" s="1"/>
  <c r="D524" i="37"/>
  <c r="I524" i="37" s="1"/>
  <c r="D525" i="37"/>
  <c r="I525" i="37" s="1"/>
  <c r="D519" i="37"/>
  <c r="I519" i="37" s="1"/>
  <c r="D521" i="37"/>
  <c r="I521" i="37" s="1"/>
  <c r="D517" i="37"/>
  <c r="I517" i="37" s="1"/>
  <c r="D518" i="37"/>
  <c r="I518" i="37" s="1"/>
  <c r="D484" i="37"/>
  <c r="I484" i="37" s="1"/>
  <c r="D485" i="37"/>
  <c r="I485" i="37" s="1"/>
  <c r="D483" i="37"/>
  <c r="I483" i="37" s="1"/>
  <c r="D480" i="37"/>
  <c r="I480" i="37" s="1"/>
  <c r="D481" i="37"/>
  <c r="I481" i="37" s="1"/>
  <c r="D479" i="37"/>
  <c r="I479" i="37" s="1"/>
  <c r="D476" i="37"/>
  <c r="I476" i="37" s="1"/>
  <c r="D477" i="37"/>
  <c r="I477" i="37" s="1"/>
  <c r="D475" i="37"/>
  <c r="I475" i="37" s="1"/>
  <c r="D512" i="37"/>
  <c r="I512" i="37" s="1"/>
  <c r="D514" i="37"/>
  <c r="I514" i="37" s="1"/>
  <c r="D511" i="37"/>
  <c r="I511" i="37" s="1"/>
  <c r="D506" i="37"/>
  <c r="I506" i="37" s="1"/>
  <c r="D508" i="37"/>
  <c r="I508" i="37" s="1"/>
  <c r="D505" i="37"/>
  <c r="I505" i="37" s="1"/>
  <c r="D500" i="37"/>
  <c r="I500" i="37" s="1"/>
  <c r="D502" i="37"/>
  <c r="I502" i="37" s="1"/>
  <c r="D499" i="37"/>
  <c r="I499" i="37" s="1"/>
  <c r="D494" i="37"/>
  <c r="I494" i="37" s="1"/>
  <c r="D496" i="37"/>
  <c r="I496" i="37" s="1"/>
  <c r="D493" i="37"/>
  <c r="I493" i="37" s="1"/>
  <c r="D488" i="37"/>
  <c r="I488" i="37" s="1"/>
  <c r="D490" i="37"/>
  <c r="I490" i="37" s="1"/>
  <c r="D487" i="37"/>
  <c r="I487" i="37" s="1"/>
  <c r="D472" i="37"/>
  <c r="I472" i="37" s="1"/>
  <c r="D473" i="37"/>
  <c r="I473" i="37" s="1"/>
  <c r="D469" i="37"/>
  <c r="I469" i="37" s="1"/>
  <c r="D470" i="37"/>
  <c r="I470" i="37" s="1"/>
  <c r="D538" i="37"/>
  <c r="I538" i="37" s="1"/>
  <c r="D466" i="37"/>
  <c r="I466" i="37" s="1"/>
  <c r="D467" i="37"/>
  <c r="I467" i="37" s="1"/>
  <c r="D463" i="37"/>
  <c r="I463" i="37" s="1"/>
  <c r="D464" i="37"/>
  <c r="I464" i="37" s="1"/>
  <c r="D633" i="37"/>
  <c r="I633" i="37" s="1"/>
  <c r="D635" i="37"/>
  <c r="I635" i="37" s="1"/>
  <c r="D631" i="37"/>
  <c r="I631" i="37" s="1"/>
  <c r="D632" i="37"/>
  <c r="I632" i="37" s="1"/>
  <c r="D626" i="37"/>
  <c r="I626" i="37" s="1"/>
  <c r="D628" i="37"/>
  <c r="I628" i="37" s="1"/>
  <c r="D624" i="37"/>
  <c r="I624" i="37" s="1"/>
  <c r="D625" i="37"/>
  <c r="I625" i="37" s="1"/>
  <c r="D619" i="37"/>
  <c r="I619" i="37" s="1"/>
  <c r="D621" i="37"/>
  <c r="I621" i="37" s="1"/>
  <c r="D617" i="37"/>
  <c r="I617" i="37" s="1"/>
  <c r="D618" i="37"/>
  <c r="I618" i="37" s="1"/>
  <c r="D584" i="37"/>
  <c r="I584" i="37" s="1"/>
  <c r="D585" i="37"/>
  <c r="I585" i="37" s="1"/>
  <c r="D583" i="37"/>
  <c r="I583" i="37" s="1"/>
  <c r="D580" i="37"/>
  <c r="I580" i="37" s="1"/>
  <c r="D581" i="37"/>
  <c r="I581" i="37" s="1"/>
  <c r="D579" i="37"/>
  <c r="I579" i="37" s="1"/>
  <c r="D576" i="37"/>
  <c r="I576" i="37" s="1"/>
  <c r="D577" i="37"/>
  <c r="I577" i="37" s="1"/>
  <c r="D575" i="37"/>
  <c r="I575" i="37" s="1"/>
  <c r="D612" i="37"/>
  <c r="I612" i="37" s="1"/>
  <c r="D614" i="37"/>
  <c r="I614" i="37" s="1"/>
  <c r="D611" i="37"/>
  <c r="I611" i="37" s="1"/>
  <c r="D606" i="37"/>
  <c r="I606" i="37" s="1"/>
  <c r="D608" i="37"/>
  <c r="I608" i="37" s="1"/>
  <c r="D605" i="37"/>
  <c r="I605" i="37" s="1"/>
  <c r="D600" i="37"/>
  <c r="I600" i="37" s="1"/>
  <c r="D602" i="37"/>
  <c r="I602" i="37" s="1"/>
  <c r="D599" i="37"/>
  <c r="I599" i="37" s="1"/>
  <c r="D594" i="37"/>
  <c r="I594" i="37" s="1"/>
  <c r="D596" i="37"/>
  <c r="I596" i="37" s="1"/>
  <c r="D593" i="37"/>
  <c r="I593" i="37" s="1"/>
  <c r="D638" i="37"/>
  <c r="I638" i="37" s="1"/>
  <c r="D588" i="37"/>
  <c r="I588" i="37" s="1"/>
  <c r="D590" i="37"/>
  <c r="I590" i="37" s="1"/>
  <c r="D587" i="37"/>
  <c r="I587" i="37" s="1"/>
  <c r="D572" i="37"/>
  <c r="I572" i="37" s="1"/>
  <c r="D573" i="37"/>
  <c r="I573" i="37" s="1"/>
  <c r="D569" i="37"/>
  <c r="I569" i="37" s="1"/>
  <c r="D570" i="37"/>
  <c r="I570" i="37" s="1"/>
  <c r="D566" i="37"/>
  <c r="I566" i="37" s="1"/>
  <c r="D567" i="37"/>
  <c r="I567" i="37" s="1"/>
  <c r="D563" i="37"/>
  <c r="I563" i="37" s="1"/>
  <c r="D564" i="37"/>
  <c r="I564" i="37" s="1"/>
  <c r="D560" i="37"/>
  <c r="I560" i="37" s="1"/>
  <c r="D561" i="37"/>
  <c r="I561" i="37" s="1"/>
  <c r="D557" i="37"/>
  <c r="I557" i="37" s="1"/>
  <c r="D558" i="37"/>
  <c r="I558" i="37" s="1"/>
  <c r="D554" i="37"/>
  <c r="I554" i="37" s="1"/>
  <c r="D555" i="37"/>
  <c r="I555" i="37" s="1"/>
  <c r="D551" i="37"/>
  <c r="I551" i="37" s="1"/>
  <c r="D552" i="37"/>
  <c r="I552" i="37" s="1"/>
  <c r="D548" i="37"/>
  <c r="I548" i="37" s="1"/>
  <c r="D549" i="37"/>
  <c r="I549" i="37" s="1"/>
  <c r="D545" i="37"/>
  <c r="I545" i="37" s="1"/>
  <c r="D546" i="37"/>
  <c r="I546" i="37" s="1"/>
  <c r="D542" i="37"/>
  <c r="I542" i="37" s="1"/>
  <c r="D543" i="37"/>
  <c r="I543" i="37" s="1"/>
  <c r="D539" i="37"/>
  <c r="I539" i="37" s="1"/>
  <c r="D540" i="37"/>
  <c r="I540" i="37" s="1"/>
  <c r="D141" i="37"/>
  <c r="I141" i="37" s="1"/>
  <c r="D143" i="37"/>
  <c r="I143" i="37" s="1"/>
  <c r="D139" i="37"/>
  <c r="I139" i="37" s="1"/>
  <c r="D140" i="37"/>
  <c r="I140" i="37" s="1"/>
  <c r="D134" i="37"/>
  <c r="I134" i="37" s="1"/>
  <c r="D136" i="37"/>
  <c r="I136" i="37" s="1"/>
  <c r="D132" i="37"/>
  <c r="I132" i="37" s="1"/>
  <c r="D133" i="37"/>
  <c r="I133" i="37" s="1"/>
  <c r="D127" i="37"/>
  <c r="I127" i="37" s="1"/>
  <c r="D129" i="37"/>
  <c r="I129" i="37" s="1"/>
  <c r="D125" i="37"/>
  <c r="I125" i="37" s="1"/>
  <c r="D126" i="37"/>
  <c r="I126" i="37" s="1"/>
  <c r="D68" i="37"/>
  <c r="I68" i="37" s="1"/>
  <c r="D69" i="37"/>
  <c r="I69" i="37" s="1"/>
  <c r="D67" i="37"/>
  <c r="I67" i="37" s="1"/>
  <c r="D64" i="37"/>
  <c r="I64" i="37" s="1"/>
  <c r="D65" i="37"/>
  <c r="I65" i="37" s="1"/>
  <c r="D63" i="37"/>
  <c r="I63" i="37" s="1"/>
  <c r="D60" i="37"/>
  <c r="I60" i="37" s="1"/>
  <c r="D61" i="37"/>
  <c r="I61" i="37" s="1"/>
  <c r="D59" i="37"/>
  <c r="I59" i="37" s="1"/>
  <c r="D120" i="37"/>
  <c r="I120" i="37" s="1"/>
  <c r="D122" i="37"/>
  <c r="I122" i="37" s="1"/>
  <c r="D119" i="37"/>
  <c r="I119" i="37" s="1"/>
  <c r="D114" i="37"/>
  <c r="I114" i="37" s="1"/>
  <c r="D116" i="37"/>
  <c r="I116" i="37" s="1"/>
  <c r="D113" i="37"/>
  <c r="I113" i="37" s="1"/>
  <c r="D108" i="37"/>
  <c r="I108" i="37" s="1"/>
  <c r="D110" i="37"/>
  <c r="I110" i="37" s="1"/>
  <c r="D107" i="37"/>
  <c r="I107" i="37" s="1"/>
  <c r="D102" i="37"/>
  <c r="I102" i="37" s="1"/>
  <c r="D104" i="37"/>
  <c r="I104" i="37" s="1"/>
  <c r="D101" i="37"/>
  <c r="I101" i="37" s="1"/>
  <c r="D96" i="37"/>
  <c r="I96" i="37" s="1"/>
  <c r="D98" i="37"/>
  <c r="I98" i="37" s="1"/>
  <c r="D95" i="37"/>
  <c r="I95" i="37" s="1"/>
  <c r="D90" i="37"/>
  <c r="I90" i="37" s="1"/>
  <c r="D92" i="37"/>
  <c r="I92" i="37" s="1"/>
  <c r="D89" i="37"/>
  <c r="I89" i="37" s="1"/>
  <c r="D84" i="37"/>
  <c r="I84" i="37" s="1"/>
  <c r="D86" i="37"/>
  <c r="I86" i="37" s="1"/>
  <c r="D83" i="37"/>
  <c r="I83" i="37" s="1"/>
  <c r="D78" i="37"/>
  <c r="I78" i="37" s="1"/>
  <c r="D80" i="37"/>
  <c r="I80" i="37" s="1"/>
  <c r="D77" i="37"/>
  <c r="I77" i="37" s="1"/>
  <c r="D72" i="37"/>
  <c r="I72" i="37" s="1"/>
  <c r="D74" i="37"/>
  <c r="I74" i="37" s="1"/>
  <c r="D71" i="37"/>
  <c r="I71" i="37" s="1"/>
  <c r="D56" i="37"/>
  <c r="I56" i="37" s="1"/>
  <c r="D57" i="37"/>
  <c r="I57" i="37" s="1"/>
  <c r="D53" i="37"/>
  <c r="I53" i="37" s="1"/>
  <c r="D54" i="37"/>
  <c r="I54" i="37" s="1"/>
  <c r="D50" i="37"/>
  <c r="I50" i="37" s="1"/>
  <c r="D51" i="37"/>
  <c r="I51" i="37" s="1"/>
  <c r="D47" i="37"/>
  <c r="I47" i="37" s="1"/>
  <c r="D48" i="37"/>
  <c r="I48" i="37" s="1"/>
  <c r="D146" i="37"/>
  <c r="I146" i="37" s="1"/>
  <c r="D44" i="37"/>
  <c r="I44" i="37" s="1"/>
  <c r="D45" i="37"/>
  <c r="I45" i="37" s="1"/>
  <c r="D41" i="37"/>
  <c r="I41" i="37" s="1"/>
  <c r="D42" i="37"/>
  <c r="I42" i="37" s="1"/>
  <c r="D213" i="37"/>
  <c r="I213" i="37" s="1"/>
  <c r="U6" i="37" l="1"/>
  <c r="U3" i="37"/>
  <c r="U1" i="37"/>
  <c r="U2" i="37"/>
  <c r="U4" i="37"/>
  <c r="U5" i="37"/>
  <c r="D20" i="38" l="1"/>
  <c r="C20" i="38" s="1"/>
  <c r="G20" i="38" l="1"/>
  <c r="G37" i="38"/>
  <c r="G35" i="38"/>
  <c r="G34" i="38"/>
  <c r="G24" i="38"/>
  <c r="G12" i="38"/>
  <c r="G10" i="38"/>
  <c r="G9" i="38"/>
  <c r="G7" i="38"/>
  <c r="G21" i="38"/>
  <c r="G36" i="38"/>
  <c r="G33" i="38"/>
  <c r="C23" i="38"/>
  <c r="G23" i="38" s="1"/>
  <c r="C22" i="38"/>
  <c r="G22" i="38" s="1"/>
  <c r="G19" i="38"/>
  <c r="D29" i="37" l="1"/>
  <c r="D27" i="37" l="1"/>
  <c r="D35" i="37" l="1"/>
  <c r="D28" i="37"/>
  <c r="D26" i="37"/>
  <c r="D32" i="37"/>
  <c r="D15" i="37" l="1"/>
  <c r="D33" i="37"/>
  <c r="D30" i="37"/>
  <c r="D17" i="37" l="1"/>
  <c r="D36" i="37"/>
  <c r="C452" i="37" a="1"/>
  <c r="C521" i="37" a="1"/>
  <c r="C443" i="37" a="1"/>
  <c r="C251" i="37" a="1"/>
  <c r="C341" i="37" a="1"/>
  <c r="C549" i="37" a="1"/>
  <c r="C161" i="37" a="1"/>
  <c r="C582" i="37" a="1"/>
  <c r="C221" i="37" a="1"/>
  <c r="C380" i="37" a="1"/>
  <c r="C406" i="37" a="1"/>
  <c r="C349" i="37" a="1"/>
  <c r="C46" i="37" a="1"/>
  <c r="C601" i="37" a="1"/>
  <c r="C166" i="37" a="1"/>
  <c r="C119" i="37" a="1"/>
  <c r="C569" i="37" a="1"/>
  <c r="C451" i="37" a="1"/>
  <c r="C116" i="37" a="1"/>
  <c r="C69" i="37" a="1"/>
  <c r="C275" i="37" a="1"/>
  <c r="C577" i="37" a="1"/>
  <c r="C215" i="37" a="1"/>
  <c r="C559" i="37" a="1"/>
  <c r="C623" i="37" a="1"/>
  <c r="C465" i="37" a="1"/>
  <c r="C447" i="37" a="1"/>
  <c r="C473" i="37" a="1"/>
  <c r="C503" i="37" a="1"/>
  <c r="C373" i="37" a="1"/>
  <c r="C278" i="37" a="1"/>
  <c r="C433" i="37" a="1"/>
  <c r="C475" i="37" a="1"/>
  <c r="C200" i="37" a="1"/>
  <c r="C142" i="37" a="1"/>
  <c r="C565" i="37" a="1"/>
  <c r="C550" i="37" a="1"/>
  <c r="C101" i="37" a="1"/>
  <c r="C58" i="37" a="1"/>
  <c r="C404" i="37" a="1"/>
  <c r="C578" i="37" a="1"/>
  <c r="C88" i="37" a="1"/>
  <c r="C546" i="37" a="1"/>
  <c r="C437" i="37" a="1"/>
  <c r="C123" i="37" a="1"/>
  <c r="C470" i="37" a="1"/>
  <c r="C108" i="37" a="1"/>
  <c r="C432" i="37" a="1"/>
  <c r="C203" i="37" a="1"/>
  <c r="C423" i="37" a="1"/>
  <c r="C581" i="37" a="1"/>
  <c r="C528" i="37" a="1"/>
  <c r="C568" i="37" a="1"/>
  <c r="C595" i="37" a="1"/>
  <c r="C381" i="37" a="1"/>
  <c r="C385" i="37" a="1"/>
  <c r="C420" i="37" a="1"/>
  <c r="C461" i="37" a="1"/>
  <c r="C97" i="37" a="1"/>
  <c r="C163" i="37" a="1"/>
  <c r="C238" i="37" a="1"/>
  <c r="C450" i="37" a="1"/>
  <c r="C627" i="37" a="1"/>
  <c r="C434" i="37" a="1"/>
  <c r="C403" i="37" a="1"/>
  <c r="C139" i="37" a="1"/>
  <c r="C159" i="37" a="1"/>
  <c r="C355" i="37" a="1"/>
  <c r="C442" i="37" a="1"/>
  <c r="C338" i="37" a="1"/>
  <c r="C64" i="37" a="1"/>
  <c r="C396" i="37" a="1"/>
  <c r="C572" i="37" a="1"/>
  <c r="C246" i="37" a="1"/>
  <c r="C421" i="37" a="1"/>
  <c r="C508" i="37" a="1"/>
  <c r="C34" i="37" a="1"/>
  <c r="C379" i="37" a="1"/>
  <c r="C618" i="37" a="1"/>
  <c r="C615" i="37" a="1"/>
  <c r="C297" i="37" a="1"/>
  <c r="C117" i="37" a="1"/>
  <c r="C75" i="37" a="1"/>
  <c r="C556" i="37" a="1"/>
  <c r="C616" i="37" a="1"/>
  <c r="C382" i="37" a="1"/>
  <c r="C506" i="37" a="1"/>
  <c r="C273" i="37" a="1"/>
  <c r="C330" i="37" a="1"/>
  <c r="C214" i="37" a="1"/>
  <c r="C489" i="37" a="1"/>
  <c r="C391" i="37" a="1"/>
  <c r="C234" i="37" a="1"/>
  <c r="C81" i="37" a="1"/>
  <c r="C427" i="37" a="1"/>
  <c r="C584" i="37" a="1"/>
  <c r="C387" i="37" a="1"/>
  <c r="C114" i="37" a="1"/>
  <c r="C552" i="37" a="1"/>
  <c r="C198" i="37" a="1"/>
  <c r="C79" i="37" a="1"/>
  <c r="C576" i="37" a="1"/>
  <c r="C614" i="37" a="1"/>
  <c r="C316" i="37" a="1"/>
  <c r="C490" i="37" a="1"/>
  <c r="C523" i="37" a="1"/>
  <c r="C384" i="37" a="1"/>
  <c r="C76" i="37" a="1"/>
  <c r="C634" i="37" a="1"/>
  <c r="C476" i="37" a="1"/>
  <c r="C87" i="37" a="1"/>
  <c r="C600" i="37" a="1"/>
  <c r="C501" i="37" a="1"/>
  <c r="C193" i="37" a="1"/>
  <c r="C158" i="37" a="1"/>
  <c r="C344" i="37" a="1"/>
  <c r="C241" i="37" a="1"/>
  <c r="C512" i="37" a="1"/>
  <c r="C182" i="37" a="1"/>
  <c r="C509" i="37" a="1"/>
  <c r="C178" i="37" a="1"/>
  <c r="C240" i="37" a="1"/>
  <c r="C135" i="37" a="1"/>
  <c r="C233" i="37" a="1"/>
  <c r="C298" i="37" a="1"/>
  <c r="C566" i="37" a="1"/>
  <c r="C127" i="37" a="1"/>
  <c r="C376" i="37" a="1"/>
  <c r="C93" i="37" a="1"/>
  <c r="C592" i="37" a="1"/>
  <c r="C460" i="37" a="1"/>
  <c r="C593" i="37" a="1"/>
  <c r="C449" i="37" a="1"/>
  <c r="C86" i="37" a="1"/>
  <c r="C625" i="37" a="1"/>
  <c r="C284" i="37" a="1"/>
  <c r="C269" i="37" a="1"/>
  <c r="C393" i="37" a="1"/>
  <c r="C332" i="37" a="1"/>
  <c r="C632" i="37" a="1"/>
  <c r="C314" i="37" a="1"/>
  <c r="C453" i="37" a="1"/>
  <c r="C563" i="37" a="1"/>
  <c r="C464" i="37" a="1"/>
  <c r="C504" i="37" a="1"/>
  <c r="C496" i="37" a="1"/>
  <c r="C425" i="37" a="1"/>
  <c r="C248" i="37" a="1"/>
  <c r="C279" i="37" a="1"/>
  <c r="C575" i="37" a="1"/>
  <c r="C551" i="37" a="1"/>
  <c r="C31" i="37" a="1"/>
  <c r="C534" i="37" a="1"/>
  <c r="C52" i="37" a="1"/>
  <c r="C408" i="37" a="1"/>
  <c r="C285" i="37" a="1"/>
  <c r="C67" i="37" a="1"/>
  <c r="C548" i="37" a="1"/>
  <c r="C485" i="37" a="1"/>
  <c r="C90" i="37" a="1"/>
  <c r="C227" i="37" a="1"/>
  <c r="C323" i="37" a="1"/>
  <c r="C553" i="37" a="1"/>
  <c r="C188" i="37" a="1"/>
  <c r="C478" i="37" a="1"/>
  <c r="C244" i="37" a="1"/>
  <c r="C554" i="37" a="1"/>
  <c r="C50" i="37" a="1"/>
  <c r="C191" i="37" a="1"/>
  <c r="C174" i="37" a="1"/>
  <c r="C220" i="37" a="1"/>
  <c r="C270" i="37" a="1"/>
  <c r="C237" i="37" a="1"/>
  <c r="C126" i="37" a="1"/>
  <c r="C250" i="37" a="1"/>
  <c r="C208" i="37" a="1"/>
  <c r="C440" i="37" a="1"/>
  <c r="C106" i="37" a="1"/>
  <c r="C129" i="37" a="1"/>
  <c r="C594" i="37" a="1"/>
  <c r="C587" i="37" a="1"/>
  <c r="C201" i="37" a="1"/>
  <c r="C386" i="37" a="1"/>
  <c r="C499" i="37" a="1"/>
  <c r="C84" i="37" a="1"/>
  <c r="C636" i="37" a="1"/>
  <c r="C524" i="37" a="1"/>
  <c r="C274" i="37" a="1"/>
  <c r="C133" i="37" a="1"/>
  <c r="C597" i="37" a="1"/>
  <c r="C510" i="37" a="1"/>
  <c r="C209" i="37" a="1"/>
  <c r="C360" i="37" a="1"/>
  <c r="C47" i="37" a="1"/>
  <c r="C164" i="37" a="1"/>
  <c r="C60" i="37" a="1"/>
  <c r="C542" i="37" a="1"/>
  <c r="C397" i="37" a="1"/>
  <c r="C555" i="37" a="1"/>
  <c r="C249" i="37" a="1"/>
  <c r="C216" i="37" a="1"/>
  <c r="C377" i="37" a="1"/>
  <c r="C181" i="37" a="1"/>
  <c r="C32" i="37" a="1"/>
  <c r="C368" i="37" a="1"/>
  <c r="C424" i="37" a="1"/>
  <c r="C585" i="37" a="1"/>
  <c r="C92" i="37" a="1"/>
  <c r="C134" i="37" a="1"/>
  <c r="C333" i="37" a="1"/>
  <c r="C192" i="37" a="1"/>
  <c r="C17" i="37" a="1"/>
  <c r="C560" i="37" a="1"/>
  <c r="C519" i="37" a="1"/>
  <c r="C364" i="37" a="1"/>
  <c r="C363" i="37" a="1"/>
  <c r="C286" i="37" a="1"/>
  <c r="C539" i="37" a="1"/>
  <c r="C100" i="37" a="1"/>
  <c r="C175" i="37" a="1"/>
  <c r="C500" i="37" a="1"/>
  <c r="C541" i="37" a="1"/>
  <c r="C199" i="37" a="1"/>
  <c r="C107" i="37" a="1"/>
  <c r="C390" i="37" a="1"/>
  <c r="C605" i="37" a="1"/>
  <c r="C130" i="37" a="1"/>
  <c r="C25" i="37" a="1"/>
  <c r="C131" i="37" a="1"/>
  <c r="C294" i="37" a="1"/>
  <c r="C313" i="37" a="1"/>
  <c r="C441" i="37" a="1"/>
  <c r="C590" i="37" a="1"/>
  <c r="C419" i="37" a="1"/>
  <c r="C195" i="37" a="1"/>
  <c r="C401" i="37" a="1"/>
  <c r="C335" i="37" a="1"/>
  <c r="C471" i="37" a="1"/>
  <c r="C268" i="37" a="1"/>
  <c r="C153" i="37" a="1"/>
  <c r="C296" i="37" a="1"/>
  <c r="C83" i="37" a="1"/>
  <c r="C271" i="37" a="1"/>
  <c r="C494" i="37" a="1"/>
  <c r="C619" i="37" a="1"/>
  <c r="C91" i="37" a="1"/>
  <c r="C267" i="37" a="1"/>
  <c r="C365" i="37" a="1"/>
  <c r="C439" i="37" a="1"/>
  <c r="C232" i="37" a="1"/>
  <c r="C63" i="37" a="1"/>
  <c r="C280" i="37" a="1"/>
  <c r="C311" i="37" a="1"/>
  <c r="C236" i="37" a="1"/>
  <c r="C348" i="37" a="1"/>
  <c r="C446" i="37" a="1"/>
  <c r="C322" i="37" a="1"/>
  <c r="C522" i="37" a="1"/>
  <c r="C604" i="37" a="1"/>
  <c r="C422" i="37" a="1"/>
  <c r="C613" i="37" a="1"/>
  <c r="C145" i="37" a="1"/>
  <c r="C329" i="37" a="1"/>
  <c r="C43" i="37" a="1"/>
  <c r="C356" i="37" a="1"/>
  <c r="C210" i="37" a="1"/>
  <c r="C608" i="37" a="1"/>
  <c r="C148" i="37" a="1"/>
  <c r="C109" i="37" a="1"/>
  <c r="C383" i="37" a="1"/>
  <c r="C35" i="37" a="1"/>
  <c r="C374" i="37" a="1"/>
  <c r="C456" i="37" a="1"/>
  <c r="C586" i="37" a="1"/>
  <c r="C375" i="37" a="1"/>
  <c r="C416" i="37" a="1"/>
  <c r="C45" i="37" a="1"/>
  <c r="C186" i="37" a="1"/>
  <c r="C488" i="37" a="1"/>
  <c r="C229" i="37" a="1"/>
  <c r="C30" i="37" a="1"/>
  <c r="C410" i="37" a="1"/>
  <c r="C518" i="37" a="1"/>
  <c r="C111" i="37" a="1"/>
  <c r="C223" i="37" a="1"/>
  <c r="C472" i="37" a="1"/>
  <c r="C15" i="37" a="1"/>
  <c r="C179" i="37" a="1"/>
  <c r="C185" i="37" a="1"/>
  <c r="C609" i="37" a="1"/>
  <c r="C172" i="37" a="1"/>
  <c r="C150" i="37" a="1"/>
  <c r="C346" i="37" a="1"/>
  <c r="C407" i="37" a="1"/>
  <c r="C547" i="37" a="1"/>
  <c r="C598" i="37" a="1"/>
  <c r="C638" i="37" a="1"/>
  <c r="C124" i="37" a="1"/>
  <c r="C41" i="37" a="1"/>
  <c r="C533" i="37" a="1"/>
  <c r="C291" i="37" a="1"/>
  <c r="C428" i="37" a="1"/>
  <c r="C537" i="37" a="1"/>
  <c r="C331" i="37" a="1"/>
  <c r="C59" i="37" a="1"/>
  <c r="C207" i="37" a="1"/>
  <c r="C122" i="37" a="1"/>
  <c r="C459" i="37" a="1"/>
  <c r="C89" i="37" a="1"/>
  <c r="C366" i="37" a="1"/>
  <c r="C495" i="37" a="1"/>
  <c r="C532" i="37" a="1"/>
  <c r="C481" i="37" a="1"/>
  <c r="C320" i="37" a="1"/>
  <c r="C457" i="37" a="1"/>
  <c r="C155" i="37" a="1"/>
  <c r="C507" i="37" a="1"/>
  <c r="C184" i="37" a="1"/>
  <c r="C626" i="37" a="1"/>
  <c r="C345" i="37" a="1"/>
  <c r="C557" i="37" a="1"/>
  <c r="C288" i="37" a="1"/>
  <c r="C16" i="37" a="1"/>
  <c r="C113" i="37" a="1"/>
  <c r="C167" i="37" a="1"/>
  <c r="C140" i="37" a="1"/>
  <c r="C431" i="37" a="1"/>
  <c r="C321" i="37" a="1"/>
  <c r="C629" i="37" a="1"/>
  <c r="C125" i="37" a="1"/>
  <c r="C292" i="37" a="1"/>
  <c r="C466" i="37" a="1"/>
  <c r="C430" i="37" a="1"/>
  <c r="C168" i="37" a="1"/>
  <c r="C160" i="37" a="1"/>
  <c r="C180" i="37" a="1"/>
  <c r="C49" i="37" a="1"/>
  <c r="C272" i="37" a="1"/>
  <c r="C502" i="37" a="1"/>
  <c r="C202" i="37" a="1"/>
  <c r="C484" i="37" a="1"/>
  <c r="C538" i="37" a="1"/>
  <c r="C583" i="37" a="1"/>
  <c r="C94" i="37" a="1"/>
  <c r="C351" i="37" a="1"/>
  <c r="C412" i="37" a="1"/>
  <c r="C339" i="37" a="1"/>
  <c r="C104" i="37" a="1"/>
  <c r="C606" i="37" a="1"/>
  <c r="C535" i="37" a="1"/>
  <c r="C77" i="37" a="1"/>
  <c r="C378" i="37" a="1"/>
  <c r="C289" i="37" a="1"/>
  <c r="C570" i="37" a="1"/>
  <c r="C455" i="37" a="1"/>
  <c r="C149" i="37" a="1"/>
  <c r="C517" i="37" a="1"/>
  <c r="C624" i="37" a="1"/>
  <c r="C525" i="37" a="1"/>
  <c r="C205" i="37" a="1"/>
  <c r="C580" i="37" a="1"/>
  <c r="C73" i="37" a="1"/>
  <c r="C177" i="37" a="1"/>
  <c r="C564" i="37" a="1"/>
  <c r="C9" i="37" a="1"/>
  <c r="C571" i="37" a="1"/>
  <c r="C607" i="37" a="1"/>
  <c r="C536" i="37" a="1"/>
  <c r="C219" i="37" a="1"/>
  <c r="C400" i="37" a="1"/>
  <c r="C105" i="37" a="1"/>
  <c r="C369" i="37" a="1"/>
  <c r="C141" i="37" a="1"/>
  <c r="C483" i="37" a="1"/>
  <c r="C599" i="37" a="1"/>
  <c r="C514" i="37" a="1"/>
  <c r="C5" i="37" a="1"/>
  <c r="C463" i="37" a="1"/>
  <c r="C170" i="37" a="1"/>
  <c r="C340" i="37" a="1"/>
  <c r="C226" i="37" a="1"/>
  <c r="C121" i="37" a="1"/>
  <c r="C225" i="37" a="1"/>
  <c r="C162" i="37" a="1"/>
  <c r="C630" i="37" a="1"/>
  <c r="C171" i="37" a="1"/>
  <c r="C513" i="37" a="1"/>
  <c r="C621" i="37" a="1"/>
  <c r="C357" i="37" a="1"/>
  <c r="C342" i="37" a="1"/>
  <c r="C187" i="37" a="1"/>
  <c r="C243" i="37" a="1"/>
  <c r="C529" i="37" a="1"/>
  <c r="C228" i="37" a="1"/>
  <c r="C173" i="37" a="1"/>
  <c r="C326" i="37" a="1"/>
  <c r="C573" i="37" a="1"/>
  <c r="C231" i="37" a="1"/>
  <c r="C143" i="37" a="1"/>
  <c r="C561" i="37" a="1"/>
  <c r="C336" i="37" a="1"/>
  <c r="C85" i="37" a="1"/>
  <c r="C183" i="37" a="1"/>
  <c r="C14" i="37" a="1"/>
  <c r="C436" i="37" a="1"/>
  <c r="C319" i="37" a="1"/>
  <c r="C435" i="37" a="1"/>
  <c r="C204" i="37" a="1"/>
  <c r="C290" i="37" a="1"/>
  <c r="C414" i="37" a="1"/>
  <c r="C516" i="37" a="1"/>
  <c r="C352" i="37" a="1"/>
  <c r="C57" i="37" a="1"/>
  <c r="C55" i="37" a="1"/>
  <c r="C633" i="37" a="1"/>
  <c r="C78" i="37" a="1"/>
  <c r="C154" i="37" a="1"/>
  <c r="C371" i="37" a="1"/>
  <c r="C54" i="37" a="1"/>
  <c r="C247" i="37" a="1"/>
  <c r="C156" i="37" a="1"/>
  <c r="C361" i="37" a="1"/>
  <c r="C26" i="37" a="1"/>
  <c r="C445" i="37" a="1"/>
  <c r="C394" i="37" a="1"/>
  <c r="C492" i="37" a="1"/>
  <c r="C212" i="37" a="1"/>
  <c r="C99" i="37" a="1"/>
  <c r="C295" i="37" a="1"/>
  <c r="C277" i="37" a="1"/>
  <c r="C413" i="37" a="1"/>
  <c r="C458" i="37" a="1"/>
  <c r="C72" i="37" a="1"/>
  <c r="C29" i="37" a="1"/>
  <c r="C409" i="37" a="1"/>
  <c r="C567" i="37" a="1"/>
  <c r="C138" i="37" a="1"/>
  <c r="C218" i="37" a="1"/>
  <c r="C206" i="37" a="1"/>
  <c r="C103" i="37" a="1"/>
  <c r="C197" i="37" a="1"/>
  <c r="C418" i="37" a="1"/>
  <c r="C588" i="37" a="1"/>
  <c r="C211" i="37" a="1"/>
  <c r="C545" i="37" a="1"/>
  <c r="C454" i="37" a="1"/>
  <c r="C70" i="37" a="1"/>
  <c r="C62" i="37" a="1"/>
  <c r="C415" i="37" a="1"/>
  <c r="C468" i="37" a="1"/>
  <c r="C540" i="37" a="1"/>
  <c r="C426" i="37" a="1"/>
  <c r="C65" i="37" a="1"/>
  <c r="C287" i="37" a="1"/>
  <c r="C520" i="37" a="1"/>
  <c r="C112" i="37" a="1"/>
  <c r="C637" i="37" a="1"/>
  <c r="C266" i="37" a="1"/>
  <c r="C411" i="37" a="1"/>
  <c r="C602" i="37" a="1"/>
  <c r="C591" i="37" a="1"/>
  <c r="C115" i="37" a="1"/>
  <c r="C370" i="37" a="1"/>
  <c r="C498" i="37" a="1"/>
  <c r="C610" i="37" a="1"/>
  <c r="C388" i="37" a="1"/>
  <c r="C617" i="37" a="1"/>
  <c r="C95" i="37" a="1"/>
  <c r="C165" i="37" a="1"/>
  <c r="C281" i="37" a="1"/>
  <c r="C245" i="37" a="1"/>
  <c r="C132" i="37" a="1"/>
  <c r="C558" i="37" a="1"/>
  <c r="C71" i="37" a="1"/>
  <c r="C312" i="37" a="1"/>
  <c r="C389" i="37" a="1"/>
  <c r="C337" i="37" a="1"/>
  <c r="C358" i="37" a="1"/>
  <c r="C527" i="37" a="1"/>
  <c r="C147" i="37" a="1"/>
  <c r="C176" i="37" a="1"/>
  <c r="C448" i="37" a="1"/>
  <c r="C120" i="37" a="1"/>
  <c r="C596" i="37" a="1"/>
  <c r="C444" i="37" a="1"/>
  <c r="C438" i="37" a="1"/>
  <c r="C324" i="37" a="1"/>
  <c r="C497" i="37" a="1"/>
  <c r="C276" i="37" a="1"/>
  <c r="C480" i="37" a="1"/>
  <c r="C530" i="37" a="1"/>
  <c r="C144" i="37" a="1"/>
  <c r="C392" i="37" a="1"/>
  <c r="C82" i="37" a="1"/>
  <c r="C137" i="37" a="1"/>
  <c r="C293" i="37" a="1"/>
  <c r="C487" i="37" a="1"/>
  <c r="C194" i="37" a="1"/>
  <c r="C635" i="37" a="1"/>
  <c r="C61" i="37" a="1"/>
  <c r="C110" i="37" a="1"/>
  <c r="C589" i="37" a="1"/>
  <c r="C98" i="37" a="1"/>
  <c r="C531" i="37" a="1"/>
  <c r="C327" i="37" a="1"/>
  <c r="C56" i="37" a="1"/>
  <c r="C235" i="37" a="1"/>
  <c r="C631" i="37" a="1"/>
  <c r="C612" i="37" a="1"/>
  <c r="C343" i="37" a="1"/>
  <c r="C574" i="37" a="1"/>
  <c r="C350" i="37" a="1"/>
  <c r="C53" i="37" a="1"/>
  <c r="C526" i="37" a="1"/>
  <c r="C217" i="37" a="1"/>
  <c r="C462" i="37" a="1"/>
  <c r="C151" i="37" a="1"/>
  <c r="C27" i="37" a="1"/>
  <c r="C493" i="37" a="1"/>
  <c r="C74" i="37" a="1"/>
  <c r="C118" i="37" a="1"/>
  <c r="C611" i="37" a="1"/>
  <c r="C68" i="37" a="1"/>
  <c r="C479" i="37" a="1"/>
  <c r="C477" i="37" a="1"/>
  <c r="C347" i="37" a="1"/>
  <c r="C482" i="37" a="1"/>
  <c r="C354" i="37" a="1"/>
  <c r="C315" i="37" a="1"/>
  <c r="C511" i="37" a="1"/>
  <c r="C429" i="37" a="1"/>
  <c r="C42" i="37" a="1"/>
  <c r="C239" i="37" a="1"/>
  <c r="C157" i="37" a="1"/>
  <c r="C372" i="37" a="1"/>
  <c r="C359" i="37" a="1"/>
  <c r="C283" i="37" a="1"/>
  <c r="C491" i="37" a="1"/>
  <c r="C196" i="37" a="1"/>
  <c r="C622" i="37" a="1"/>
  <c r="C417" i="37" a="1"/>
  <c r="C395" i="37" a="1"/>
  <c r="C128" i="37" a="1"/>
  <c r="C318" i="37" a="1"/>
  <c r="C80" i="37" a="1"/>
  <c r="C282" i="37" a="1"/>
  <c r="C334" i="37" a="1"/>
  <c r="C620" i="37" a="1"/>
  <c r="C405" i="37" a="1"/>
  <c r="C136" i="37" a="1"/>
  <c r="C486" i="37" a="1"/>
  <c r="C362" i="37" a="1"/>
  <c r="C189" i="37" a="1"/>
  <c r="C33" i="37" a="1"/>
  <c r="C224" i="37" a="1"/>
  <c r="C190" i="37" a="1"/>
  <c r="C579" i="37" a="1"/>
  <c r="C252" i="37" a="1"/>
  <c r="C515" i="37" a="1"/>
  <c r="C325" i="37" a="1"/>
  <c r="C474" i="37" a="1"/>
  <c r="C242" i="37" a="1"/>
  <c r="C399" i="37" a="1"/>
  <c r="C146" i="37" a="1"/>
  <c r="C505" i="37" a="1"/>
  <c r="C328" i="37" a="1"/>
  <c r="C28" i="37" a="1"/>
  <c r="C169" i="37" a="1"/>
  <c r="C628" i="37" a="1"/>
  <c r="C6" i="37" a="1"/>
  <c r="C562" i="37" a="1"/>
  <c r="C367" i="37" a="1"/>
  <c r="C36" i="37" a="1"/>
  <c r="C543" i="37" a="1"/>
  <c r="C467" i="37" a="1"/>
  <c r="C469" i="37" a="1"/>
  <c r="C51" i="37" a="1"/>
  <c r="C102" i="37" a="1"/>
  <c r="C317" i="37" a="1"/>
  <c r="C48" i="37" a="1"/>
  <c r="C230" i="37" a="1"/>
  <c r="C44" i="37" a="1"/>
  <c r="C213" i="37" a="1"/>
  <c r="C603" i="37" a="1"/>
  <c r="C66" i="37" a="1"/>
  <c r="C152" i="37" a="1"/>
  <c r="C398" i="37" a="1"/>
  <c r="C265" i="37" a="1"/>
  <c r="C544" i="37" a="1"/>
  <c r="C222" i="37" a="1"/>
  <c r="C402" i="37" a="1"/>
  <c r="C96" i="37" a="1"/>
  <c r="C353" i="37" a="1"/>
  <c r="C353" i="37" l="1"/>
  <c r="C96" i="37"/>
  <c r="C402" i="37"/>
  <c r="C222" i="37"/>
  <c r="C544" i="37"/>
  <c r="C265" i="37"/>
  <c r="C398" i="37"/>
  <c r="C152" i="37"/>
  <c r="C66" i="37"/>
  <c r="C603" i="37"/>
  <c r="C213" i="37"/>
  <c r="C44" i="37"/>
  <c r="C230" i="37"/>
  <c r="C48" i="37"/>
  <c r="C317" i="37"/>
  <c r="C102" i="37"/>
  <c r="C51" i="37"/>
  <c r="C469" i="37"/>
  <c r="C467" i="37"/>
  <c r="C543" i="37"/>
  <c r="C36" i="37"/>
  <c r="C367" i="37"/>
  <c r="C562" i="37"/>
  <c r="C6" i="37"/>
  <c r="C628" i="37"/>
  <c r="C169" i="37"/>
  <c r="C28" i="37"/>
  <c r="C328" i="37"/>
  <c r="C505" i="37"/>
  <c r="C146" i="37"/>
  <c r="C399" i="37"/>
  <c r="C242" i="37"/>
  <c r="C474" i="37"/>
  <c r="C325" i="37"/>
  <c r="C515" i="37"/>
  <c r="C252" i="37"/>
  <c r="C579" i="37"/>
  <c r="C190" i="37"/>
  <c r="C224" i="37"/>
  <c r="C33" i="37"/>
  <c r="C189" i="37"/>
  <c r="C362" i="37"/>
  <c r="C486" i="37"/>
  <c r="C136" i="37"/>
  <c r="C405" i="37"/>
  <c r="C620" i="37"/>
  <c r="C334" i="37"/>
  <c r="C282" i="37"/>
  <c r="C80" i="37"/>
  <c r="C318" i="37"/>
  <c r="C128" i="37"/>
  <c r="C395" i="37"/>
  <c r="C417" i="37"/>
  <c r="C622" i="37"/>
  <c r="C196" i="37"/>
  <c r="C491" i="37"/>
  <c r="C283" i="37"/>
  <c r="C359" i="37"/>
  <c r="C372" i="37"/>
  <c r="C157" i="37"/>
  <c r="C239" i="37"/>
  <c r="C42" i="37"/>
  <c r="C429" i="37"/>
  <c r="C511" i="37"/>
  <c r="C315" i="37"/>
  <c r="C354" i="37"/>
  <c r="C482" i="37"/>
  <c r="C347" i="37"/>
  <c r="C477" i="37"/>
  <c r="C479" i="37"/>
  <c r="C68" i="37"/>
  <c r="C611" i="37"/>
  <c r="C118" i="37"/>
  <c r="C74" i="37"/>
  <c r="C493" i="37"/>
  <c r="C27" i="37"/>
  <c r="C151" i="37"/>
  <c r="C462" i="37"/>
  <c r="C217" i="37"/>
  <c r="C526" i="37"/>
  <c r="C53" i="37"/>
  <c r="C350" i="37"/>
  <c r="C574" i="37"/>
  <c r="C343" i="37"/>
  <c r="C612" i="37"/>
  <c r="C631" i="37"/>
  <c r="C235" i="37"/>
  <c r="C56" i="37"/>
  <c r="C327" i="37"/>
  <c r="C531" i="37"/>
  <c r="C98" i="37"/>
  <c r="C589" i="37"/>
  <c r="C110" i="37"/>
  <c r="C61" i="37"/>
  <c r="C635" i="37"/>
  <c r="C194" i="37"/>
  <c r="C487" i="37"/>
  <c r="C293" i="37"/>
  <c r="C137" i="37"/>
  <c r="C82" i="37"/>
  <c r="C392" i="37"/>
  <c r="C144" i="37"/>
  <c r="C530" i="37"/>
  <c r="C480" i="37"/>
  <c r="C276" i="37"/>
  <c r="C497" i="37"/>
  <c r="C324" i="37"/>
  <c r="C438" i="37"/>
  <c r="C444" i="37"/>
  <c r="C596" i="37"/>
  <c r="C120" i="37"/>
  <c r="C448" i="37"/>
  <c r="C176" i="37"/>
  <c r="C147" i="37"/>
  <c r="C527" i="37"/>
  <c r="C358" i="37"/>
  <c r="C337" i="37"/>
  <c r="C389" i="37"/>
  <c r="C312" i="37"/>
  <c r="C71" i="37"/>
  <c r="C558" i="37"/>
  <c r="C132" i="37"/>
  <c r="C245" i="37"/>
  <c r="C281" i="37"/>
  <c r="C165" i="37"/>
  <c r="C95" i="37"/>
  <c r="C617" i="37"/>
  <c r="C388" i="37"/>
  <c r="C610" i="37"/>
  <c r="C498" i="37"/>
  <c r="C370" i="37"/>
  <c r="C115" i="37"/>
  <c r="C591" i="37"/>
  <c r="C602" i="37"/>
  <c r="C411" i="37"/>
  <c r="C266" i="37"/>
  <c r="C637" i="37"/>
  <c r="C112" i="37"/>
  <c r="C520" i="37"/>
  <c r="C287" i="37"/>
  <c r="C65" i="37"/>
  <c r="C426" i="37"/>
  <c r="C540" i="37"/>
  <c r="C468" i="37"/>
  <c r="C415" i="37"/>
  <c r="C62" i="37"/>
  <c r="C70" i="37"/>
  <c r="C454" i="37"/>
  <c r="C545" i="37"/>
  <c r="C211" i="37"/>
  <c r="C588" i="37"/>
  <c r="C418" i="37"/>
  <c r="C197" i="37"/>
  <c r="C103" i="37"/>
  <c r="C206" i="37"/>
  <c r="C218" i="37"/>
  <c r="C138" i="37"/>
  <c r="C567" i="37"/>
  <c r="C409" i="37"/>
  <c r="C29" i="37"/>
  <c r="C72" i="37"/>
  <c r="C458" i="37"/>
  <c r="C413" i="37"/>
  <c r="C277" i="37"/>
  <c r="C295" i="37"/>
  <c r="C99" i="37"/>
  <c r="C212" i="37"/>
  <c r="C492" i="37"/>
  <c r="C394" i="37"/>
  <c r="C445" i="37"/>
  <c r="C26" i="37"/>
  <c r="C361" i="37"/>
  <c r="C156" i="37"/>
  <c r="C247" i="37"/>
  <c r="C54" i="37"/>
  <c r="C371" i="37"/>
  <c r="C154" i="37"/>
  <c r="C78" i="37"/>
  <c r="C633" i="37"/>
  <c r="C55" i="37"/>
  <c r="C57" i="37"/>
  <c r="C352" i="37"/>
  <c r="C516" i="37"/>
  <c r="C414" i="37"/>
  <c r="C290" i="37"/>
  <c r="C204" i="37"/>
  <c r="C435" i="37"/>
  <c r="C319" i="37"/>
  <c r="C436" i="37"/>
  <c r="C14" i="37"/>
  <c r="C183" i="37"/>
  <c r="C85" i="37"/>
  <c r="C336" i="37"/>
  <c r="C561" i="37"/>
  <c r="C143" i="37"/>
  <c r="C231" i="37"/>
  <c r="C573" i="37"/>
  <c r="C326" i="37"/>
  <c r="C173" i="37"/>
  <c r="C228" i="37"/>
  <c r="C529" i="37"/>
  <c r="C243" i="37"/>
  <c r="C187" i="37"/>
  <c r="C342" i="37"/>
  <c r="C357" i="37"/>
  <c r="C621" i="37"/>
  <c r="C513" i="37"/>
  <c r="C171" i="37"/>
  <c r="C630" i="37"/>
  <c r="C162" i="37"/>
  <c r="C225" i="37"/>
  <c r="C121" i="37"/>
  <c r="C226" i="37"/>
  <c r="C340" i="37"/>
  <c r="C170" i="37"/>
  <c r="C463" i="37"/>
  <c r="C5" i="37"/>
  <c r="C514" i="37"/>
  <c r="C599" i="37"/>
  <c r="C483" i="37"/>
  <c r="C141" i="37"/>
  <c r="C369" i="37"/>
  <c r="C105" i="37"/>
  <c r="C400" i="37"/>
  <c r="C219" i="37"/>
  <c r="C536" i="37"/>
  <c r="C607" i="37"/>
  <c r="C571" i="37"/>
  <c r="C9" i="37"/>
  <c r="C564" i="37"/>
  <c r="C177" i="37"/>
  <c r="C73" i="37"/>
  <c r="C580" i="37"/>
  <c r="C205" i="37"/>
  <c r="C525" i="37"/>
  <c r="C624" i="37"/>
  <c r="C517" i="37"/>
  <c r="C149" i="37"/>
  <c r="C455" i="37"/>
  <c r="C570" i="37"/>
  <c r="C289" i="37"/>
  <c r="C378" i="37"/>
  <c r="C77" i="37"/>
  <c r="C535" i="37"/>
  <c r="C606" i="37"/>
  <c r="C104" i="37"/>
  <c r="C339" i="37"/>
  <c r="C412" i="37"/>
  <c r="C351" i="37"/>
  <c r="C94" i="37"/>
  <c r="C583" i="37"/>
  <c r="C538" i="37"/>
  <c r="C484" i="37"/>
  <c r="C202" i="37"/>
  <c r="C502" i="37"/>
  <c r="C272" i="37"/>
  <c r="C49" i="37"/>
  <c r="C180" i="37"/>
  <c r="C160" i="37"/>
  <c r="C168" i="37"/>
  <c r="C430" i="37"/>
  <c r="C466" i="37"/>
  <c r="C292" i="37"/>
  <c r="C125" i="37"/>
  <c r="C629" i="37"/>
  <c r="C321" i="37"/>
  <c r="C431" i="37"/>
  <c r="C140" i="37"/>
  <c r="C167" i="37"/>
  <c r="C113" i="37"/>
  <c r="C16" i="37"/>
  <c r="C288" i="37"/>
  <c r="C557" i="37"/>
  <c r="C345" i="37"/>
  <c r="C626" i="37"/>
  <c r="C184" i="37"/>
  <c r="C507" i="37"/>
  <c r="C155" i="37"/>
  <c r="C457" i="37"/>
  <c r="C320" i="37"/>
  <c r="C481" i="37"/>
  <c r="C532" i="37"/>
  <c r="C495" i="37"/>
  <c r="C366" i="37"/>
  <c r="C89" i="37"/>
  <c r="C459" i="37"/>
  <c r="C122" i="37"/>
  <c r="C207" i="37"/>
  <c r="C59" i="37"/>
  <c r="C331" i="37"/>
  <c r="C537" i="37"/>
  <c r="C428" i="37"/>
  <c r="C291" i="37"/>
  <c r="C533" i="37"/>
  <c r="C41" i="37"/>
  <c r="C124" i="37"/>
  <c r="C638" i="37"/>
  <c r="C598" i="37"/>
  <c r="C547" i="37"/>
  <c r="C407" i="37"/>
  <c r="C346" i="37"/>
  <c r="C150" i="37"/>
  <c r="C172" i="37"/>
  <c r="C609" i="37"/>
  <c r="C185" i="37"/>
  <c r="C179" i="37"/>
  <c r="C15" i="37"/>
  <c r="C472" i="37"/>
  <c r="C223" i="37"/>
  <c r="C111" i="37"/>
  <c r="C518" i="37"/>
  <c r="C410" i="37"/>
  <c r="C30" i="37"/>
  <c r="C229" i="37"/>
  <c r="C488" i="37"/>
  <c r="C186" i="37"/>
  <c r="C45" i="37"/>
  <c r="C416" i="37"/>
  <c r="C375" i="37"/>
  <c r="C586" i="37"/>
  <c r="C456" i="37"/>
  <c r="C374" i="37"/>
  <c r="C35" i="37"/>
  <c r="C383" i="37"/>
  <c r="C109" i="37"/>
  <c r="C148" i="37"/>
  <c r="C608" i="37"/>
  <c r="C210" i="37"/>
  <c r="C356" i="37"/>
  <c r="C43" i="37"/>
  <c r="C329" i="37"/>
  <c r="C145" i="37"/>
  <c r="C613" i="37"/>
  <c r="C422" i="37"/>
  <c r="C604" i="37"/>
  <c r="C522" i="37"/>
  <c r="C322" i="37"/>
  <c r="C446" i="37"/>
  <c r="C348" i="37"/>
  <c r="C236" i="37"/>
  <c r="C311" i="37"/>
  <c r="C280" i="37"/>
  <c r="C63" i="37"/>
  <c r="C232" i="37"/>
  <c r="C439" i="37"/>
  <c r="C365" i="37"/>
  <c r="C267" i="37"/>
  <c r="C91" i="37"/>
  <c r="C619" i="37"/>
  <c r="C494" i="37"/>
  <c r="C271" i="37"/>
  <c r="C83" i="37"/>
  <c r="C296" i="37"/>
  <c r="C153" i="37"/>
  <c r="C268" i="37"/>
  <c r="C471" i="37"/>
  <c r="C335" i="37"/>
  <c r="C401" i="37"/>
  <c r="C195" i="37"/>
  <c r="C419" i="37"/>
  <c r="C590" i="37"/>
  <c r="C441" i="37"/>
  <c r="C313" i="37"/>
  <c r="C294" i="37"/>
  <c r="C131" i="37"/>
  <c r="C25" i="37"/>
  <c r="C130" i="37"/>
  <c r="C605" i="37"/>
  <c r="C390" i="37"/>
  <c r="C107" i="37"/>
  <c r="C199" i="37"/>
  <c r="C541" i="37"/>
  <c r="C500" i="37"/>
  <c r="C175" i="37"/>
  <c r="C100" i="37"/>
  <c r="C539" i="37"/>
  <c r="C286" i="37"/>
  <c r="C363" i="37"/>
  <c r="C364" i="37"/>
  <c r="C519" i="37"/>
  <c r="C560" i="37"/>
  <c r="C17" i="37"/>
  <c r="C192" i="37"/>
  <c r="C333" i="37"/>
  <c r="C134" i="37"/>
  <c r="C92" i="37"/>
  <c r="C585" i="37"/>
  <c r="C424" i="37"/>
  <c r="C368" i="37"/>
  <c r="C32" i="37"/>
  <c r="C181" i="37"/>
  <c r="C377" i="37"/>
  <c r="C216" i="37"/>
  <c r="C249" i="37"/>
  <c r="C555" i="37"/>
  <c r="C397" i="37"/>
  <c r="C542" i="37"/>
  <c r="C60" i="37"/>
  <c r="C164" i="37"/>
  <c r="C47" i="37"/>
  <c r="C360" i="37"/>
  <c r="C209" i="37"/>
  <c r="C510" i="37"/>
  <c r="C597" i="37"/>
  <c r="C133" i="37"/>
  <c r="C274" i="37"/>
  <c r="C524" i="37"/>
  <c r="C636" i="37"/>
  <c r="C84" i="37"/>
  <c r="C499" i="37"/>
  <c r="C386" i="37"/>
  <c r="C201" i="37"/>
  <c r="C587" i="37"/>
  <c r="C594" i="37"/>
  <c r="C129" i="37"/>
  <c r="C106" i="37"/>
  <c r="C440" i="37"/>
  <c r="C208" i="37"/>
  <c r="C250" i="37"/>
  <c r="C126" i="37"/>
  <c r="C237" i="37"/>
  <c r="C270" i="37"/>
  <c r="C220" i="37"/>
  <c r="C174" i="37"/>
  <c r="C191" i="37"/>
  <c r="C50" i="37"/>
  <c r="C554" i="37"/>
  <c r="C244" i="37"/>
  <c r="C478" i="37"/>
  <c r="C188" i="37"/>
  <c r="C553" i="37"/>
  <c r="C323" i="37"/>
  <c r="C227" i="37"/>
  <c r="C90" i="37"/>
  <c r="C485" i="37"/>
  <c r="C548" i="37"/>
  <c r="C67" i="37"/>
  <c r="C285" i="37"/>
  <c r="C408" i="37"/>
  <c r="C52" i="37"/>
  <c r="C534" i="37"/>
  <c r="C31" i="37"/>
  <c r="C551" i="37"/>
  <c r="C575" i="37"/>
  <c r="C279" i="37"/>
  <c r="C248" i="37"/>
  <c r="C425" i="37"/>
  <c r="C496" i="37"/>
  <c r="C504" i="37"/>
  <c r="C464" i="37"/>
  <c r="C563" i="37"/>
  <c r="C453" i="37"/>
  <c r="C314" i="37"/>
  <c r="C632" i="37"/>
  <c r="C332" i="37"/>
  <c r="C393" i="37"/>
  <c r="C269" i="37"/>
  <c r="C284" i="37"/>
  <c r="C625" i="37"/>
  <c r="C86" i="37"/>
  <c r="C449" i="37"/>
  <c r="C593" i="37"/>
  <c r="C460" i="37"/>
  <c r="C592" i="37"/>
  <c r="C93" i="37"/>
  <c r="C376" i="37"/>
  <c r="C127" i="37"/>
  <c r="C566" i="37"/>
  <c r="C298" i="37"/>
  <c r="C233" i="37"/>
  <c r="C135" i="37"/>
  <c r="C240" i="37"/>
  <c r="C178" i="37"/>
  <c r="C509" i="37"/>
  <c r="C182" i="37"/>
  <c r="C512" i="37"/>
  <c r="C241" i="37"/>
  <c r="C344" i="37"/>
  <c r="C158" i="37"/>
  <c r="C193" i="37"/>
  <c r="C501" i="37"/>
  <c r="C600" i="37"/>
  <c r="C87" i="37"/>
  <c r="C476" i="37"/>
  <c r="C634" i="37"/>
  <c r="C76" i="37"/>
  <c r="C384" i="37"/>
  <c r="C523" i="37"/>
  <c r="C490" i="37"/>
  <c r="C316" i="37"/>
  <c r="C614" i="37"/>
  <c r="C576" i="37"/>
  <c r="C79" i="37"/>
  <c r="C198" i="37"/>
  <c r="C552" i="37"/>
  <c r="C114" i="37"/>
  <c r="C387" i="37"/>
  <c r="C584" i="37"/>
  <c r="C427" i="37"/>
  <c r="C81" i="37"/>
  <c r="C234" i="37"/>
  <c r="C391" i="37"/>
  <c r="C489" i="37"/>
  <c r="C214" i="37"/>
  <c r="C330" i="37"/>
  <c r="C273" i="37"/>
  <c r="C506" i="37"/>
  <c r="C382" i="37"/>
  <c r="C616" i="37"/>
  <c r="C556" i="37"/>
  <c r="C75" i="37"/>
  <c r="C117" i="37"/>
  <c r="C297" i="37"/>
  <c r="C615" i="37"/>
  <c r="C618" i="37"/>
  <c r="C379" i="37"/>
  <c r="C34" i="37"/>
  <c r="C508" i="37"/>
  <c r="C421" i="37"/>
  <c r="C246" i="37"/>
  <c r="C572" i="37"/>
  <c r="C396" i="37"/>
  <c r="C64" i="37"/>
  <c r="C338" i="37"/>
  <c r="C442" i="37"/>
  <c r="C355" i="37"/>
  <c r="C159" i="37"/>
  <c r="C139" i="37"/>
  <c r="C403" i="37"/>
  <c r="C434" i="37"/>
  <c r="C627" i="37"/>
  <c r="C450" i="37"/>
  <c r="C238" i="37"/>
  <c r="C163" i="37"/>
  <c r="C97" i="37"/>
  <c r="C461" i="37"/>
  <c r="C420" i="37"/>
  <c r="C385" i="37"/>
  <c r="C381" i="37"/>
  <c r="C595" i="37"/>
  <c r="C568" i="37"/>
  <c r="C528" i="37"/>
  <c r="C581" i="37"/>
  <c r="C423" i="37"/>
  <c r="C203" i="37"/>
  <c r="C432" i="37"/>
  <c r="C108" i="37"/>
  <c r="C470" i="37"/>
  <c r="C123" i="37"/>
  <c r="C437" i="37"/>
  <c r="C546" i="37"/>
  <c r="C88" i="37"/>
  <c r="C578" i="37"/>
  <c r="C404" i="37"/>
  <c r="C58" i="37"/>
  <c r="C101" i="37"/>
  <c r="C550" i="37"/>
  <c r="C565" i="37"/>
  <c r="C142" i="37"/>
  <c r="C200" i="37"/>
  <c r="C475" i="37"/>
  <c r="C433" i="37"/>
  <c r="C278" i="37"/>
  <c r="C373" i="37"/>
  <c r="C503" i="37"/>
  <c r="C473" i="37"/>
  <c r="C447" i="37"/>
  <c r="C465" i="37"/>
  <c r="C623" i="37"/>
  <c r="C559" i="37"/>
  <c r="C215" i="37"/>
  <c r="C577" i="37"/>
  <c r="C275" i="37"/>
  <c r="C69" i="37"/>
  <c r="C116" i="37"/>
  <c r="C451" i="37"/>
  <c r="C569" i="37"/>
  <c r="C119" i="37"/>
  <c r="C166" i="37"/>
  <c r="C601" i="37"/>
  <c r="C46" i="37"/>
  <c r="C349" i="37"/>
  <c r="C406" i="37"/>
  <c r="C380" i="37"/>
  <c r="C221" i="37"/>
  <c r="C582" i="37"/>
  <c r="C161" i="37"/>
  <c r="C549" i="37"/>
  <c r="C341" i="37"/>
  <c r="C251" i="37"/>
  <c r="C443" i="37"/>
  <c r="C521" i="37"/>
  <c r="C452" i="37"/>
  <c r="M4" i="9"/>
  <c r="D14" i="3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<sst xmlns="http://schemas.openxmlformats.org/spreadsheetml/2006/main" count="5265" uniqueCount="2032">
  <si>
    <t>7+</t>
  </si>
  <si>
    <t>Domains</t>
  </si>
  <si>
    <t>Employment</t>
  </si>
  <si>
    <t>Housing</t>
  </si>
  <si>
    <t>Infrastructure Planning Coalition</t>
  </si>
  <si>
    <t>Building Codes Campaign</t>
  </si>
  <si>
    <t>Attract Capital Investments</t>
  </si>
  <si>
    <t>Poverty Simulations</t>
  </si>
  <si>
    <t>Other</t>
  </si>
  <si>
    <t>Scholarship Creation</t>
  </si>
  <si>
    <t>Domestic Violence Court Development</t>
  </si>
  <si>
    <t>Drug Court Development</t>
  </si>
  <si>
    <t>Transportation System Development</t>
  </si>
  <si>
    <t>Transportation Services Coordination and Support</t>
  </si>
  <si>
    <t>Recruiting and Coordinating Community Volunteers</t>
  </si>
  <si>
    <t>Neighborhood</t>
  </si>
  <si>
    <t>City</t>
  </si>
  <si>
    <t>School District</t>
  </si>
  <si>
    <t>Service Area</t>
  </si>
  <si>
    <t>State</t>
  </si>
  <si>
    <t>Region</t>
  </si>
  <si>
    <t>Other Counts of Change</t>
  </si>
  <si>
    <t>Counts
 of Change</t>
  </si>
  <si>
    <r>
      <t xml:space="preserve">II.)  Target 
</t>
    </r>
    <r>
      <rPr>
        <sz val="9"/>
        <color indexed="8"/>
        <rFont val="Calibri"/>
        <family val="2"/>
      </rPr>
      <t>(#)</t>
    </r>
  </si>
  <si>
    <r>
      <t xml:space="preserve">III.)  Actual Results
</t>
    </r>
    <r>
      <rPr>
        <sz val="9"/>
        <color indexed="8"/>
        <rFont val="Calibri"/>
        <family val="2"/>
      </rPr>
      <t>(#)</t>
    </r>
  </si>
  <si>
    <r>
      <t xml:space="preserve">IV.) Performance target accuracy 
</t>
    </r>
    <r>
      <rPr>
        <sz val="9"/>
        <color indexed="8"/>
        <rFont val="Calibri"/>
        <family val="2"/>
      </rPr>
      <t>(% auto calculated)</t>
    </r>
  </si>
  <si>
    <r>
      <t>IV.)  Expected % change from baseline</t>
    </r>
    <r>
      <rPr>
        <sz val="9"/>
        <color indexed="8"/>
        <rFont val="Calibri"/>
        <family val="2"/>
      </rPr>
      <t xml:space="preserve"> 
(Target %  auto calculated) </t>
    </r>
  </si>
  <si>
    <r>
      <t>VI.)  Actual % change from baseline</t>
    </r>
    <r>
      <rPr>
        <sz val="9"/>
        <color indexed="8"/>
        <rFont val="Calibri"/>
        <family val="2"/>
      </rPr>
      <t xml:space="preserve"> 
(% auto calculated) </t>
    </r>
  </si>
  <si>
    <r>
      <t xml:space="preserve">VII.) Performance target accuracy
</t>
    </r>
    <r>
      <rPr>
        <sz val="9"/>
        <color indexed="8"/>
        <rFont val="Calibri"/>
        <family val="2"/>
      </rPr>
      <t>(% auto calculated)</t>
    </r>
  </si>
  <si>
    <t>Rates of Change</t>
  </si>
  <si>
    <t>Other Rates of Change</t>
  </si>
  <si>
    <t>Employment Indicators</t>
  </si>
  <si>
    <r>
      <t xml:space="preserve">I.)  Identified Community
</t>
    </r>
    <r>
      <rPr>
        <sz val="9"/>
        <color indexed="8"/>
        <rFont val="Calibri"/>
        <family val="2"/>
      </rPr>
      <t>(auto populated)</t>
    </r>
  </si>
  <si>
    <t>Education and Cognitive Development Indicators</t>
  </si>
  <si>
    <t>Infrastructure and Asset Building Indicators</t>
  </si>
  <si>
    <t>Housing Indicators</t>
  </si>
  <si>
    <t>Health and Social/Behavioral Indicators</t>
  </si>
  <si>
    <t>Civic Engagement and Community Involvement Indicators</t>
  </si>
  <si>
    <t xml:space="preserve">Minimum/Living Wage Campaign </t>
  </si>
  <si>
    <t xml:space="preserve">Job Creation/Employment Generation </t>
  </si>
  <si>
    <t>Job Fairs</t>
  </si>
  <si>
    <t>Earned Income Tax Credit (EITC) Promotion</t>
  </si>
  <si>
    <t>Commercial Space Development</t>
  </si>
  <si>
    <t xml:space="preserve">Employer Education </t>
  </si>
  <si>
    <t>Employment Policy Changes</t>
  </si>
  <si>
    <t>Employment Legislative Changes</t>
  </si>
  <si>
    <t>Preschool for All Campaign</t>
  </si>
  <si>
    <t xml:space="preserve">Pre K-College/Community College Support </t>
  </si>
  <si>
    <t>Children’s Trust Fund Creation</t>
  </si>
  <si>
    <t xml:space="preserve">Child Tax Credit (CTC) Promotion </t>
  </si>
  <si>
    <t>Adult Education Establishment</t>
  </si>
  <si>
    <t>Other Employment Strategy: (please specify)</t>
  </si>
  <si>
    <t>Education and Cognitive Development Policy Changes</t>
  </si>
  <si>
    <t>Cultural Asset Creation</t>
  </si>
  <si>
    <t>Neighborhood Safety Watch Programs</t>
  </si>
  <si>
    <t>Asset Limit Barriers for Benefits Policy Changes</t>
  </si>
  <si>
    <t>Anti-Predatory Lending Campaign</t>
  </si>
  <si>
    <t xml:space="preserve">Asset Building and Savings Promotion </t>
  </si>
  <si>
    <t>Maintain or Host Income Tax Preparation Sites</t>
  </si>
  <si>
    <t>Community-Wide Data Collection Systems Development</t>
  </si>
  <si>
    <t>Local 211 or Resource/Referral System Development</t>
  </si>
  <si>
    <t xml:space="preserve">Water/Sewer System Development </t>
  </si>
  <si>
    <t>Community Financial Institution Creation</t>
  </si>
  <si>
    <t xml:space="preserve">Park or Recreation Creation and Maintenance </t>
  </si>
  <si>
    <t xml:space="preserve">Rehabilitation/Weatherization of Housing Stock  </t>
  </si>
  <si>
    <t>Community Center/Community Facility Establishment</t>
  </si>
  <si>
    <t>Infrastructure and Asset Building Policy Changes</t>
  </si>
  <si>
    <t>Infrastructure and Asset Building Legislative Changes</t>
  </si>
  <si>
    <t>Other Infrastructure and Asset Building Strategy: (please specify)</t>
  </si>
  <si>
    <t>End Chronic Homelessness Campaign</t>
  </si>
  <si>
    <t>Tenants’ Rights Campaign</t>
  </si>
  <si>
    <t>New Shelters Creation (including day shelters and domestic violence shelters)</t>
  </si>
  <si>
    <r>
      <t>Housing Legislative Changes</t>
    </r>
    <r>
      <rPr>
        <sz val="8"/>
        <color indexed="8"/>
        <rFont val="Calibri"/>
        <family val="2"/>
      </rPr>
      <t> </t>
    </r>
  </si>
  <si>
    <t>Other Housing Strategy: (please specify)</t>
  </si>
  <si>
    <t>Other Education and Cognitive Development Strategy: (please specify)</t>
  </si>
  <si>
    <t>Gun Safety/Control Campaign</t>
  </si>
  <si>
    <t>Nutrition Education Collaborative</t>
  </si>
  <si>
    <t>Food Bank Development</t>
  </si>
  <si>
    <t>Alternative Energy Source Development</t>
  </si>
  <si>
    <t>Health and Social/Behavioral Development Policy Changes</t>
  </si>
  <si>
    <t>Health and Social/Behavioral Development Legislative Changes</t>
  </si>
  <si>
    <t>Other Health and Social/Behavioral Development Strategy: (please specify)</t>
  </si>
  <si>
    <t>Off-Hours (Non-Traditional Hours) Child Care Development</t>
  </si>
  <si>
    <t>Housing Policy Changes</t>
  </si>
  <si>
    <r>
      <t>Community Support Legislative Changes</t>
    </r>
    <r>
      <rPr>
        <sz val="8"/>
        <color indexed="8"/>
        <rFont val="Calibri"/>
        <family val="2"/>
      </rPr>
      <t> </t>
    </r>
  </si>
  <si>
    <t>Other Community Support Strategy: (please specify)</t>
  </si>
  <si>
    <t>State or Local Emergency Management Board Enhancement</t>
  </si>
  <si>
    <t>Disaster Preparation Planning</t>
  </si>
  <si>
    <t>Emergency Management Policy Changes</t>
  </si>
  <si>
    <r>
      <t>Emergency Management Legislative Changes</t>
    </r>
    <r>
      <rPr>
        <sz val="8"/>
        <color indexed="8"/>
        <rFont val="Calibri"/>
        <family val="2"/>
      </rPr>
      <t> </t>
    </r>
  </si>
  <si>
    <t>Other Emergency Management Strategy: (please specify)</t>
  </si>
  <si>
    <t>Community Support Policy Changes</t>
  </si>
  <si>
    <t xml:space="preserve">Development of Health and Social Service Provider Partnerships </t>
  </si>
  <si>
    <t>Coordinated Community-wide Needs Assessment</t>
  </si>
  <si>
    <r>
      <t>Civic Engagement Legislative Changes</t>
    </r>
    <r>
      <rPr>
        <sz val="8"/>
        <color indexed="8"/>
        <rFont val="Calibri"/>
        <family val="2"/>
      </rPr>
      <t> </t>
    </r>
  </si>
  <si>
    <t>Other Civic Engagement and Community Involvement Strategy: (please specify)</t>
  </si>
  <si>
    <r>
      <t xml:space="preserve">I.)  Identified Community
</t>
    </r>
    <r>
      <rPr>
        <sz val="9"/>
        <color indexed="8"/>
        <rFont val="Calibri"/>
        <family val="2"/>
      </rPr>
      <t>(auto-populated)</t>
    </r>
  </si>
  <si>
    <t>Goal 2: Communities where people with low incomes live are healthy and offer economic opportunity.</t>
  </si>
  <si>
    <t xml:space="preserve">Adoption Child Care Quality Rating </t>
  </si>
  <si>
    <r>
      <t xml:space="preserve">Housing or Land Trust </t>
    </r>
    <r>
      <rPr>
        <sz val="11"/>
        <color theme="1"/>
        <rFont val="Calibri"/>
        <family val="2"/>
        <scheme val="minor"/>
      </rPr>
      <t>Creation</t>
    </r>
  </si>
  <si>
    <r>
      <t xml:space="preserve">Civic Engagement and Community Involvement in Advocacy </t>
    </r>
    <r>
      <rPr>
        <sz val="11"/>
        <color theme="1"/>
        <rFont val="Calibri"/>
        <family val="2"/>
        <scheme val="minor"/>
      </rPr>
      <t>Efforts</t>
    </r>
  </si>
  <si>
    <r>
      <t xml:space="preserve">Empowerment of </t>
    </r>
    <r>
      <rPr>
        <sz val="11"/>
        <color theme="1"/>
        <rFont val="Calibri"/>
        <family val="2"/>
        <scheme val="minor"/>
      </rPr>
      <t xml:space="preserve">Individuals/Families with Low-Incomes </t>
    </r>
  </si>
  <si>
    <t>Use the dropdown menu to select the response where appropriate.</t>
  </si>
  <si>
    <t xml:space="preserve">Develop/Build/Rehab Spaces  </t>
  </si>
  <si>
    <t>After School Enrichment Activities Promotion</t>
  </si>
  <si>
    <r>
      <t>Civic Engagement Policy Changes</t>
    </r>
    <r>
      <rPr>
        <sz val="8"/>
        <color indexed="8"/>
        <rFont val="Calibri"/>
        <family val="2"/>
      </rPr>
      <t> </t>
    </r>
  </si>
  <si>
    <t xml:space="preserve">*When reporting on indicators related to living wage, agencies can provide their own definition or select from national or locally-defined models. Please indicate the living wage definition used in the General Comment box. </t>
  </si>
  <si>
    <t>General comments:</t>
  </si>
  <si>
    <t xml:space="preserve">New Affordable Single Unit Housing Creation </t>
  </si>
  <si>
    <t>New Affordable Multi- Unit Housing Creation (Single Resident Occupancy (SRO), temporary housing, transitional housing)</t>
  </si>
  <si>
    <r>
      <t xml:space="preserve">I.)  Identified Community
</t>
    </r>
    <r>
      <rPr>
        <sz val="10"/>
        <rFont val="Calibri"/>
        <family val="2"/>
      </rPr>
      <t>(auto-populated)</t>
    </r>
  </si>
  <si>
    <r>
      <t xml:space="preserve">I.)  Identified Community
</t>
    </r>
    <r>
      <rPr>
        <sz val="9"/>
        <rFont val="Calibri"/>
        <family val="2"/>
      </rPr>
      <t>(auto-populated)</t>
    </r>
  </si>
  <si>
    <r>
      <rPr>
        <b/>
        <u/>
        <sz val="14"/>
        <rFont val="Cambria"/>
        <family val="1"/>
      </rPr>
      <t>Goal 2</t>
    </r>
    <r>
      <rPr>
        <b/>
        <sz val="14"/>
        <rFont val="Cambria"/>
        <family val="1"/>
      </rPr>
      <t>: Communities where people with low incomes live are healthy and offer economic opportunity.</t>
    </r>
  </si>
  <si>
    <r>
      <rPr>
        <b/>
        <u/>
        <sz val="14"/>
        <rFont val="Cambria"/>
        <family val="1"/>
      </rPr>
      <t>Goal 3</t>
    </r>
    <r>
      <rPr>
        <b/>
        <sz val="14"/>
        <rFont val="Cambria"/>
        <family val="1"/>
      </rPr>
      <t>: People with low-incomes are engaged and active in building opportunities in communities.</t>
    </r>
  </si>
  <si>
    <t>Education and Cognitive Development Legislative Changes</t>
  </si>
  <si>
    <t>Police/Community Relations Campaign</t>
  </si>
  <si>
    <r>
      <t xml:space="preserve">Social Capital Building </t>
    </r>
    <r>
      <rPr>
        <sz val="11"/>
        <color theme="1"/>
        <rFont val="Calibri"/>
        <family val="2"/>
        <scheme val="minor"/>
      </rPr>
      <t>Campaign for Individuals/Families with Low-Incomes</t>
    </r>
  </si>
  <si>
    <t xml:space="preserve">Campaign to Ensure Individuals with Low-Incomes are Represented on Local Governing Bodies </t>
  </si>
  <si>
    <r>
      <t xml:space="preserve">Campaign for Volunteer </t>
    </r>
    <r>
      <rPr>
        <sz val="11"/>
        <color theme="1"/>
        <rFont val="Calibri"/>
        <family val="2"/>
        <scheme val="minor"/>
      </rPr>
      <t xml:space="preserve">Placement and Coordination </t>
    </r>
  </si>
  <si>
    <t>Health Specific Campaign</t>
  </si>
  <si>
    <t>Healthy Food Campaign</t>
  </si>
  <si>
    <t>Grocery Store Development</t>
  </si>
  <si>
    <t>Develop or Maintain a Health Clinic</t>
  </si>
  <si>
    <t>Charter School Development</t>
  </si>
  <si>
    <t>Module 3, Section C: Community Strategies List</t>
  </si>
  <si>
    <t>Module 3 - Community Level</t>
  </si>
  <si>
    <t>Instructional Notes</t>
  </si>
  <si>
    <t>Module 3, Section A: Community Initiative Status Form</t>
  </si>
  <si>
    <r>
      <t xml:space="preserve">III.)  Target 
</t>
    </r>
    <r>
      <rPr>
        <sz val="9"/>
        <color indexed="8"/>
        <rFont val="Calibri"/>
        <family val="2"/>
      </rPr>
      <t>(%)</t>
    </r>
  </si>
  <si>
    <t>Counts of Change for Employment Indicators (CNPI 1)</t>
  </si>
  <si>
    <t>Rates of Change for Employment Indicators (CNPI 1)</t>
  </si>
  <si>
    <t>Counts of Change for Education and Cognitive Development Indicators (CNPI 2)</t>
  </si>
  <si>
    <r>
      <t xml:space="preserve">II.) Baseline </t>
    </r>
    <r>
      <rPr>
        <sz val="9"/>
        <color indexed="8"/>
        <rFont val="Calibri"/>
        <family val="2"/>
      </rPr>
      <t>existing starting point used for comparisons 
(%)</t>
    </r>
  </si>
  <si>
    <r>
      <t xml:space="preserve">V.)  Actual Results
</t>
    </r>
    <r>
      <rPr>
        <sz val="9"/>
        <color indexed="8"/>
        <rFont val="Calibri"/>
        <family val="2"/>
      </rPr>
      <t>(%)</t>
    </r>
  </si>
  <si>
    <r>
      <t xml:space="preserve">Other Counts of Change for Education and Cognitive Development Indicators (CNPI 2z) - </t>
    </r>
    <r>
      <rPr>
        <sz val="11"/>
        <color theme="1"/>
        <rFont val="Calibri"/>
        <family val="2"/>
        <scheme val="minor"/>
      </rPr>
      <t>Please specify below.</t>
    </r>
  </si>
  <si>
    <t>Rates of Change for Education and Cognitive Development Indicators (CNPI 2)</t>
  </si>
  <si>
    <r>
      <rPr>
        <b/>
        <sz val="11"/>
        <color indexed="8"/>
        <rFont val="Calibri"/>
        <family val="2"/>
      </rPr>
      <t>Other Rates of Change for Education and Cognitive Development Indicators (CNPI 2z)</t>
    </r>
    <r>
      <rPr>
        <sz val="9"/>
        <color indexed="8"/>
        <rFont val="Calibri"/>
        <family val="2"/>
      </rPr>
      <t xml:space="preserve">
</t>
    </r>
    <r>
      <rPr>
        <sz val="10"/>
        <color indexed="8"/>
        <rFont val="Calibri"/>
        <family val="2"/>
      </rPr>
      <t>- Please specify below.</t>
    </r>
  </si>
  <si>
    <t>Counts of Change for Infrastructure and Asset Building Indicators (CNPI 3)</t>
  </si>
  <si>
    <r>
      <t xml:space="preserve">CNPI 3a Number of </t>
    </r>
    <r>
      <rPr>
        <b/>
        <u/>
        <sz val="11"/>
        <rFont val="Calibri"/>
        <family val="2"/>
      </rPr>
      <t>new</t>
    </r>
    <r>
      <rPr>
        <sz val="11"/>
        <rFont val="Calibri"/>
        <family val="2"/>
      </rPr>
      <t xml:space="preserve"> accessible assets/resources </t>
    </r>
    <r>
      <rPr>
        <b/>
        <u/>
        <sz val="11"/>
        <rFont val="Calibri"/>
        <family val="2"/>
      </rPr>
      <t>created</t>
    </r>
    <r>
      <rPr>
        <sz val="11"/>
        <rFont val="Calibri"/>
        <family val="2"/>
      </rPr>
      <t xml:space="preserve"> in the identified community:</t>
    </r>
  </si>
  <si>
    <r>
      <t xml:space="preserve">CNPI 3b Number of </t>
    </r>
    <r>
      <rPr>
        <b/>
        <u/>
        <sz val="11"/>
        <rFont val="Calibri"/>
        <family val="2"/>
      </rPr>
      <t>existing</t>
    </r>
    <r>
      <rPr>
        <b/>
        <sz val="11"/>
        <rFont val="Calibri"/>
        <family val="2"/>
      </rPr>
      <t xml:space="preserve"> </t>
    </r>
    <r>
      <rPr>
        <sz val="11"/>
        <rFont val="Calibri"/>
        <family val="2"/>
      </rPr>
      <t xml:space="preserve">assets/resources </t>
    </r>
    <r>
      <rPr>
        <b/>
        <u/>
        <sz val="11"/>
        <rFont val="Calibri"/>
        <family val="2"/>
      </rPr>
      <t>made accessible</t>
    </r>
    <r>
      <rPr>
        <sz val="11"/>
        <rFont val="Calibri"/>
        <family val="2"/>
      </rPr>
      <t xml:space="preserve"> </t>
    </r>
    <r>
      <rPr>
        <sz val="11"/>
        <color theme="1"/>
        <rFont val="Calibri"/>
        <family val="2"/>
        <scheme val="minor"/>
      </rPr>
      <t>to the identified community:</t>
    </r>
  </si>
  <si>
    <r>
      <t xml:space="preserve">Other Counts of Change for Infrastructure and Asset Building Indicators (CNPI 3z) - </t>
    </r>
    <r>
      <rPr>
        <sz val="11"/>
        <color theme="1"/>
        <rFont val="Calibri"/>
        <family val="2"/>
        <scheme val="minor"/>
      </rPr>
      <t>Please specify below.</t>
    </r>
  </si>
  <si>
    <t>Rates of Change for Infrastructure and Asset Building Indicators (CNPI 3)</t>
  </si>
  <si>
    <r>
      <rPr>
        <b/>
        <sz val="11"/>
        <color indexed="8"/>
        <rFont val="Calibri"/>
        <family val="2"/>
      </rPr>
      <t>Other Rates of Change for Infrastructure and Asset Building Indicators (CNPI 3z)</t>
    </r>
    <r>
      <rPr>
        <sz val="9"/>
        <color indexed="8"/>
        <rFont val="Calibri"/>
        <family val="2"/>
      </rPr>
      <t xml:space="preserve">
</t>
    </r>
    <r>
      <rPr>
        <sz val="10"/>
        <color indexed="8"/>
        <rFont val="Calibri"/>
        <family val="2"/>
      </rPr>
      <t>- Please specify below.</t>
    </r>
  </si>
  <si>
    <t>Counts of Change for Housing Indicators (CNPI 4)</t>
  </si>
  <si>
    <r>
      <t xml:space="preserve">Other Counts of Change for Housing Indicators (CNPI 4z) - </t>
    </r>
    <r>
      <rPr>
        <sz val="11"/>
        <color theme="1"/>
        <rFont val="Calibri"/>
        <family val="2"/>
        <scheme val="minor"/>
      </rPr>
      <t>Please specify below.</t>
    </r>
  </si>
  <si>
    <t>Rates of Change for Housing Indicators (CNPI 4)</t>
  </si>
  <si>
    <r>
      <t>Other Rates of Change for Housing Indicators (CNPI 4z)</t>
    </r>
    <r>
      <rPr>
        <sz val="9"/>
        <color indexed="8"/>
        <rFont val="Calibri"/>
        <family val="2"/>
      </rPr>
      <t xml:space="preserve">
- Please specify below.</t>
    </r>
  </si>
  <si>
    <t>Counts of Change for Health and Social/Behavioral Indicators (CNPI 5)</t>
  </si>
  <si>
    <r>
      <t xml:space="preserve">Other Counts of Change for Health and Social/Behavioral Indicators (CNPI 5z) - </t>
    </r>
    <r>
      <rPr>
        <sz val="11"/>
        <color theme="1"/>
        <rFont val="Calibri"/>
        <family val="2"/>
        <scheme val="minor"/>
      </rPr>
      <t>Please specify below.</t>
    </r>
  </si>
  <si>
    <t>Rates of Change for Physical Health, Wellbeing, and Development Indicators (CNPI 5)</t>
  </si>
  <si>
    <t>Rates of Change for Behavioral and Mental health, Emotional Wellbeing, and Development Indicators (CNPI 5)</t>
  </si>
  <si>
    <t>Rates of Change for Public Safety Indicators (CNPI 5)</t>
  </si>
  <si>
    <r>
      <rPr>
        <b/>
        <sz val="11"/>
        <color indexed="8"/>
        <rFont val="Calibri"/>
        <family val="2"/>
      </rPr>
      <t>Other Rates of Change for Health and Social/Behavioral Indicators (CNPI 5z)</t>
    </r>
    <r>
      <rPr>
        <sz val="9"/>
        <color indexed="8"/>
        <rFont val="Calibri"/>
        <family val="2"/>
      </rPr>
      <t xml:space="preserve">
</t>
    </r>
    <r>
      <rPr>
        <sz val="10"/>
        <color indexed="8"/>
        <rFont val="Calibri"/>
        <family val="2"/>
      </rPr>
      <t>- Please specify below.</t>
    </r>
  </si>
  <si>
    <t>Rates of Change for Civic Engagement and Community Involvement Indicators - Goal 2 (CNPI 6)</t>
  </si>
  <si>
    <t>Rates of Change for Civic Engagement and Community Involvement Indicators - Goal 3 (CNPI 6)</t>
  </si>
  <si>
    <r>
      <t>Other Rates of Change for Civic Engagement and Community Involvement Indicators - Goal 3 (CNPI 6 G3z)</t>
    </r>
    <r>
      <rPr>
        <sz val="11"/>
        <color theme="1"/>
        <rFont val="Calibri"/>
        <family val="2"/>
        <scheme val="minor"/>
      </rPr>
      <t xml:space="preserve">
</t>
    </r>
    <r>
      <rPr>
        <sz val="10"/>
        <color indexed="8"/>
        <rFont val="Calibri"/>
        <family val="2"/>
      </rPr>
      <t>- Please specify below.</t>
    </r>
  </si>
  <si>
    <r>
      <rPr>
        <b/>
        <sz val="11"/>
        <color indexed="8"/>
        <rFont val="Calibri"/>
        <family val="2"/>
      </rPr>
      <t>Other Rates of Change for Civic Engagement and Community Involvement Indicators - Goal 2 (CNPI 6 G2z)</t>
    </r>
    <r>
      <rPr>
        <sz val="9"/>
        <color indexed="8"/>
        <rFont val="Calibri"/>
        <family val="2"/>
      </rPr>
      <t xml:space="preserve">
</t>
    </r>
    <r>
      <rPr>
        <sz val="10"/>
        <color indexed="8"/>
        <rFont val="Calibri"/>
        <family val="2"/>
      </rPr>
      <t>- Please specify below.</t>
    </r>
  </si>
  <si>
    <t>STR 1b</t>
  </si>
  <si>
    <t>STR 1a</t>
  </si>
  <si>
    <t>STR 1c</t>
  </si>
  <si>
    <t>STR 1d</t>
  </si>
  <si>
    <t>STR 1e</t>
  </si>
  <si>
    <t>STR 1f</t>
  </si>
  <si>
    <t>STR 1g</t>
  </si>
  <si>
    <t>STR 1h</t>
  </si>
  <si>
    <t>STR 1i</t>
  </si>
  <si>
    <t>Employment Strategies (STR 1)</t>
  </si>
  <si>
    <t>Education and Cognitive Development Strategies (STR 2)</t>
  </si>
  <si>
    <t>STR 2a</t>
  </si>
  <si>
    <t>STR 2b</t>
  </si>
  <si>
    <t>STR 2c</t>
  </si>
  <si>
    <t>STR 2e</t>
  </si>
  <si>
    <t>STR 2d</t>
  </si>
  <si>
    <t>STR 2f</t>
  </si>
  <si>
    <t>STR 2g</t>
  </si>
  <si>
    <t>STR 2h</t>
  </si>
  <si>
    <t>STR 2i</t>
  </si>
  <si>
    <t>STR 2j</t>
  </si>
  <si>
    <t>STR 2k</t>
  </si>
  <si>
    <t>STR 2l</t>
  </si>
  <si>
    <t>Infrastructure and Asset Building Strategies (STR 3)</t>
  </si>
  <si>
    <t>STR 3a</t>
  </si>
  <si>
    <t>STR 3b</t>
  </si>
  <si>
    <t>STR 3c</t>
  </si>
  <si>
    <t>STR 3d</t>
  </si>
  <si>
    <t>STR 3e</t>
  </si>
  <si>
    <t>STR 3f</t>
  </si>
  <si>
    <t>STR 3g</t>
  </si>
  <si>
    <t>STR 3h</t>
  </si>
  <si>
    <t>STR 3i</t>
  </si>
  <si>
    <t>STR 3j</t>
  </si>
  <si>
    <t>STR 3k</t>
  </si>
  <si>
    <t>STR 3l</t>
  </si>
  <si>
    <t>STR 3m</t>
  </si>
  <si>
    <t>STR 3n</t>
  </si>
  <si>
    <t>STR 3o</t>
  </si>
  <si>
    <t>STR 3p</t>
  </si>
  <si>
    <t>STR 3q</t>
  </si>
  <si>
    <t>STR 3r</t>
  </si>
  <si>
    <t>STR 3s</t>
  </si>
  <si>
    <t>Housing Strategies (STR 4)</t>
  </si>
  <si>
    <t>STR 4a</t>
  </si>
  <si>
    <t>STR 4b</t>
  </si>
  <si>
    <t>STR 4c</t>
  </si>
  <si>
    <t>STR 4d</t>
  </si>
  <si>
    <t>STR 4e</t>
  </si>
  <si>
    <t>STR 4f</t>
  </si>
  <si>
    <t>STR 4g</t>
  </si>
  <si>
    <t>STR 4h</t>
  </si>
  <si>
    <t>STR 4i</t>
  </si>
  <si>
    <t>STR 4j</t>
  </si>
  <si>
    <t>Health and Social/Behavioral Development Strategies (STR 5)</t>
  </si>
  <si>
    <t>STR 5a</t>
  </si>
  <si>
    <t>STR 5b</t>
  </si>
  <si>
    <t>STR 5c</t>
  </si>
  <si>
    <t>STR 5d</t>
  </si>
  <si>
    <t>STR 5e</t>
  </si>
  <si>
    <t>STR 5f</t>
  </si>
  <si>
    <t>STR 5g</t>
  </si>
  <si>
    <t>STR 5h</t>
  </si>
  <si>
    <t>STR 5i</t>
  </si>
  <si>
    <t>STR 5j</t>
  </si>
  <si>
    <t>STR 5k</t>
  </si>
  <si>
    <t>STR 5l</t>
  </si>
  <si>
    <t>STR 5m</t>
  </si>
  <si>
    <t>STR 5n</t>
  </si>
  <si>
    <t>STR 6 G2a</t>
  </si>
  <si>
    <t>STR 6 G2b</t>
  </si>
  <si>
    <t>STR 6 G2c</t>
  </si>
  <si>
    <t>STR 6 G2d</t>
  </si>
  <si>
    <t>STR 6 G2e</t>
  </si>
  <si>
    <t>STR 6 G2f</t>
  </si>
  <si>
    <t>Civic Engagement and Community Involvement Strategies - Goal 2 (STR 6 G2)</t>
  </si>
  <si>
    <t>STR 6 G2g</t>
  </si>
  <si>
    <t>STR 6 G2h</t>
  </si>
  <si>
    <t>STR 6 G2i</t>
  </si>
  <si>
    <t>Civic Engagement and Community Involvement Strategies - Goal 3 (STR 6 G3)</t>
  </si>
  <si>
    <t>STR 6 G3a</t>
  </si>
  <si>
    <t>STR 6 G3b</t>
  </si>
  <si>
    <t>STR 6 G3c</t>
  </si>
  <si>
    <t>STR 6 G3d</t>
  </si>
  <si>
    <t>STR 6 G3e</t>
  </si>
  <si>
    <t>STR 6 G3f</t>
  </si>
  <si>
    <t>STR 6 G3g</t>
  </si>
  <si>
    <t>Community Support Strategies (STR 7)</t>
  </si>
  <si>
    <t>STR 7a</t>
  </si>
  <si>
    <t>STR 7b</t>
  </si>
  <si>
    <t>STR 7c</t>
  </si>
  <si>
    <t>STR 7d</t>
  </si>
  <si>
    <t>STR 7e</t>
  </si>
  <si>
    <t>STR 7f</t>
  </si>
  <si>
    <t>Emergency Management Strategies (STR 8)</t>
  </si>
  <si>
    <t>STR 8a</t>
  </si>
  <si>
    <t>STR 8b</t>
  </si>
  <si>
    <t>STR 8c</t>
  </si>
  <si>
    <t>STR 8d</t>
  </si>
  <si>
    <t>STR 8e</t>
  </si>
  <si>
    <t>STR 8f</t>
  </si>
  <si>
    <t>1. Initiative Name</t>
  </si>
  <si>
    <r>
      <t>2. Initiative Year</t>
    </r>
    <r>
      <rPr>
        <i/>
        <sz val="12"/>
        <color indexed="8"/>
        <rFont val="Calibri"/>
        <family val="2"/>
      </rPr>
      <t xml:space="preserve">
</t>
    </r>
  </si>
  <si>
    <r>
      <t>4. Goal/Agenda</t>
    </r>
    <r>
      <rPr>
        <i/>
        <sz val="12"/>
        <color indexed="8"/>
        <rFont val="Calibri"/>
        <family val="2"/>
      </rPr>
      <t xml:space="preserve"> </t>
    </r>
  </si>
  <si>
    <t xml:space="preserve">3. Problem Identification
</t>
  </si>
  <si>
    <t xml:space="preserve">5. Issue/CSBG Community Domains 
</t>
  </si>
  <si>
    <t xml:space="preserve">6. Ultimate Expected Outcome </t>
  </si>
  <si>
    <t xml:space="preserve">7. Identified Community
</t>
  </si>
  <si>
    <t xml:space="preserve">8. Expected Duration
</t>
  </si>
  <si>
    <t xml:space="preserve">9. Partnership Type
</t>
  </si>
  <si>
    <r>
      <t>10. Partners</t>
    </r>
    <r>
      <rPr>
        <i/>
        <sz val="12"/>
        <color indexed="8"/>
        <rFont val="Calibri"/>
        <family val="2"/>
      </rPr>
      <t xml:space="preserve">
</t>
    </r>
  </si>
  <si>
    <r>
      <t>11. Strategy(ies)</t>
    </r>
    <r>
      <rPr>
        <i/>
        <sz val="11"/>
        <color indexed="8"/>
        <rFont val="Calibri"/>
        <family val="2"/>
      </rPr>
      <t/>
    </r>
  </si>
  <si>
    <t>12. Progress on Outcomes/Indicators</t>
  </si>
  <si>
    <t>13. Impact of Outcomes</t>
  </si>
  <si>
    <t>14. Outcomes/Indicators to Report</t>
  </si>
  <si>
    <t xml:space="preserve">15. Final Status
</t>
  </si>
  <si>
    <t xml:space="preserve">16. Lessons Learned
</t>
  </si>
  <si>
    <t>Memo_Err_Title</t>
  </si>
  <si>
    <t>Memo_Err_Message</t>
  </si>
  <si>
    <t>Exceeds Maximum Length</t>
  </si>
  <si>
    <t>Question/Reference</t>
  </si>
  <si>
    <t>Smartform Range Name</t>
  </si>
  <si>
    <t>Address</t>
  </si>
  <si>
    <t>Value</t>
  </si>
  <si>
    <t>Type</t>
  </si>
  <si>
    <t>XML Export Name for DB</t>
  </si>
  <si>
    <t>State Name</t>
  </si>
  <si>
    <t>Text</t>
  </si>
  <si>
    <t>Agency Name</t>
  </si>
  <si>
    <t>True/False</t>
  </si>
  <si>
    <t>Independent CAA Initiative</t>
  </si>
  <si>
    <t>CAA is the core organizer of multi-partner Initiative</t>
  </si>
  <si>
    <t>CAA is one of multiple active investors and partners</t>
  </si>
  <si>
    <t>Partnership_Type</t>
  </si>
  <si>
    <t>Expected_Duration</t>
  </si>
  <si>
    <t>Project_Year</t>
  </si>
  <si>
    <t>EditText_WsName</t>
  </si>
  <si>
    <t>EditText_FieldName</t>
  </si>
  <si>
    <t>EditText_Status</t>
  </si>
  <si>
    <t>Status Form</t>
  </si>
  <si>
    <t>EditText_MaxLength</t>
  </si>
  <si>
    <t>Max Length</t>
  </si>
  <si>
    <t xml:space="preserve">2. Initiative Year
</t>
  </si>
  <si>
    <t xml:space="preserve">4. Goal/Agenda </t>
  </si>
  <si>
    <t xml:space="preserve">10. Partners
</t>
  </si>
  <si>
    <t>11. Strategy(ies)</t>
  </si>
  <si>
    <t>7. Identified Community - Other</t>
  </si>
  <si>
    <t>M3StateName</t>
  </si>
  <si>
    <t>M3AgencyName</t>
  </si>
  <si>
    <t>M3A4Goal</t>
  </si>
  <si>
    <t>M3A16Lessons</t>
  </si>
  <si>
    <t>M3A10Partners</t>
  </si>
  <si>
    <t>M3A13Impact</t>
  </si>
  <si>
    <t>No Outcomes to Report</t>
  </si>
  <si>
    <t xml:space="preserve">Final Outcomes </t>
  </si>
  <si>
    <t>Interim Outcomes</t>
  </si>
  <si>
    <t>Progress</t>
  </si>
  <si>
    <t>Initiative Active</t>
  </si>
  <si>
    <t>Completed Still Delivering Value</t>
  </si>
  <si>
    <t>Initiative Ended Early</t>
  </si>
  <si>
    <t>Initiative Ended as Planned</t>
  </si>
  <si>
    <t>Community</t>
  </si>
  <si>
    <t>7. Other</t>
  </si>
  <si>
    <t>Memo</t>
  </si>
  <si>
    <t>M3A12Progress</t>
  </si>
  <si>
    <t>M3A7Community</t>
  </si>
  <si>
    <t>0 years</t>
  </si>
  <si>
    <t>1 year</t>
  </si>
  <si>
    <t>2 years</t>
  </si>
  <si>
    <t>3 years</t>
  </si>
  <si>
    <t>4 years</t>
  </si>
  <si>
    <t>5 years</t>
  </si>
  <si>
    <t>6 years</t>
  </si>
  <si>
    <t>7 years</t>
  </si>
  <si>
    <t>7+ years</t>
  </si>
  <si>
    <t>M3A15Status</t>
  </si>
  <si>
    <t>Education and Cognitive Development</t>
  </si>
  <si>
    <t>Health and Social/Behavioral Development</t>
  </si>
  <si>
    <t>Civic Engagement and Community Involvement</t>
  </si>
  <si>
    <t>Income</t>
  </si>
  <si>
    <t>cbA5_Civic</t>
  </si>
  <si>
    <t>cbA5_Education</t>
  </si>
  <si>
    <t>cbA5_Employment</t>
  </si>
  <si>
    <t>cbA5_Health</t>
  </si>
  <si>
    <t>cbA5_Housing</t>
  </si>
  <si>
    <t>cbA5_Inf</t>
  </si>
  <si>
    <t>M3_A6_Outcomes</t>
  </si>
  <si>
    <t>M3A7CommunityOther</t>
  </si>
  <si>
    <t>NPIs</t>
  </si>
  <si>
    <t>M3_A6_EMP</t>
  </si>
  <si>
    <t>M3_A6_EMP_1</t>
  </si>
  <si>
    <t>M3_A6_EMP_2</t>
  </si>
  <si>
    <t>M3_A6_EMP_3</t>
  </si>
  <si>
    <t>M3_A6_EMP_4</t>
  </si>
  <si>
    <t>M3_A6_EMP_5</t>
  </si>
  <si>
    <t>M3_A6_EMP_6</t>
  </si>
  <si>
    <t>M3_A6_EDU</t>
  </si>
  <si>
    <t>M3_A6_EDU_1</t>
  </si>
  <si>
    <t>M3_A6_EDU_2</t>
  </si>
  <si>
    <t>M3_A6_EDU_3</t>
  </si>
  <si>
    <t>M3_A6_EDU_4</t>
  </si>
  <si>
    <t>M3_A6_EDU_5</t>
  </si>
  <si>
    <t>M3_A6_EDU_6</t>
  </si>
  <si>
    <t>M3_A6_EDU_7</t>
  </si>
  <si>
    <t>M3_A6_EDU_8</t>
  </si>
  <si>
    <t>M3_A6_EDU_9</t>
  </si>
  <si>
    <t>M3_A6_EDU_10</t>
  </si>
  <si>
    <t>M3_A6_EDU_11</t>
  </si>
  <si>
    <t>M3_A6_INF</t>
  </si>
  <si>
    <t>M3_A6_INF_1</t>
  </si>
  <si>
    <t>M3_A6_INF_2</t>
  </si>
  <si>
    <t>M3_A6_INF_3</t>
  </si>
  <si>
    <t>M3_A6_INF_4</t>
  </si>
  <si>
    <t>M3_A6_HOU</t>
  </si>
  <si>
    <t>M3_A6_HOU_1</t>
  </si>
  <si>
    <t>M3_A6_HOU_2</t>
  </si>
  <si>
    <t>M3_A6_HOU_3</t>
  </si>
  <si>
    <t>M3_A6_HOU_4</t>
  </si>
  <si>
    <t>M3_A6_HOU_5</t>
  </si>
  <si>
    <t>M3_A6_HOU_6</t>
  </si>
  <si>
    <t>M3_A6_HOU_7</t>
  </si>
  <si>
    <t>M3_A6_HOU_8</t>
  </si>
  <si>
    <t>M3_A6_HOU_9</t>
  </si>
  <si>
    <t>M3_A6_HLTH</t>
  </si>
  <si>
    <t>M3_A6_HLTH_1</t>
  </si>
  <si>
    <t>M3_A6_HLTH_2</t>
  </si>
  <si>
    <t>M3_A6_HLTH_3</t>
  </si>
  <si>
    <t>M3_A6_HLTH_4</t>
  </si>
  <si>
    <t>M3_A6_HLTH_5</t>
  </si>
  <si>
    <t>M3_A6_HLTH_6</t>
  </si>
  <si>
    <t>STRs</t>
  </si>
  <si>
    <t>M3_A11_Strategy</t>
  </si>
  <si>
    <t>DropDown</t>
  </si>
  <si>
    <t>M3_A11_EMP_9_Other</t>
  </si>
  <si>
    <t>M3_A11_EMP_9</t>
  </si>
  <si>
    <t>M3_A11_EMP_8</t>
  </si>
  <si>
    <t>M3_A11_EMP_7</t>
  </si>
  <si>
    <t>M3_A11_EMP</t>
  </si>
  <si>
    <t>M3_A11_EMP_1</t>
  </si>
  <si>
    <t>M3_A11_EMP_2</t>
  </si>
  <si>
    <t>M3_A11_EMP_3</t>
  </si>
  <si>
    <t>M3_A11_EMP_4</t>
  </si>
  <si>
    <t>M3_A11_EMP_5</t>
  </si>
  <si>
    <t>M3_A11_EMP_6</t>
  </si>
  <si>
    <t>M3_A11_EDU</t>
  </si>
  <si>
    <t>M3_A11_EDU_1</t>
  </si>
  <si>
    <t>M3_A11_EDU_2</t>
  </si>
  <si>
    <t>M3_A11_EDU_3</t>
  </si>
  <si>
    <t>M3_A11_EDU_4</t>
  </si>
  <si>
    <t>M3_A11_EDU_5</t>
  </si>
  <si>
    <t>M3_A11_EDU_6</t>
  </si>
  <si>
    <t>M3_A11_EDU_7</t>
  </si>
  <si>
    <t>M3_A11_EDU_8</t>
  </si>
  <si>
    <t>M3_A11_EDU_9</t>
  </si>
  <si>
    <t>M3_A11_EDU_10</t>
  </si>
  <si>
    <t>M3_A11_EDU_11</t>
  </si>
  <si>
    <t>M3_A11_EDU_12</t>
  </si>
  <si>
    <t>M3_A11_EDU_12_Other</t>
  </si>
  <si>
    <t>M3_A11_INF_3</t>
  </si>
  <si>
    <t>M3_A11_HOU_4</t>
  </si>
  <si>
    <t>M3_A11_HLTH_5</t>
  </si>
  <si>
    <t>M3_A11_INF</t>
  </si>
  <si>
    <t>M3_A11_HOU</t>
  </si>
  <si>
    <t>M3_A11_HLTH</t>
  </si>
  <si>
    <t>M3_A11_COM</t>
  </si>
  <si>
    <t>M3_A11_EM</t>
  </si>
  <si>
    <t>M3_A11_INF_1</t>
  </si>
  <si>
    <t>M3_A11_HOU_1</t>
  </si>
  <si>
    <t>M3_A11_HLTH_1</t>
  </si>
  <si>
    <t>M3_A11_COM_1</t>
  </si>
  <si>
    <t>M3_A11_EM_1</t>
  </si>
  <si>
    <t>M3_A11_INF_2</t>
  </si>
  <si>
    <t>M3_A11_HOU_2</t>
  </si>
  <si>
    <t>M3_A11_HLTH_2</t>
  </si>
  <si>
    <t>M3_A11_COM_2</t>
  </si>
  <si>
    <t>M3_A11_EM_2</t>
  </si>
  <si>
    <t>M3_A11_HOU_3</t>
  </si>
  <si>
    <t>M3_A11_HLTH_3</t>
  </si>
  <si>
    <t>M3_A11_COM_3</t>
  </si>
  <si>
    <t>M3_A11_EM_3</t>
  </si>
  <si>
    <t>M3_A11_INF_4</t>
  </si>
  <si>
    <t>M3_A11_HLTH_4</t>
  </si>
  <si>
    <t>M3_A11_COM_4</t>
  </si>
  <si>
    <t>M3_A11_EM_4</t>
  </si>
  <si>
    <t>M3_A11_INF_5</t>
  </si>
  <si>
    <t>M3_A11_HOU_5</t>
  </si>
  <si>
    <t>M3_A11_COM_5</t>
  </si>
  <si>
    <t>M3_A11_EM_5</t>
  </si>
  <si>
    <t>M3_A11_INF_6</t>
  </si>
  <si>
    <t>M3_A11_HOU_6</t>
  </si>
  <si>
    <t>M3_A11_HLTH_6</t>
  </si>
  <si>
    <t>M3_A11_COM_6</t>
  </si>
  <si>
    <t>M3_A11_COM_6_Other</t>
  </si>
  <si>
    <t>M3_A11_EM_6</t>
  </si>
  <si>
    <t>M3_A11_EM_6_Other</t>
  </si>
  <si>
    <t>M3_A11_INF_7</t>
  </si>
  <si>
    <t>M3_A11_HOU_7</t>
  </si>
  <si>
    <t>M3_A11_HLTH_7</t>
  </si>
  <si>
    <t>M3_A11_INF_8</t>
  </si>
  <si>
    <t>M3_A11_HOU_8</t>
  </si>
  <si>
    <t>M3_A11_HLTH_8</t>
  </si>
  <si>
    <t>M3_A11_INF_9</t>
  </si>
  <si>
    <t>M3_A11_HOU_9</t>
  </si>
  <si>
    <t>M3_A11_HLTH_9</t>
  </si>
  <si>
    <t>M3_A11_INF_10</t>
  </si>
  <si>
    <t>M3_A11_HOU_10</t>
  </si>
  <si>
    <t>M3_A11_HOU_10_Other</t>
  </si>
  <si>
    <t>M3_A11_HLTH_10</t>
  </si>
  <si>
    <t>M3_A11_INF_11</t>
  </si>
  <si>
    <t>M3_A11_HLTH_11</t>
  </si>
  <si>
    <t>M3_A11_INF_12</t>
  </si>
  <si>
    <t>M3_A11_HLTH_12</t>
  </si>
  <si>
    <t>M3_A11_INF_13</t>
  </si>
  <si>
    <t>M3_A11_HLTH_13</t>
  </si>
  <si>
    <t>M3_A11_INF_14</t>
  </si>
  <si>
    <t>M3_A11_HLTH_14</t>
  </si>
  <si>
    <t>M3_A11_HLTH_14_Other</t>
  </si>
  <si>
    <t>M3_A11_INF_15</t>
  </si>
  <si>
    <t>M3_A11_INF_16</t>
  </si>
  <si>
    <t>M3_A11_INF_17</t>
  </si>
  <si>
    <t>M3_A11_INF_18</t>
  </si>
  <si>
    <t>M3_A11_INF_19</t>
  </si>
  <si>
    <t>M3_A11_INF_19_Other</t>
  </si>
  <si>
    <t>M3_A11_INC</t>
  </si>
  <si>
    <t>Field is set by code</t>
  </si>
  <si>
    <t>Field can be changed by NASCSP</t>
  </si>
  <si>
    <t>Date</t>
  </si>
  <si>
    <t>orgAbbrev</t>
  </si>
  <si>
    <t>programAcronym</t>
  </si>
  <si>
    <t>reportPeriodStartDate</t>
  </si>
  <si>
    <t>reportPeriodEndDate</t>
  </si>
  <si>
    <t>grantNumber</t>
  </si>
  <si>
    <t>subGrantee</t>
  </si>
  <si>
    <t>(Format:YYYY-MM-DD)</t>
  </si>
  <si>
    <t>8. Expected Duration</t>
  </si>
  <si>
    <t>M3A8Duration</t>
  </si>
  <si>
    <t>Number</t>
  </si>
  <si>
    <t xml:space="preserve">CNPI 1a Number of jobs created to increase opportunities for people with low incomes in the identified community. </t>
  </si>
  <si>
    <t xml:space="preserve">CNPI 1b Number of job opportunities maintained in the identified community.            </t>
  </si>
  <si>
    <t xml:space="preserve">CNPI 1e Number of jobs created in the identified community with a benefit package. </t>
  </si>
  <si>
    <t>CNPI 1z Other Counts of Change for Employment Indicators.</t>
  </si>
  <si>
    <t>CNPI 1f Percent decrease of the unemployment rate.</t>
  </si>
  <si>
    <t>CNPI 1g Percent decrease of the youth unemployment rate.</t>
  </si>
  <si>
    <t>CNPI 1h Percent decrease of the underemployment rate.</t>
  </si>
  <si>
    <t>CNPI 1z Other Rates of Change for Employment Indicators.</t>
  </si>
  <si>
    <t>M3_A6_EMP_7</t>
  </si>
  <si>
    <t>M3_A6_EMP_8</t>
  </si>
  <si>
    <t>M3_A6_EMP_9</t>
  </si>
  <si>
    <t>M3_A6_EMP_10</t>
  </si>
  <si>
    <t xml:space="preserve">CNPI 2a Number of accessible and affordable early childhood or pre-school education assets or resources added to the identified community. </t>
  </si>
  <si>
    <t xml:space="preserve">CNPI 2b Number of accredited or licensed affordable child care facilities added in the identified community. </t>
  </si>
  <si>
    <t xml:space="preserve">CNPI 2c Number of new Early Childhood Screenings offered to children (ages 0-5) of families with low-incomes in the identified community. </t>
  </si>
  <si>
    <t>CNPI 2d Number of accessible and affordable education assets or resources added for school age children in the identified community.  (e.g., academic, enrichment activities, before/after school care, summer programs)</t>
  </si>
  <si>
    <t xml:space="preserve">CNPI 2e Number of accessible and affordable post secondary education assets or resources added for newly graduating youth in the identified community.  (e.g. college tuition, scholarships, vocational training, etc.) </t>
  </si>
  <si>
    <t xml:space="preserve">CNPI 2f Number of accessible and affordable basic or secondary education assets or resources added for adults in the identified community.  (e.g. literacy, ESL, ABE/GED, etc.) </t>
  </si>
  <si>
    <t xml:space="preserve">CNPI 2g Percent increase of children in the identified community who are kindergarten ready. </t>
  </si>
  <si>
    <t>CNPI 2h Percent increase of children in the identified community at (or above) the basic reading level.</t>
  </si>
  <si>
    <t>CNPI 2i Percent increase of children in the identified community at (or above) the basic math level.</t>
  </si>
  <si>
    <t xml:space="preserve">CNPI 2l Percent increase of the rate of youth in the identified community who graduate from post-secondary education. </t>
  </si>
  <si>
    <t xml:space="preserve">CNPI 2m Percent increase of adults in the identified community who attend post-secondary education. </t>
  </si>
  <si>
    <t>CNPI 2z Other Counts of Change for Education and Cognitive Development Indicators.</t>
  </si>
  <si>
    <t>M3_A6_EDU_12</t>
  </si>
  <si>
    <t>M3_A6_EDU_13</t>
  </si>
  <si>
    <t>M3_A6_EDU_14</t>
  </si>
  <si>
    <t>M3_A6_EDU_15</t>
  </si>
  <si>
    <t>M3_A6_EDU_16</t>
  </si>
  <si>
    <t>M3_A6_EDU_17</t>
  </si>
  <si>
    <t>CNPI 2z Other Rates of Change for Education and Cognitive Development Indicators.</t>
  </si>
  <si>
    <t>CNPI 3c Percent decrease of abandoned or neglected buildings in the identified community.</t>
  </si>
  <si>
    <t>CNPI 3d Percent decrease in emergency response time measured in minutes in the identified community. (EMT, Police, Fire, etc.).</t>
  </si>
  <si>
    <t>CNPI 3e Percent decrease of predatory lenders and/or lending practices in the identified community.</t>
  </si>
  <si>
    <t>CNPI 3f Percent decrease of environmental threats to households (toxic soil, radon, lead, air quality, quality of drinking water, etc.) in the identified community.</t>
  </si>
  <si>
    <t>CNPI 3g Percent increase of transportation services in the identified community.</t>
  </si>
  <si>
    <t>CNPI 3z Other Rates of Change for Infrastructure and Asset Building Indicators.</t>
  </si>
  <si>
    <t>CNPI 3z Other Counts of Change for Infrastructure and Asset Building Indicators.</t>
  </si>
  <si>
    <t>CNPI 3a.1 Commercial</t>
  </si>
  <si>
    <t>CNPI 3a.2 Financial</t>
  </si>
  <si>
    <t>CNPI 3a.3 Technological/ Communications (e.g. broadband)</t>
  </si>
  <si>
    <t>CNPI 3a.4 Transportation</t>
  </si>
  <si>
    <t>CNPI 3a.5 Recreational (e.g. parks, gardens, libraries)</t>
  </si>
  <si>
    <t>CNPI 3a.6 Other Public Assets/Physical Improvements</t>
  </si>
  <si>
    <t>CNPI 3b.1 Commercial</t>
  </si>
  <si>
    <t>CNPI 3b.2 Financial</t>
  </si>
  <si>
    <t>CNPI 3b.3 Technological/ Communications (e.g. broadband)</t>
  </si>
  <si>
    <t>CNPI 3b.4 Transportation</t>
  </si>
  <si>
    <t>CNPI 3b.5 Recreational (e.g. parks, gardens, libraries)</t>
  </si>
  <si>
    <t>CNPI 3b.6 Other Public Assets/Physical Improvements</t>
  </si>
  <si>
    <t>M3_A6_INF_5</t>
  </si>
  <si>
    <t>M3_A6_INF_6</t>
  </si>
  <si>
    <t>M3_A6_INF_7</t>
  </si>
  <si>
    <t>M3_A6_INF_8</t>
  </si>
  <si>
    <t>M3_A6_INF_9</t>
  </si>
  <si>
    <t>M3_A6_INF_10</t>
  </si>
  <si>
    <t>M3_A6_INF_11</t>
  </si>
  <si>
    <t>M3_A6_INF_12</t>
  </si>
  <si>
    <t>M3_A6_INF_13</t>
  </si>
  <si>
    <t>M3_A6_INF_14</t>
  </si>
  <si>
    <t>M3_A6_INF_15</t>
  </si>
  <si>
    <t>M3_A6_INF_16</t>
  </si>
  <si>
    <t>M3_A6_INF_17</t>
  </si>
  <si>
    <t>M3_A6_INF_18</t>
  </si>
  <si>
    <t>M3_A6_INF_19</t>
  </si>
  <si>
    <t>M3_A6_HOU_10</t>
  </si>
  <si>
    <t>M3_A6_HOU_11</t>
  </si>
  <si>
    <t>CNPI 4a Number of safe and affordable housing units developed in the identified community (e.g. built or set aside units for people with low incomes).</t>
  </si>
  <si>
    <t xml:space="preserve">CNPI 4c Number of shelter beds created in the identified community. </t>
  </si>
  <si>
    <t xml:space="preserve">CNPI 4d Number of shelter beds maintained in the identified community. </t>
  </si>
  <si>
    <t>CNPI 4z Other Counts of Change for Housing Indicators.</t>
  </si>
  <si>
    <t xml:space="preserve">CNPI 4e Percent decrease in the rate of homelessness in the identified community. </t>
  </si>
  <si>
    <t>CNPI 4f Percent decrease in the foreclosure rate in the identified community.</t>
  </si>
  <si>
    <t>CNPI 4g Percent increase in the rate of home ownership of people with low incomes in the identified community.</t>
  </si>
  <si>
    <t>CNPI 4h Percent increase of affordable housing in the identified community.</t>
  </si>
  <si>
    <t>CNPI 4i Percent increase of shelter beds in the identified community.</t>
  </si>
  <si>
    <t>CNPI 4z Other Rates of Change for Housing Indicators.</t>
  </si>
  <si>
    <t>M3_A6_HLTH_8</t>
  </si>
  <si>
    <t>M3_A6_HLTH_9</t>
  </si>
  <si>
    <t>M3_A6_HLTH_10</t>
  </si>
  <si>
    <t>M3_A6_HLTH_11</t>
  </si>
  <si>
    <t>M3_A6_HLTH_12</t>
  </si>
  <si>
    <t>M3_A6_HLTH_13</t>
  </si>
  <si>
    <t>M3_A6_HLTH_14</t>
  </si>
  <si>
    <t>M3_A6_HLTH_15</t>
  </si>
  <si>
    <t>M3_A6_HLTH_16</t>
  </si>
  <si>
    <t>M3_A6_HLTH_17</t>
  </si>
  <si>
    <t>M3_A6_HLTH_18</t>
  </si>
  <si>
    <t>M3_A6_HLTH_19</t>
  </si>
  <si>
    <t>M3_A6_HLTH_7</t>
  </si>
  <si>
    <t>M3_A6_HLTH_20</t>
  </si>
  <si>
    <t>M3_A6_HLTH_22</t>
  </si>
  <si>
    <t>M3_A6_HLTH_23</t>
  </si>
  <si>
    <t>M3_A6_HLTH_24</t>
  </si>
  <si>
    <t>CNPI 5z Other Counts of Change for Health and Social/Behavioral Indicators.</t>
  </si>
  <si>
    <t>CNPI 5z Other Rates of Change for Health and Social/Behavioral Indicators.</t>
  </si>
  <si>
    <t xml:space="preserve">CNPI 5a Number of accessible and affordable physical health assets or resources created in the identified community. </t>
  </si>
  <si>
    <t xml:space="preserve">CNPI 5b Number of accessible and affordable behavioral and mental health assets or resources created in the identified community.     </t>
  </si>
  <si>
    <t xml:space="preserve">CNPI 5c Number of public safety assets and resources created in the identified community.     </t>
  </si>
  <si>
    <t>CNPI 5d Number of accessible and affordable healthy food resources created in the identified community.</t>
  </si>
  <si>
    <t>CNPI 5e Number of activities designed to improve police and community relations within the identified community.</t>
  </si>
  <si>
    <t>CNPI 5f Percent decrease in infant mortality rate in the identified community.</t>
  </si>
  <si>
    <t xml:space="preserve">CNPI 5g Percent decrease in childhood obesity rate in the identified community. </t>
  </si>
  <si>
    <t>CNPI 5h Percent decrease in adult obesity rate in the identified community.</t>
  </si>
  <si>
    <t xml:space="preserve">CNPI 5i Percent increase in child immunization rate in the identified community. </t>
  </si>
  <si>
    <t xml:space="preserve">CNPI 5j Percent decrease in uninsured families in the identified community. </t>
  </si>
  <si>
    <t>CNPI 5k Percent decrease in the teen pregnancy rate in the identified community.</t>
  </si>
  <si>
    <t>CNPI 5l Percent decrease in unplanned pregnancies in the identified community.</t>
  </si>
  <si>
    <t>CNPI 5n Percent decrease in domestic violence rate in the identified community.</t>
  </si>
  <si>
    <t>CNPI 5o Percent decrease in the child abuse rate in the identified community.</t>
  </si>
  <si>
    <t>CNPI 5p Percent decrease in the child neglect rate in the identified community.</t>
  </si>
  <si>
    <t xml:space="preserve">CNPI 5q Percent decrease in the elder abuse rate in the identified community. </t>
  </si>
  <si>
    <t xml:space="preserve">CNPI 5r Percent decrease in the elder neglect rate in the identified community. </t>
  </si>
  <si>
    <t>CNPI 5s Percent decrease in recidivism rate in the identified community.</t>
  </si>
  <si>
    <t>CNPI 5t Percent decrease in non-violent crime rate in the identified community.</t>
  </si>
  <si>
    <t>CNPI 5u Percent decrease in violent crime rate in the identified community.</t>
  </si>
  <si>
    <t>CNPI 5v Percent decrease in teens involved with the juvenile court system in the identified community.</t>
  </si>
  <si>
    <t>M3_A6_HLTH_21</t>
  </si>
  <si>
    <t xml:space="preserve">CNPI 6 G2a Percent increase of donated time to support the CSBG Eligible Entity's delivery of services and/or implementation of strategies to address conditions of poverty in the identified community. </t>
  </si>
  <si>
    <t xml:space="preserve">CNPI 6 G2b Percent increase of donated resources to support the CSBG Eligible Entity's delivery of services and/or implementation of strategies to address conditions of poverty in the identified community. </t>
  </si>
  <si>
    <t>CNPI 6 G2c Percent increase of people participating in public hearings, policy forums, community planning, or other advisory boards related to the CSBG Eligible Entity's delivery of service and/or implementation of strategies to address conditions of poverty in the identified community.</t>
  </si>
  <si>
    <t>CNPI 6 G2z Other Rates of Change for Civic Engagement and Community Involvement Indicators - Goal 2</t>
  </si>
  <si>
    <t>Civic Engagement and Community Involvement - Goal 2: Communities where people with low incomes live are healthy and offer economic opportunity.</t>
  </si>
  <si>
    <t xml:space="preserve">CNPI 6 G3a Percent increase of people with low incomes who support the CSBG Eligible Entity's delivery of service and/or implementation of strategies to address conditions of poverty in the identified community. </t>
  </si>
  <si>
    <t xml:space="preserve">CNPI 6 G3b Percent increase of people with low incomes who acquire and maintain leadership roles with the CSBG Eligible Entity or other organizations within the identified community. </t>
  </si>
  <si>
    <t>CNPI 6 G3z Other Rates of Change for Civic Engagement and Community Involvement Indicators - Goal 3</t>
  </si>
  <si>
    <t>CNPI 1c Number of “living wage” jobs created in the identified community.</t>
  </si>
  <si>
    <t>Form Control Name</t>
  </si>
  <si>
    <t>M3B2aPreSchoolTarget</t>
  </si>
  <si>
    <t>M3B2aPreSchoolResults</t>
  </si>
  <si>
    <t>M3B2bAffordCareTarget</t>
  </si>
  <si>
    <t>M3B2bAffordCareResults</t>
  </si>
  <si>
    <t>M3B2cScreeningsTarget</t>
  </si>
  <si>
    <t>M3B2cScreeningsResults</t>
  </si>
  <si>
    <t>M3B2dSchoolAgeTarget</t>
  </si>
  <si>
    <t>M3B2dSchoolAgeResults</t>
  </si>
  <si>
    <t>M3B2ePostSecondaryTarget</t>
  </si>
  <si>
    <t>M3B2ePostSecondaryResults</t>
  </si>
  <si>
    <t>M3B2fBasicEdTarget</t>
  </si>
  <si>
    <t>M3B2fBasicEdResults</t>
  </si>
  <si>
    <t>M3B2z1OtherEdCogDev1Name</t>
  </si>
  <si>
    <t>M3B2z1OtherEdCogDev1Target</t>
  </si>
  <si>
    <t>M3B2z1OtherEdCogDev1Results</t>
  </si>
  <si>
    <t>M3B2z2OtherEdCogDev2Name</t>
  </si>
  <si>
    <t>M3B2z2OtherEdCogDev2Target</t>
  </si>
  <si>
    <t>M3B2z2OtherEdCogDev2Results</t>
  </si>
  <si>
    <t>M3B2z3OtherEdCogDev3Name</t>
  </si>
  <si>
    <t>M3B2z3OtherEdCogDev3Target</t>
  </si>
  <si>
    <t>M3B2z3OtherEdCogDev3Results</t>
  </si>
  <si>
    <t>M3B2z4OtherEdCogDev4Name</t>
  </si>
  <si>
    <t>M3B2z4OtherEdCogDev4Target</t>
  </si>
  <si>
    <t>M3B2z4OtherEdCogDev4Results</t>
  </si>
  <si>
    <t>M3B2z5OtherEdCogDev5Name</t>
  </si>
  <si>
    <t>M3B2z5OtherEdCogDev5Target</t>
  </si>
  <si>
    <t>M3B2z5OtherEdCogDev5Results</t>
  </si>
  <si>
    <t>M3B2gKindReadyBaseline</t>
  </si>
  <si>
    <t>M3B2gKindReadyTarget</t>
  </si>
  <si>
    <t>M3B2gKindReadyResults</t>
  </si>
  <si>
    <t>M3B2hBasicReadLvlBaseline</t>
  </si>
  <si>
    <t>M3B2hBasicReadLvlTarget</t>
  </si>
  <si>
    <t>M3B2hBasicReadLvlResults</t>
  </si>
  <si>
    <t>M3B2iBasicMathLvlBaseline</t>
  </si>
  <si>
    <t>M3B2iBasicMathLvlTarget</t>
  </si>
  <si>
    <t>M3B2iBasicMathLvlResults</t>
  </si>
  <si>
    <t>M3B2jGradRateBaseline</t>
  </si>
  <si>
    <t>M3B2jGradRateTarget</t>
  </si>
  <si>
    <t>M3B2jGradRateResults</t>
  </si>
  <si>
    <t>M3B2kYouthPostSecAttendBaseline</t>
  </si>
  <si>
    <t>M3B2kYouthPostSecAttendTarget</t>
  </si>
  <si>
    <t>M3B2kYouthPostSecAttendResults</t>
  </si>
  <si>
    <t>M3B2lYouthPostSecGradBaseline</t>
  </si>
  <si>
    <t>M3B2lYouthPostSecGradTarget</t>
  </si>
  <si>
    <t>M3B2lYouthPostSecGradResults</t>
  </si>
  <si>
    <t>M3B2mAdultPostSecAttendBaseline</t>
  </si>
  <si>
    <t>M3B2mAdultPostSecAttendTarget</t>
  </si>
  <si>
    <t>M3B2mAdultPostSecAttendResults</t>
  </si>
  <si>
    <t>M3B2nAdultPostSecGradBaseline</t>
  </si>
  <si>
    <t>M3B2nAdultPostSecGradTarget</t>
  </si>
  <si>
    <t>M3B2nAdultPostSecGradResults</t>
  </si>
  <si>
    <t>M3B2oLitRateBaseline</t>
  </si>
  <si>
    <t>M3B2oLitRateTarget</t>
  </si>
  <si>
    <t>M3B2oLitRateResults</t>
  </si>
  <si>
    <t>M3B2z6OtherEdCogDev6Name</t>
  </si>
  <si>
    <t>M3B2z6OtherEdCogDev6Baseline</t>
  </si>
  <si>
    <t>M3B2z6OtherEdCogDev6Target</t>
  </si>
  <si>
    <t>M3B2z6OtherEdCogDev6Results</t>
  </si>
  <si>
    <t>M3B2z5OtherEdCogDev5Baseline</t>
  </si>
  <si>
    <t>M3B2z4OtherEdCogDev4Baseline</t>
  </si>
  <si>
    <t>M3B3z1OtherInfraAsset1Name</t>
  </si>
  <si>
    <t>M3B3z1OtherInfraAsset1Target</t>
  </si>
  <si>
    <t>M3B3z1OtherInfraAsset1Results</t>
  </si>
  <si>
    <t>M3B3z2OtherInfraAsset2Name</t>
  </si>
  <si>
    <t>M3B3z2OtherInfraAsset2Target</t>
  </si>
  <si>
    <t>M3B3z2OtherInfraAsset2Results</t>
  </si>
  <si>
    <t>M3B3z3OtherInfraAsset3Name</t>
  </si>
  <si>
    <t>M3B3z3OtherInfraAsset3Target</t>
  </si>
  <si>
    <t>M3B3z3OtherInfraAsset3Results</t>
  </si>
  <si>
    <t>M3B3z4OtherInfraAsset4Name</t>
  </si>
  <si>
    <t>M3B3z4OtherInfraAsset4Target</t>
  </si>
  <si>
    <t>M3B3z4OtherInfraAsset4Results</t>
  </si>
  <si>
    <t>M3B3z5OtherInfraAsset5Name</t>
  </si>
  <si>
    <t>M3B3z5OtherInfraAsset5Target</t>
  </si>
  <si>
    <t>M3B3z5OtherInfraAsset5Results</t>
  </si>
  <si>
    <t>M3B3cAbandonBuildBaseline</t>
  </si>
  <si>
    <t>M3B3cAbandonBuildTarget</t>
  </si>
  <si>
    <t>M3B3cAbandonBuildResults</t>
  </si>
  <si>
    <t>M3B3dEmerRespTimeBaseline</t>
  </si>
  <si>
    <t>M3B3dEmerRespTimeTarget</t>
  </si>
  <si>
    <t>M3B3dEmerRespTimeResults</t>
  </si>
  <si>
    <t>M3B3ePredLendBaseline</t>
  </si>
  <si>
    <t>M3B3ePredLendTarget</t>
  </si>
  <si>
    <t>M3B3ePredLendResults</t>
  </si>
  <si>
    <t>M3B3fEnvirThreatBaseline</t>
  </si>
  <si>
    <t>M3B3fEnvirThreatTarget</t>
  </si>
  <si>
    <t>M3B3fEnvirThreatResults</t>
  </si>
  <si>
    <t>M3B3gTransportServiceBaseline</t>
  </si>
  <si>
    <t>M3B3gTransportServiceTarget</t>
  </si>
  <si>
    <t>M3B3gTransportServiceResults</t>
  </si>
  <si>
    <t>M3B3z6OtherInfraAsset6Name</t>
  </si>
  <si>
    <t>M3B3z6OtherInfraAsset6Baseline</t>
  </si>
  <si>
    <t>M3B3z6OtherInfraAsset6Target</t>
  </si>
  <si>
    <t>M3B3z6OtherInfraAsset6Results</t>
  </si>
  <si>
    <t>M3B3a1CommercialResults</t>
  </si>
  <si>
    <t>M3B3a2FinancialResults</t>
  </si>
  <si>
    <t>M3B3a3TechCommResults</t>
  </si>
  <si>
    <t>M3B3a4TransportationResults</t>
  </si>
  <si>
    <t>M3B3a5RecreationalResults</t>
  </si>
  <si>
    <t>M3B3a6OtherPublicResults</t>
  </si>
  <si>
    <t>M3B3b1CommercialResults</t>
  </si>
  <si>
    <t>M3B3b2FinancialResults</t>
  </si>
  <si>
    <t>M3B3b3TechCommResults</t>
  </si>
  <si>
    <t>M3B3b4TransportationResults</t>
  </si>
  <si>
    <t>M3B3b5RecreationalResults</t>
  </si>
  <si>
    <t>M3B3b6OtherPublicResults</t>
  </si>
  <si>
    <t>M3B3a1CommercialTarget</t>
  </si>
  <si>
    <t>M3B3a2FinancialTarget</t>
  </si>
  <si>
    <t>M3B3a3TechCommTarget</t>
  </si>
  <si>
    <t>M3B3a4TransportationTarget</t>
  </si>
  <si>
    <t>M3B3a5RecreationalTarget</t>
  </si>
  <si>
    <t>M3B3a6OtherPublicTarget</t>
  </si>
  <si>
    <t>M3B3b1CommercialTarget</t>
  </si>
  <si>
    <t>M3B3b2FinancialTarget</t>
  </si>
  <si>
    <t>M3B3b3TechCommTarget</t>
  </si>
  <si>
    <t>M3B3b4TransportationTarget</t>
  </si>
  <si>
    <t>M3B3b5RecreationalTarget</t>
  </si>
  <si>
    <t>M3B3b6OtherPublicTarget</t>
  </si>
  <si>
    <t>M3B3z5OtherInfraAsset5Baseline</t>
  </si>
  <si>
    <t>M3B3z4OtherInfraAsset4Baseline</t>
  </si>
  <si>
    <t>M3B4aSafeHousDevTarget</t>
  </si>
  <si>
    <t>M3B4aSafeHousDevResults</t>
  </si>
  <si>
    <t>M3B4bSafeHousMainTarget</t>
  </si>
  <si>
    <t>M3B4bSafeHousMainResults</t>
  </si>
  <si>
    <t>M3B4cShelterBedCreateTarget</t>
  </si>
  <si>
    <t>M3B4cShelterBedCreateResults</t>
  </si>
  <si>
    <t>M3B4dShelterBedMainTarget</t>
  </si>
  <si>
    <t>M3B4dShelterBedMainResults</t>
  </si>
  <si>
    <t>M3B4z1OtherHousing1Name</t>
  </si>
  <si>
    <t>M3B4z1OtherHousing1Target</t>
  </si>
  <si>
    <t>M3B4z1OtherHousing1Results</t>
  </si>
  <si>
    <t>M3B4z2OtherHousing2Name</t>
  </si>
  <si>
    <t>M3B4z2OtherHousing2Target</t>
  </si>
  <si>
    <t>M3B4z2OtherHousing2Results</t>
  </si>
  <si>
    <t>M3B4z3OtherHousing3Name</t>
  </si>
  <si>
    <t>M3B4z3OtherHousing3Target</t>
  </si>
  <si>
    <t>M3B4z3OtherHousing3Results</t>
  </si>
  <si>
    <t>M3B4z4OtherHousing4Name</t>
  </si>
  <si>
    <t>M3B4z4OtherHousing4Target</t>
  </si>
  <si>
    <t>M3B4z4OtherHousing4Results</t>
  </si>
  <si>
    <t>M3B4z5OtherHousing5Name</t>
  </si>
  <si>
    <t>M3B4z5OtherHousing5Target</t>
  </si>
  <si>
    <t>M3B4z5OtherHousing5Results</t>
  </si>
  <si>
    <t>M3B4eHomelessBaseline</t>
  </si>
  <si>
    <t>M3B4eHomelessTarget</t>
  </si>
  <si>
    <t>M3B4eHomelessResults</t>
  </si>
  <si>
    <t>M3B4fForecloseRateBaseline</t>
  </si>
  <si>
    <t>M3B4fForecloseRateTarget</t>
  </si>
  <si>
    <t>M3B4fForecloseRateResults</t>
  </si>
  <si>
    <t>M3B4gHomeOwnBaseline</t>
  </si>
  <si>
    <t>M3B4gHomeOwnTarget</t>
  </si>
  <si>
    <t>M3B4gHomeOwnResults</t>
  </si>
  <si>
    <t>M3B4hAffordHouseBaseline</t>
  </si>
  <si>
    <t>M3B4hAffordHouseTarget</t>
  </si>
  <si>
    <t>M3B4hAffordHouseResults</t>
  </si>
  <si>
    <t>M3B4iShelterBedBaseline</t>
  </si>
  <si>
    <t>M3B4iShelterBedTarget</t>
  </si>
  <si>
    <t>M3B4iShelterBedResults</t>
  </si>
  <si>
    <t>M3B4z6OtherHousing6Name</t>
  </si>
  <si>
    <t>M3B4z6OtherHousing6Baseline</t>
  </si>
  <si>
    <t>M3B4z6OtherHousing6Target</t>
  </si>
  <si>
    <t>M3B4z6OtherHousing6Results</t>
  </si>
  <si>
    <t>M3B4z5OtherHousing5Baseline</t>
  </si>
  <si>
    <t>M3B4z4OtherHousing4Baseline</t>
  </si>
  <si>
    <t>M3B5aPhysHealthTarget</t>
  </si>
  <si>
    <t>M3B5aPhysHealthResults</t>
  </si>
  <si>
    <t>M3B5bMentHealthTarget</t>
  </si>
  <si>
    <t>M3B5bMentHealthResults</t>
  </si>
  <si>
    <t>M3B5cPubSafeTarget</t>
  </si>
  <si>
    <t>M3B5cPubSafeResults</t>
  </si>
  <si>
    <t>M3B5dFoodResourceTarget</t>
  </si>
  <si>
    <t>M3B5dFoodResourceResults</t>
  </si>
  <si>
    <t>M3B5eCommRelTarget</t>
  </si>
  <si>
    <t>M3B5eCommRelResults</t>
  </si>
  <si>
    <t>M3B5z1OtherHealthSoc1Name</t>
  </si>
  <si>
    <t>M3B5z1OtherHealthSoc1Target</t>
  </si>
  <si>
    <t>M3B5z1OtherHealthSoc1Results</t>
  </si>
  <si>
    <t>M3B5z2OtherHealthSoc2Name</t>
  </si>
  <si>
    <t>M3B5z2OtherHealthSoc2Target</t>
  </si>
  <si>
    <t>M3B5z2OtherHealthSoc2Results</t>
  </si>
  <si>
    <t>M3B5z3OtherHealthSoc3Name</t>
  </si>
  <si>
    <t>M3B5z3OtherHealthSoc3Target</t>
  </si>
  <si>
    <t>M3B5z3OtherHealthSoc3Results</t>
  </si>
  <si>
    <t>M3B5z4OtherHealthSoc4Name</t>
  </si>
  <si>
    <t>M3B5z4OtherHealthSoc4Target</t>
  </si>
  <si>
    <t>M3B5z4OtherHealthSoc4Results</t>
  </si>
  <si>
    <t>M3B5z5OtherHealthSoc5Name</t>
  </si>
  <si>
    <t>M3B5z5OtherHealthSoc5Target</t>
  </si>
  <si>
    <t>M3B5z5OtherHealthSoc5Results</t>
  </si>
  <si>
    <t>M3B5fMortRateBaseline</t>
  </si>
  <si>
    <t>M3B5fMortRateTarget</t>
  </si>
  <si>
    <t>M3B5fMortRateResults</t>
  </si>
  <si>
    <t>M3B5gChildObesRateBaseline</t>
  </si>
  <si>
    <t>M3B5gChildObesRateTarget</t>
  </si>
  <si>
    <t>M3B5gChildObesRateResults</t>
  </si>
  <si>
    <t>M3B5hAdultObesRateBaseline</t>
  </si>
  <si>
    <t>M3B5hAdultObesRateTarget</t>
  </si>
  <si>
    <t>M3B5hAdultObesRateResults</t>
  </si>
  <si>
    <t>M3B5iImmunRateBaseline</t>
  </si>
  <si>
    <t>M3B5iImmunRateTarget</t>
  </si>
  <si>
    <t>M3B5iImmunRateResults</t>
  </si>
  <si>
    <t>M3B5jUninsuredFamBaseline</t>
  </si>
  <si>
    <t>M3B5jUninsuredFamTarget</t>
  </si>
  <si>
    <t>M3B5jUninsuredFamResults</t>
  </si>
  <si>
    <t>M3B5kTeenPregBaseline</t>
  </si>
  <si>
    <t>M3B5kTeenPregTarget</t>
  </si>
  <si>
    <t>M3B5kTeenPregResults</t>
  </si>
  <si>
    <t>M3B5lUnplanPregBaseline</t>
  </si>
  <si>
    <t>M3B5lUnplanPregTarget</t>
  </si>
  <si>
    <t>M3B5lUnplanPregResults</t>
  </si>
  <si>
    <t>M3B5mSubAbuseBaseline</t>
  </si>
  <si>
    <t>M3B5mSubAbuseTarget</t>
  </si>
  <si>
    <t>M3B5mSubAbuseResults</t>
  </si>
  <si>
    <t>M3B5nDomViolenceBaseline</t>
  </si>
  <si>
    <t>M3B5nDomViolenceTarget</t>
  </si>
  <si>
    <t>M3B5nDomViolenceResults</t>
  </si>
  <si>
    <t>M3B5oChildAbuseBaseline</t>
  </si>
  <si>
    <t>M3B5oChildAbuseTarget</t>
  </si>
  <si>
    <t>M3B5oChildAbuseResults</t>
  </si>
  <si>
    <t>M3B5pChildNeglectBaseline</t>
  </si>
  <si>
    <t>M3B5pChildNeglectTarget</t>
  </si>
  <si>
    <t>M3B5pChildNeglectResults</t>
  </si>
  <si>
    <t>M3B5qElderAbuseBaseline</t>
  </si>
  <si>
    <t>M3B5qElderAbuseTarget</t>
  </si>
  <si>
    <t>M3B5qElderAbuseResults</t>
  </si>
  <si>
    <t>M3B5rElderNeglectBaseline</t>
  </si>
  <si>
    <t>M3B5rElderNeglectTarget</t>
  </si>
  <si>
    <t>M3B5rElderNeglectResults</t>
  </si>
  <si>
    <t>M3B5sRecidivismBaseline</t>
  </si>
  <si>
    <t>M3B5sRecidivismTarget</t>
  </si>
  <si>
    <t>M3B5sRecidivismResults</t>
  </si>
  <si>
    <t>M3B5tNonViolCrimeBaseline</t>
  </si>
  <si>
    <t>M3B5tNonViolCrimeTarget</t>
  </si>
  <si>
    <t>M3B5tNonViolCrimeResults</t>
  </si>
  <si>
    <t>M3B5uViolCrimeBaseline</t>
  </si>
  <si>
    <t>M3B5uViolCrimeTarget</t>
  </si>
  <si>
    <t>M3B5uViolCrimeResults</t>
  </si>
  <si>
    <t>M3B5vJuvenileCourtBaseline</t>
  </si>
  <si>
    <t>M3B5vJuvenileCourtTarget</t>
  </si>
  <si>
    <t>M3B5vJuvenileCourtResults</t>
  </si>
  <si>
    <t>M3B5z6OtherHealthSoc6Name</t>
  </si>
  <si>
    <t>M3B5z6OtherHealthSoc6Baseline</t>
  </si>
  <si>
    <t>M3B5z6OtherHealthSoc6Target</t>
  </si>
  <si>
    <t>M3B5z6OtherHealthSoc6Results</t>
  </si>
  <si>
    <t>M3B5z5OtherHealthSoc5Baseline</t>
  </si>
  <si>
    <t>M3B5z4OtherHealthSoc4Baseline</t>
  </si>
  <si>
    <t>M3B6G2aDonatedTimeBaseline</t>
  </si>
  <si>
    <t>M3B6G2aDonatedTimeTarget</t>
  </si>
  <si>
    <t>M3B6G2aDonatedTimeResults</t>
  </si>
  <si>
    <t>M3B6G2bDonatedResourcesBaseline</t>
  </si>
  <si>
    <t>M3B6G2bDonatedResourcesTarget</t>
  </si>
  <si>
    <t>M3B6G2bDonatedResourcesResults</t>
  </si>
  <si>
    <t>M3B6G2cPeoplePartBaseline</t>
  </si>
  <si>
    <t>M3B6G2cPeoplePartTarget</t>
  </si>
  <si>
    <t>M3B6G2cPeoplePartResults</t>
  </si>
  <si>
    <t>M3B6G2z1OtherCivicEngG21Name</t>
  </si>
  <si>
    <t>M3B6G2z1OtherCivicEngG21Baseline</t>
  </si>
  <si>
    <t>M3B6G2z1OtherCivicEngG21Target</t>
  </si>
  <si>
    <t>M3B6G2z1OtherCivicEngG21Results</t>
  </si>
  <si>
    <t>M3B6G2z2OtherCivicEngG22Name</t>
  </si>
  <si>
    <t>M3B6G2z2OtherCivicEngG22Baseline</t>
  </si>
  <si>
    <t>M3B6G2z2OtherCivicEngG22Target</t>
  </si>
  <si>
    <t>M3B6G2z2OtherCivicEngG22Results</t>
  </si>
  <si>
    <t>M3B6G2z3OtherCivicEngG23Name</t>
  </si>
  <si>
    <t>M3B6G2z3OtherCivicEngG23Baseline</t>
  </si>
  <si>
    <t>M3B6G2z3OtherCivicEngG23Target</t>
  </si>
  <si>
    <t>M3B6G2z3OtherCivicEngG23Results</t>
  </si>
  <si>
    <t>M3B6G3aSuppImplBaseline</t>
  </si>
  <si>
    <t>M3B6G3aSuppImplTarget</t>
  </si>
  <si>
    <t>M3B6G3aSuppImplResults</t>
  </si>
  <si>
    <t>M3B6G3bLeadRoleBaseline</t>
  </si>
  <si>
    <t>M3B6G3bLeadRoleTarget</t>
  </si>
  <si>
    <t>M3B6G3bLeadRoleResults</t>
  </si>
  <si>
    <t>M3B6G3z1OtherCivicEngG31Name</t>
  </si>
  <si>
    <t>M3B6G3z1OtherCivicEngG31Baseline</t>
  </si>
  <si>
    <t>M3B6G3z1OtherCivicEngG31Target</t>
  </si>
  <si>
    <t>M3B6G3z1OtherCivicEngG31Results</t>
  </si>
  <si>
    <t>M3B6G3z2OtherCivicEngG32Name</t>
  </si>
  <si>
    <t>M3B6G3z2OtherCivicEngG32Baseline</t>
  </si>
  <si>
    <t>M3B6G3z2OtherCivicEngG32Target</t>
  </si>
  <si>
    <t>M3B6G3z2OtherCivicEngG32Results</t>
  </si>
  <si>
    <t>M3B6G3z3OtherCivicEngG33Name</t>
  </si>
  <si>
    <t>M3B6G3z3OtherCivicEngG33Baseline</t>
  </si>
  <si>
    <t>M3B6G3z3OtherCivicEngG33Target</t>
  </si>
  <si>
    <t>M3B6G3z3OtherCivicEngG33Results</t>
  </si>
  <si>
    <t>M3B1Comments</t>
  </si>
  <si>
    <t>M3B2Comments</t>
  </si>
  <si>
    <t>M3B3Comments</t>
  </si>
  <si>
    <t>M3B4Comments</t>
  </si>
  <si>
    <t>M3B5Comments</t>
  </si>
  <si>
    <t>M3B5G2Comments</t>
  </si>
  <si>
    <t>M3B6G3Comments</t>
  </si>
  <si>
    <t>M3A1InitiativeName</t>
  </si>
  <si>
    <t>M3A2InitiativeYear</t>
  </si>
  <si>
    <t>M3A3ProblemID</t>
  </si>
  <si>
    <t>M3A5aEmployment</t>
  </si>
  <si>
    <t>M3A5bEducation</t>
  </si>
  <si>
    <t>M3A5dHousing</t>
  </si>
  <si>
    <t>M3A5eHealth</t>
  </si>
  <si>
    <t>M3A61aJobIncrOpp</t>
  </si>
  <si>
    <t>M3A61bJobOppMain</t>
  </si>
  <si>
    <t>M3A61cLivWageCreate</t>
  </si>
  <si>
    <t>M3A61dLivWageMain</t>
  </si>
  <si>
    <t>M3A61eBenPack</t>
  </si>
  <si>
    <t>M3A61fUnemployRate</t>
  </si>
  <si>
    <t>M3A61gYouthUnemployRate</t>
  </si>
  <si>
    <t>M3A61hYouthUnemployRate</t>
  </si>
  <si>
    <t>M3A62aPreSchool</t>
  </si>
  <si>
    <t>M3A62bAffordCare</t>
  </si>
  <si>
    <t>M3A62cScreenings</t>
  </si>
  <si>
    <t>M3A62dSchoolAge</t>
  </si>
  <si>
    <t>M3A62ePostSecondary</t>
  </si>
  <si>
    <t>M3A62fBasicEd</t>
  </si>
  <si>
    <t>M3A62gKindReady</t>
  </si>
  <si>
    <t>M3A62hBasicReadLvl</t>
  </si>
  <si>
    <t>M3A62iBasicMathLvl</t>
  </si>
  <si>
    <t>M3A62jGradRate</t>
  </si>
  <si>
    <t>M3A62kYouthPostSecAttend</t>
  </si>
  <si>
    <t>M3A62lYouthPostSecGrad</t>
  </si>
  <si>
    <t>M3A62mAdultPostSecAttend</t>
  </si>
  <si>
    <t>M3A62nAdultPostSecGrad</t>
  </si>
  <si>
    <t>M3A62oLitRate</t>
  </si>
  <si>
    <t>M3A63a1Commercial</t>
  </si>
  <si>
    <t>M3A63a2Financial</t>
  </si>
  <si>
    <t>M3A63a3TechComm</t>
  </si>
  <si>
    <t>M3A63a4Transportation</t>
  </si>
  <si>
    <t>M3A63a5Recreational</t>
  </si>
  <si>
    <t>M3A63a6OtherPublic</t>
  </si>
  <si>
    <t>M3A63b1Commercial</t>
  </si>
  <si>
    <t>M3A63b2Financial</t>
  </si>
  <si>
    <t>M3A63b3TechComm</t>
  </si>
  <si>
    <t>M3A63b4Transportation</t>
  </si>
  <si>
    <t>M3A63b5Recreational</t>
  </si>
  <si>
    <t>M3A63b6OtherPublic</t>
  </si>
  <si>
    <t>M3A63cAbandonBuild</t>
  </si>
  <si>
    <t>M3A63dEmerRespTime</t>
  </si>
  <si>
    <t>M3A63ePredLend</t>
  </si>
  <si>
    <t>M3A63fEnvirThreat</t>
  </si>
  <si>
    <t>M3A63gTransportService</t>
  </si>
  <si>
    <t>M3A64aSafeHousDev</t>
  </si>
  <si>
    <t>M3A64bSafeHousMain</t>
  </si>
  <si>
    <t>M3A64cShelterBedCreate</t>
  </si>
  <si>
    <t>M3A64dShelterBedMain</t>
  </si>
  <si>
    <t>M3A64eHomeless</t>
  </si>
  <si>
    <t>M3A64fForecloseRate</t>
  </si>
  <si>
    <t>M3A64gHomeOwn</t>
  </si>
  <si>
    <t>M3A64hAffordHouse</t>
  </si>
  <si>
    <t>M3A64iShelterBed</t>
  </si>
  <si>
    <t>M3A65aPhysHealth</t>
  </si>
  <si>
    <t>M3A65bMentHealth</t>
  </si>
  <si>
    <t>M3A65cPubSafe</t>
  </si>
  <si>
    <t>M3A65dFoodResource</t>
  </si>
  <si>
    <t>M3A65eCommRel</t>
  </si>
  <si>
    <t>M3A65fMortRate</t>
  </si>
  <si>
    <t>M3A65gChildObesRate</t>
  </si>
  <si>
    <t>M3A65hAdultObesRate</t>
  </si>
  <si>
    <t>M3A65iImmunRate</t>
  </si>
  <si>
    <t>M3A65jUninsuredFam</t>
  </si>
  <si>
    <t>M3A65kTeenPreg</t>
  </si>
  <si>
    <t>M3A65lUnplanPreg</t>
  </si>
  <si>
    <t>M3A65mSubAbuse</t>
  </si>
  <si>
    <t>M3A65nDomViolence</t>
  </si>
  <si>
    <t>M3A65oChildAbuse</t>
  </si>
  <si>
    <t>M3A65pChildNeglect</t>
  </si>
  <si>
    <t>M3A65qElderAbuse</t>
  </si>
  <si>
    <t>M3A65rElderNeglect</t>
  </si>
  <si>
    <t>M3A65sRecidivism</t>
  </si>
  <si>
    <t>M3A65tNonViolCrime</t>
  </si>
  <si>
    <t>M3A65uViolCrime</t>
  </si>
  <si>
    <t>M3A65vJuvenileCourt</t>
  </si>
  <si>
    <t>M3A66G2aDonatedTime</t>
  </si>
  <si>
    <t>M3A66G2bDonatedResources</t>
  </si>
  <si>
    <t>M3A66G2cPeoplePart</t>
  </si>
  <si>
    <t>M3A66G3aSupplImpl</t>
  </si>
  <si>
    <t>M3A66G3bLeadRole</t>
  </si>
  <si>
    <t>M3A111aMinWage</t>
  </si>
  <si>
    <t>M3A111bJobCreation</t>
  </si>
  <si>
    <t>M3A111cJobFairs</t>
  </si>
  <si>
    <t>M3A111dEITC</t>
  </si>
  <si>
    <t>M3A111eCommSpace</t>
  </si>
  <si>
    <t>M3A111fEmployerEd</t>
  </si>
  <si>
    <t>M3A111gEmplPolChng</t>
  </si>
  <si>
    <t>M3A111hEmplLegChng</t>
  </si>
  <si>
    <t>M3A112aPreschool</t>
  </si>
  <si>
    <t>M3A112bCharterSch</t>
  </si>
  <si>
    <t>M3A112cEnrichAct</t>
  </si>
  <si>
    <t>M3A112dPreK</t>
  </si>
  <si>
    <t>M3A112eTrustFund</t>
  </si>
  <si>
    <t>M3A112fScholarship</t>
  </si>
  <si>
    <t>M3A112gCTC</t>
  </si>
  <si>
    <t>M3A112hAdoptChildCare</t>
  </si>
  <si>
    <t>M3A112iAdultEd</t>
  </si>
  <si>
    <t>M3A112jEdCogDevPol</t>
  </si>
  <si>
    <t>M3A112kEdCogDevLeg</t>
  </si>
  <si>
    <t>M3A113aCulturalAsset</t>
  </si>
  <si>
    <t>M3A113bPolCommRel</t>
  </si>
  <si>
    <t>M3A113cNeighborhoodWatch</t>
  </si>
  <si>
    <t>M3A113dPredLend</t>
  </si>
  <si>
    <t>M3A113eAssetBuild</t>
  </si>
  <si>
    <t>M3A113fDevSpaces</t>
  </si>
  <si>
    <t>M3A113gIncomeTaxPrep</t>
  </si>
  <si>
    <t>M3A113hDataCollSys</t>
  </si>
  <si>
    <t>M3A113iLocal211</t>
  </si>
  <si>
    <t>M3A113jWaterSys</t>
  </si>
  <si>
    <t>M3A113kFinInstitution</t>
  </si>
  <si>
    <t>M3A113lInfrastrucPlan</t>
  </si>
  <si>
    <t>M3A113mParkRec</t>
  </si>
  <si>
    <t>M3A113nWxnHouseStock</t>
  </si>
  <si>
    <t>M3A113oCommCenter</t>
  </si>
  <si>
    <t>M3A113pBenPolicyChanges</t>
  </si>
  <si>
    <t>M3A113qPolChanges</t>
  </si>
  <si>
    <t>M3A113rLegChanges</t>
  </si>
  <si>
    <t>M3A114aChronicHomeless</t>
  </si>
  <si>
    <t>M3A114bAffordSingleUnit</t>
  </si>
  <si>
    <t>M3A114cAffordMultiUnit</t>
  </si>
  <si>
    <t>M3A114dTenantRights</t>
  </si>
  <si>
    <t>M3A114eShelterCreation</t>
  </si>
  <si>
    <t>M3A114fLandTrust</t>
  </si>
  <si>
    <t>M3A114gBuildCodes</t>
  </si>
  <si>
    <t>M3A114hHousePolChanges</t>
  </si>
  <si>
    <t>M3A114iHouseLegChanges</t>
  </si>
  <si>
    <t>M3A115aHealthCampaign</t>
  </si>
  <si>
    <t>M3A115bFarmMarket</t>
  </si>
  <si>
    <t>M3A115cGrocStore</t>
  </si>
  <si>
    <t>M3A115dGunSafety</t>
  </si>
  <si>
    <t>M3A115eHealthyFood</t>
  </si>
  <si>
    <t>M3A115fNutritionEd</t>
  </si>
  <si>
    <t>M3A115gFoodBank</t>
  </si>
  <si>
    <t>M3A115hDomViolenceCourt</t>
  </si>
  <si>
    <t>M3A115iDrugCourt</t>
  </si>
  <si>
    <t>M3A115jAltEnergy</t>
  </si>
  <si>
    <t>M3A115kHealthClinic</t>
  </si>
  <si>
    <t>M3A115lHealthPolChanges</t>
  </si>
  <si>
    <t>M3A115mHealthLegChanges</t>
  </si>
  <si>
    <t>M3A116G2aHealthSocService</t>
  </si>
  <si>
    <t>M3A116G2bCommVolunteer</t>
  </si>
  <si>
    <t>M3A116G2cPovSim</t>
  </si>
  <si>
    <t>M3A116G2dCapInvest</t>
  </si>
  <si>
    <t>M3A116G2eIncrEquity</t>
  </si>
  <si>
    <t>M3A116G2fEquityAware</t>
  </si>
  <si>
    <t>M3A116G2gNeedsAssess</t>
  </si>
  <si>
    <t>M3A116G2hAdvocEffort</t>
  </si>
  <si>
    <t>M3A116G2iCivicEngPolChanges</t>
  </si>
  <si>
    <t>M3A116G2jCivicEngLegChanges</t>
  </si>
  <si>
    <t>M3A116G3aEmpowerLI</t>
  </si>
  <si>
    <t>M3A116G3bLocalGovBodies</t>
  </si>
  <si>
    <t>M3A116G3cSocCapBuild</t>
  </si>
  <si>
    <t>M3A116G3dVolPlacement</t>
  </si>
  <si>
    <t>M3A116G3eCivicEngPolChanges</t>
  </si>
  <si>
    <t>M3A116G3fCivicEngLegChanges</t>
  </si>
  <si>
    <t>M3A117aOffHrChildCare</t>
  </si>
  <si>
    <t>M3A117bTransportSys</t>
  </si>
  <si>
    <t>M3A117cTransportServ</t>
  </si>
  <si>
    <t>M3A117dCommSuppPolChanges</t>
  </si>
  <si>
    <t>M3A117eCommSuppLegChanges</t>
  </si>
  <si>
    <t>M3A118aEmerMan</t>
  </si>
  <si>
    <t>M3A118bEmerDisRelief</t>
  </si>
  <si>
    <t>M3A118cDisPrepPlan</t>
  </si>
  <si>
    <t>M3A118dEmerManPolChanges</t>
  </si>
  <si>
    <t>M3A118eEmerManLegChanges</t>
  </si>
  <si>
    <t>M3A5hInfastructure</t>
  </si>
  <si>
    <t>M3A62z1OtherEdCogDev</t>
  </si>
  <si>
    <t>M3A62z6OtherEdCogDev</t>
  </si>
  <si>
    <t>M3A63z1OtherInfraAsset</t>
  </si>
  <si>
    <t>M3A63z6OtherInfraAsset</t>
  </si>
  <si>
    <t>M3A64z1OtherHousing</t>
  </si>
  <si>
    <t>M3A64z6OtherHousing</t>
  </si>
  <si>
    <t>M3A65z1OtherHealthSoc</t>
  </si>
  <si>
    <t>M3A65z6OtherHealthSoc</t>
  </si>
  <si>
    <t>M3A66G2z1OtherCivicEng</t>
  </si>
  <si>
    <t>M3A66G3z1OtherCivicEng</t>
  </si>
  <si>
    <t>M3A112l1EdCogDevOtherText</t>
  </si>
  <si>
    <t>M3A112l1EdCogDevOther</t>
  </si>
  <si>
    <t>M3A113s1InfrastrAssetOtherText</t>
  </si>
  <si>
    <t>M3A113s1InfrastrAssetOther</t>
  </si>
  <si>
    <t>M3A114j1HousingOtherText</t>
  </si>
  <si>
    <t>M3A114j1HousingOther</t>
  </si>
  <si>
    <t>M3A115n1HealthOther</t>
  </si>
  <si>
    <t>M3A115n1HealthOtherText</t>
  </si>
  <si>
    <t>M3A116G2k1CivicEngOther</t>
  </si>
  <si>
    <t>M3A116G2k1CivicEngOtherText</t>
  </si>
  <si>
    <t>M3A116G3g1CivicEngOther</t>
  </si>
  <si>
    <t>M3A116G3g1CivicEngOtherText</t>
  </si>
  <si>
    <t>M3A117f1CommSuppOther</t>
  </si>
  <si>
    <t>M3A117f1CommSuppOtherText</t>
  </si>
  <si>
    <t>M3A118f1EmerManOther</t>
  </si>
  <si>
    <t>M3A118f1EmerManOtherText</t>
  </si>
  <si>
    <t>M3_A6_CIVG2</t>
  </si>
  <si>
    <t>M3_A6_CIVG2_1</t>
  </si>
  <si>
    <t>M3_A6_CIVG2_2</t>
  </si>
  <si>
    <t>M3_A6_CIVG2_3</t>
  </si>
  <si>
    <t>M3_A6_CIVG2_4</t>
  </si>
  <si>
    <t>M3_A6_CIVG3</t>
  </si>
  <si>
    <t>M3_A6_CIVG3_1</t>
  </si>
  <si>
    <t>M3_A6_CIVG3_2</t>
  </si>
  <si>
    <t>M3_A6_CIVG3_3</t>
  </si>
  <si>
    <t>M3_A14_Reported</t>
  </si>
  <si>
    <t>M3A111i1EmployOther</t>
  </si>
  <si>
    <t>M3B2z1OtherEdCogDev1Name,M3B2z2OtherEdCogDev2Name,M3B2z3OtherEdCogDev3Name</t>
  </si>
  <si>
    <t>M3B2z4OtherEdCogDev4Name,M3B2z5OtherEdCogDev5Name,M3B2z6OtherEdCogDev6Name</t>
  </si>
  <si>
    <t>M3B3z1OtherInfraAsset1Name,M3B3z2OtherInfraAsset2Name,M3B3z3OtherInfraAsset3Name</t>
  </si>
  <si>
    <t>M3B3z4OtherInfraAsset4Name,M3B3z5OtherInfraAsset5Name,M3B3z6OtherInfraAsset6Name</t>
  </si>
  <si>
    <t>M3B4z1OtherHousing1Name,M3B4z2OtherHousing2Name,M3B4z3OtherHousing3Name</t>
  </si>
  <si>
    <t>M3B4z4OtherHousing4Name,M3B4z5OtherHousing5Name,M3B4z6OtherHousing6Name</t>
  </si>
  <si>
    <t>M3B5z1OtherHealthSoc1Name,M3B5z2OtherHealthSoc2Name,M3B5z3OtherHealthSoc3Name</t>
  </si>
  <si>
    <t>M3B5z4OtherHealthSoc4Name,M3B5z5OtherHealthSoc5Name,M3B5z6OtherHealthSoc6Name</t>
  </si>
  <si>
    <t>M3B6G2z1OtherCivicEngG21Name,M3B6G2z2OtherCivicEngG22Name,M3B6G2z3OtherCivicEngG23Name</t>
  </si>
  <si>
    <t>M3B6G3z1OtherCivicEngG31Name,M3B6G3z2OtherCivicEngG32Name,M3B6G3z3OtherCivicEngG33Name</t>
  </si>
  <si>
    <t>M3OrgAbbrev</t>
  </si>
  <si>
    <t>M3ProgramAcronym</t>
  </si>
  <si>
    <t>M3ReportPeriodStartDate</t>
  </si>
  <si>
    <t>M3ReportPeriodEndDate</t>
  </si>
  <si>
    <t>M3GrantNumber</t>
  </si>
  <si>
    <t>M3SubGrantee</t>
  </si>
  <si>
    <t>M3A9PartnerType</t>
  </si>
  <si>
    <t>XML_Filename</t>
  </si>
  <si>
    <t>State:</t>
  </si>
  <si>
    <t>Community ID offset</t>
  </si>
  <si>
    <t>OtherText</t>
  </si>
  <si>
    <t>Enter other description…</t>
  </si>
  <si>
    <t xml:space="preserve">STR 1a Minimum/Living Wage Campaign </t>
  </si>
  <si>
    <t xml:space="preserve">STR 1b Job Creation/Employment Generation </t>
  </si>
  <si>
    <t>STR 1c Job Fairs</t>
  </si>
  <si>
    <t>STR 1d Earned Income Tax Credit (EITC) Promotion</t>
  </si>
  <si>
    <t>STR 1e Commercial Space Development</t>
  </si>
  <si>
    <t xml:space="preserve">STR 1f Employer Education </t>
  </si>
  <si>
    <t>STR 1g Employment Policy Changes</t>
  </si>
  <si>
    <t>STR 1h Employment Legislative Changes</t>
  </si>
  <si>
    <t>STR 1i Other Employment Strategy: (please specify)</t>
  </si>
  <si>
    <t>STR 2a Preschool for All Campaign</t>
  </si>
  <si>
    <t>STR 2b Charter School Development</t>
  </si>
  <si>
    <t>STR 2c After School Enrichment Activities Promotion</t>
  </si>
  <si>
    <t xml:space="preserve">STR 2d Pre K-College/Community College Support </t>
  </si>
  <si>
    <t>STR 2e Children’s Trust Fund Creation</t>
  </si>
  <si>
    <t>STR 2f Scholarship Creation</t>
  </si>
  <si>
    <t xml:space="preserve">STR 2g Child Tax Credit (CTC) Promotion </t>
  </si>
  <si>
    <t xml:space="preserve">STR 2h Adoption Child Care Quality Rating </t>
  </si>
  <si>
    <t>STR 2i Adult Education Establishment</t>
  </si>
  <si>
    <t>STR 2j Education and Cognitive Development Policy Changes</t>
  </si>
  <si>
    <t>STR 2k Education and Cognitive Development Legislative Changes</t>
  </si>
  <si>
    <t>STR 2l Other Education and Cognitive Development Strategy: (please specify)</t>
  </si>
  <si>
    <t>STR 3a Cultural Asset Creation</t>
  </si>
  <si>
    <t>STR 3b Police/Community Relations Campaign</t>
  </si>
  <si>
    <t>STR 3c Neighborhood Safety Watch Programs</t>
  </si>
  <si>
    <t>STR 3d Anti-Predatory Lending Campaign</t>
  </si>
  <si>
    <t xml:space="preserve">STR 3e Asset Building and Savings Promotion </t>
  </si>
  <si>
    <t xml:space="preserve">STR 3f Develop/Build/Rehab Spaces  </t>
  </si>
  <si>
    <t>STR 3g Maintain or Host Income Tax Preparation Sites</t>
  </si>
  <si>
    <t>STR 3i Local 211 or Resource/Referral System Development</t>
  </si>
  <si>
    <t xml:space="preserve">STR 3j Water/Sewer System Development </t>
  </si>
  <si>
    <t>STR 3k Community Financial Institution Creation</t>
  </si>
  <si>
    <t>STR 3l Infrastructure Planning Coalition</t>
  </si>
  <si>
    <t xml:space="preserve">STR 3m Park or Recreation Creation and Maintenance </t>
  </si>
  <si>
    <t xml:space="preserve">STR 3n Rehabilitation/Weatherization of Housing Stock  </t>
  </si>
  <si>
    <t>STR 3o Community Center/Community Facility Establishment</t>
  </si>
  <si>
    <t>STR 3p Asset Limit Barriers for Benefits Policy Changes</t>
  </si>
  <si>
    <t>STR 3q Infrastructure and Asset Building Policy Changes</t>
  </si>
  <si>
    <t>STR 3r Infrastructure and Asset Building Legislative Changes</t>
  </si>
  <si>
    <t>STR 3s Other Infrastructure and Asset Building Strategy: (please specify)</t>
  </si>
  <si>
    <t>STR 4a End Chronic Homelessness Campaign</t>
  </si>
  <si>
    <t xml:space="preserve">STR 4b New Affordable Single Unit Housing Creation </t>
  </si>
  <si>
    <t>STR 4d Tenants’ Rights Campaign</t>
  </si>
  <si>
    <t>STR 4e New Shelters Creation (including day shelters and domestic violence shelters)</t>
  </si>
  <si>
    <t>STR 4f Housing or Land Trust Creation</t>
  </si>
  <si>
    <t>STR 4g Building Codes Campaign</t>
  </si>
  <si>
    <t>STR 4h Housing Policy Changes</t>
  </si>
  <si>
    <t>STR 4i Housing Legislative Changes </t>
  </si>
  <si>
    <t>STR 4j Other Housing Strategy: (please specify)</t>
  </si>
  <si>
    <t>STR 5a Health Specific Campaign</t>
  </si>
  <si>
    <t>STR 5c Grocery Store Development</t>
  </si>
  <si>
    <t>STR 5d Gun Safety/Control Campaign</t>
  </si>
  <si>
    <t>STR 5e Healthy Food Campaign</t>
  </si>
  <si>
    <t>STR 5f Nutrition Education Collaborative</t>
  </si>
  <si>
    <t>STR 5g Food Bank Development</t>
  </si>
  <si>
    <t>STR 5h Domestic Violence Court Development</t>
  </si>
  <si>
    <t>STR 5i Drug Court Development</t>
  </si>
  <si>
    <t>STR 5j Alternative Energy Source Development</t>
  </si>
  <si>
    <t>STR 5k Develop or Maintain a Health Clinic</t>
  </si>
  <si>
    <t>STR 5l Health and Social/Behavioral Development Policy Changes</t>
  </si>
  <si>
    <t>STR 5m Health and Social/Behavioral Development Legislative Changes</t>
  </si>
  <si>
    <t>STR 5n Other Health and Social/Behavioral Development Strategy: (please specify)</t>
  </si>
  <si>
    <t xml:space="preserve">STR 6 G2a Development of Health and Social Service Provider Partnerships </t>
  </si>
  <si>
    <t>STR 6 G2b Recruiting and Coordinating Community Volunteers</t>
  </si>
  <si>
    <t>STR 6 G2c Poverty Simulations</t>
  </si>
  <si>
    <t>STR 6 G2d Attract Capital Investments</t>
  </si>
  <si>
    <t xml:space="preserve">STR 6 G2e Build/Support Increased Equity </t>
  </si>
  <si>
    <t xml:space="preserve">STR 6 G2f Equity Awareness Campaign </t>
  </si>
  <si>
    <t xml:space="preserve">STR 6 G3d Campaign for Volunteer Placement and Coordination </t>
  </si>
  <si>
    <t>STR 6 G3e Civic Engagement Policy Changes </t>
  </si>
  <si>
    <t>STR 6 G3f Civic Engagement Legislative Changes </t>
  </si>
  <si>
    <t>STR 6 G3g Other Civic Engagement and Community Involvement Strategy: (please specify)</t>
  </si>
  <si>
    <t>STR 7a Off-Hours (Non-Traditional Hours) Child Care Development</t>
  </si>
  <si>
    <t>STR 7b Transportation System Development</t>
  </si>
  <si>
    <t>STR 7c Transportation Services Coordination and Support</t>
  </si>
  <si>
    <t>STR 7d Community Support Policy Changes</t>
  </si>
  <si>
    <t>STR 7e Community Support Legislative Changes </t>
  </si>
  <si>
    <t>STR 7f Other Community Support Strategy: (please specify)</t>
  </si>
  <si>
    <t>STR 8a State or Local Emergency Management Board Enhancement</t>
  </si>
  <si>
    <t>STR 8c Disaster Preparation Planning</t>
  </si>
  <si>
    <t>STR 8d Emergency Management Policy Changes</t>
  </si>
  <si>
    <t>STR 8e Emergency Management Legislative Changes </t>
  </si>
  <si>
    <t>STR 8f Other Emergency Management Strategy: (please specify)</t>
  </si>
  <si>
    <t>Infrastructure Asset</t>
  </si>
  <si>
    <t>M3A5fCivicEng</t>
  </si>
  <si>
    <t>County</t>
  </si>
  <si>
    <t>M3B1aJobIncrOppResults</t>
  </si>
  <si>
    <t>M3B1bJobOppMainResults</t>
  </si>
  <si>
    <t>M3B1cLivWageCreateResults</t>
  </si>
  <si>
    <t>M3B1dLivWageMainResults</t>
  </si>
  <si>
    <t>M3B1eBenPackResults</t>
  </si>
  <si>
    <t>M3B1z1OtherEmploy1Name,M3B1z2OtherEmploy2Name,M3B1z3OtherEmploy3Name</t>
  </si>
  <si>
    <t>M3B1fUnemployRateResults</t>
  </si>
  <si>
    <t>M3B1gYouthUnemployRateResults</t>
  </si>
  <si>
    <t>M3B1hUnderemployRateResults</t>
  </si>
  <si>
    <t>M3B1z4OtherEmploy4Name,M3B1z5OtherEmploy5Name,M3B1z6OtherEmploy6Name</t>
  </si>
  <si>
    <t>M3B1aJobIncrOppTarget</t>
  </si>
  <si>
    <t>M3B1bJobOppMainTarget</t>
  </si>
  <si>
    <t>M3B1cLivWageCreateTarget</t>
  </si>
  <si>
    <t>M3B1dLivWageMainTarget</t>
  </si>
  <si>
    <t>M3B1eBenPackTarget</t>
  </si>
  <si>
    <t>M3B1fUnemployRateBaseline</t>
  </si>
  <si>
    <t>M3B1fUnemployRateTarget</t>
  </si>
  <si>
    <t>M3B1gYouthUnemployRateBaseline</t>
  </si>
  <si>
    <t>M3B1gYouthUnemployRateTarget</t>
  </si>
  <si>
    <t>M3B1hUnderemployRateBaseline</t>
  </si>
  <si>
    <t>M3B1hUnderemployRateTarget</t>
  </si>
  <si>
    <t>M3B1z1OtherEmploy1Results</t>
  </si>
  <si>
    <t>M3B1z1OtherEmploy1Name</t>
  </si>
  <si>
    <t>M3B1z1OtherEmploy1Target</t>
  </si>
  <si>
    <t>M3B1z2OtherEmploy2Results</t>
  </si>
  <si>
    <t>M3B1z2OtherEmploy2Name</t>
  </si>
  <si>
    <t>M3B1z2OtherEmploy2Target</t>
  </si>
  <si>
    <t>M3B1z3OtherEmploy3Results</t>
  </si>
  <si>
    <t>M3B1z3OtherEmploy3Name</t>
  </si>
  <si>
    <t>M3B1z3OtherEmploy3Target</t>
  </si>
  <si>
    <t>M3B1z4OtherEmploy4Results</t>
  </si>
  <si>
    <t>M3B1z4OtherEmploy4Baseline</t>
  </si>
  <si>
    <t>M3B1z4OtherEmploy4Name</t>
  </si>
  <si>
    <t>M3B1z4OtherEmploy4Target</t>
  </si>
  <si>
    <t>M3B1z5OtherEmploy5Results</t>
  </si>
  <si>
    <t>M3B1z5OtherEmploy5Baseline</t>
  </si>
  <si>
    <t>M3B1z5OtherEmploy5Name</t>
  </si>
  <si>
    <t>M3B1z5OtherEmploy5Target</t>
  </si>
  <si>
    <t>M3B1z6OtherEmploy6Results</t>
  </si>
  <si>
    <t>M3B1z6OtherEmploy6Baseline</t>
  </si>
  <si>
    <t>M3B1z6OtherEmploy6Name</t>
  </si>
  <si>
    <t>M3B1z6OtherEmploy6Target</t>
  </si>
  <si>
    <t>M3B1aJobIncrOppAccuracy</t>
  </si>
  <si>
    <t>M3B1bJobOppMainAccuracy</t>
  </si>
  <si>
    <t>M3B1cLivWageCreateAccuracy</t>
  </si>
  <si>
    <t>M3B1dLivWageMainAccuracy</t>
  </si>
  <si>
    <t>M3B1eBenPackAccuracy</t>
  </si>
  <si>
    <t>M3B1fUnemployRateExpectChng</t>
  </si>
  <si>
    <t>M3B1fUnemployRateActualChng</t>
  </si>
  <si>
    <t>M3B1fUnemployRateAccuracy</t>
  </si>
  <si>
    <t>M3B1gYouthUnemployRateExpectChng</t>
  </si>
  <si>
    <t>M3B1gYouthUnemployRateActualChng</t>
  </si>
  <si>
    <t>M3B1gYouthUnemployRateAccuracy</t>
  </si>
  <si>
    <t>M3B1hUnderemployRateExpectChng</t>
  </si>
  <si>
    <t>M3B1hUnderemployRateActualChng</t>
  </si>
  <si>
    <t>M3B1hUnderemployRateAccuracy</t>
  </si>
  <si>
    <t>M3B1z1OtherEmploy1Accuracy</t>
  </si>
  <si>
    <t>M3B1z2OtherEmploy2Accuracy</t>
  </si>
  <si>
    <t>M3B1z3OtherEmploy3Accuracy</t>
  </si>
  <si>
    <t>M3B1z4OtherEmploy4ExpectChng</t>
  </si>
  <si>
    <t>M3B1z4OtherEmploy4ActualChng</t>
  </si>
  <si>
    <t>M3B1z4OtherEmploy4Accuracy</t>
  </si>
  <si>
    <t>M3B1z5OtherEmploy5ExpectChng</t>
  </si>
  <si>
    <t>M3B1z5OtherEmploy5ActualChng</t>
  </si>
  <si>
    <t>M3B1z5OtherEmploy5Accuracy</t>
  </si>
  <si>
    <t>M3B1z6OtherEmploy6ExpectChng</t>
  </si>
  <si>
    <t>M3B1z6OtherEmploy6ActualChng</t>
  </si>
  <si>
    <t>M3B1z6OtherEmploy6Accuracy</t>
  </si>
  <si>
    <t>M3B2aPreSchoolAccuracy</t>
  </si>
  <si>
    <t>M3B2bAffordCareAccuracy</t>
  </si>
  <si>
    <t>M3B2cScreeningsAccuracy</t>
  </si>
  <si>
    <t>M3B2dSchoolAgeAccuracy</t>
  </si>
  <si>
    <t>M3B2ePostSecondaryAccuracy</t>
  </si>
  <si>
    <t>M3B2fBasicEdAccuracy</t>
  </si>
  <si>
    <t>M3B2gKindReadyExpectChng</t>
  </si>
  <si>
    <t>M3B2gKindReadyActualChng</t>
  </si>
  <si>
    <t>M3B2gKindReadyAccuracy</t>
  </si>
  <si>
    <t>M3B2hBasicReadLvlExpectChng</t>
  </si>
  <si>
    <t>M3B2hBasicReadLvlActualChng</t>
  </si>
  <si>
    <t>M3B2hBasicReadLvlAccuracy</t>
  </si>
  <si>
    <t>M3B2iBasicMathLvlExpectChng</t>
  </si>
  <si>
    <t>M3B2iBasicMathLvlActualChng</t>
  </si>
  <si>
    <t>M3B2iBasicMathLvlAccuracy</t>
  </si>
  <si>
    <t>M3B2jGradRateExpectChng</t>
  </si>
  <si>
    <t>M3B2jGradRateActualChng</t>
  </si>
  <si>
    <t>M3B2jGradRateAccuracy</t>
  </si>
  <si>
    <t>M3B2kYouthPostSecAttendExpectChng</t>
  </si>
  <si>
    <t>M3B2kYouthPostSecAttendActualChng</t>
  </si>
  <si>
    <t>M3B2kYouthPostSecAttendAccuracy</t>
  </si>
  <si>
    <t>M3B2lYouthPostSecGradExpectChng</t>
  </si>
  <si>
    <t>M3B2lYouthPostSecGradActualChng</t>
  </si>
  <si>
    <t>M3B2lYouthPostSecGradAccuracy</t>
  </si>
  <si>
    <t>M3B2mAdultPostSecAttendExpectChng</t>
  </si>
  <si>
    <t>M3B2mAdultPostSecAttendActualChng</t>
  </si>
  <si>
    <t>M3B2mAdultPostSecAttendAccuracy</t>
  </si>
  <si>
    <t>M3B2nAdultPostSecGradExpectChng</t>
  </si>
  <si>
    <t>M3B2nAdultPostSecGradActualChng</t>
  </si>
  <si>
    <t>M3B2nAdultPostSecGradAccuracy</t>
  </si>
  <si>
    <t>M3B2oLitRateExpectChng</t>
  </si>
  <si>
    <t>M3B2oLitRateActualChng</t>
  </si>
  <si>
    <t>M3B2oLitRateAccuracy</t>
  </si>
  <si>
    <t>M3B2z1OtherEdCogDev1Accuracy</t>
  </si>
  <si>
    <t>M3B2z2OtherEdCogDev2Accuracy</t>
  </si>
  <si>
    <t>M3B2z3OtherEdCogDev3Accuracy</t>
  </si>
  <si>
    <t>M3B2z4OtherEdCogDev4ExpectChng</t>
  </si>
  <si>
    <t>M3B2z4OtherEdCogDev4ActualChng</t>
  </si>
  <si>
    <t>M3B2z4OtherEdCogDev4Accuracy</t>
  </si>
  <si>
    <t>M3B2z5OtherEdCogDev5ExpectChng</t>
  </si>
  <si>
    <t>M3B2z5OtherEdCogDev5ActualChng</t>
  </si>
  <si>
    <t>M3B2z5OtherEdCogDev5Accuracy</t>
  </si>
  <si>
    <t>M3B2z6OtherEdCogDev6ExpectChng</t>
  </si>
  <si>
    <t>M3B2z6OtherEdCogDev6ActualChng</t>
  </si>
  <si>
    <t>M3B2z6OtherEdCogDev6Accuracy</t>
  </si>
  <si>
    <t>M3B3a1CommercialAccuracy</t>
  </si>
  <si>
    <t>M3B3a2FinancialAccuracy</t>
  </si>
  <si>
    <t>M3B3a3TechCommAccuracy</t>
  </si>
  <si>
    <t>M3B3a4TransportationAccuracy</t>
  </si>
  <si>
    <t>M3B3a5RecreationalAccuracy</t>
  </si>
  <si>
    <t>M3B3a6OtherPublicAccuracy</t>
  </si>
  <si>
    <t>M3B3b1CommercialAccuracy</t>
  </si>
  <si>
    <t>M3B3b2FinancialAccuracy</t>
  </si>
  <si>
    <t>M3B3b3TechCommAccuracy</t>
  </si>
  <si>
    <t>M3B3b4TransportationAccuracy</t>
  </si>
  <si>
    <t>M3B3b5RecreationalAccuracy</t>
  </si>
  <si>
    <t>M3B3b6OtherPublicAccuracy</t>
  </si>
  <si>
    <t>M3B3cAbandonBuildExpectChng</t>
  </si>
  <si>
    <t>M3B3cAbandonBuildActualChng</t>
  </si>
  <si>
    <t>M3B3cAbandonBuildAccuracy</t>
  </si>
  <si>
    <t>M3B3dEmerRespTimeExpectChng</t>
  </si>
  <si>
    <t>M3B3dEmerRespTimeActualChng</t>
  </si>
  <si>
    <t>M3B3dEmerRespTimeAccuracy</t>
  </si>
  <si>
    <t>M3B3ePredLendExpectChng</t>
  </si>
  <si>
    <t>M3B3ePredLendActualChng</t>
  </si>
  <si>
    <t>M3B3ePredLendAccuracy</t>
  </si>
  <si>
    <t>M3B3fEnvirThreatExpectChng</t>
  </si>
  <si>
    <t>M3B3fEnvirThreatActualChng</t>
  </si>
  <si>
    <t>M3B3fEnvirThreatAccuracy</t>
  </si>
  <si>
    <t>M3B3gTransportServiceExpectChng</t>
  </si>
  <si>
    <t>M3B3gTransportServiceActualChng</t>
  </si>
  <si>
    <t>M3B3gTransportServiceAccuracy</t>
  </si>
  <si>
    <t>M3B3z1OtherInfraAsset1Accuracy</t>
  </si>
  <si>
    <t>M3B3z2OtherInfraAsset2Accuracy</t>
  </si>
  <si>
    <t>M3B3z3OtherInfraAsset3Accuracy</t>
  </si>
  <si>
    <t>M3B3z4OtherInfraAsset4ExpectChng</t>
  </si>
  <si>
    <t>M3B3z4OtherInfraAsset4ActualChng</t>
  </si>
  <si>
    <t>M3B3z4OtherInfraAsset4Accuracy</t>
  </si>
  <si>
    <t>M3B3z5OtherInfraAsset5ExpectChng</t>
  </si>
  <si>
    <t>M3B3z5OtherInfraAsset5ActualChng</t>
  </si>
  <si>
    <t>M3B3z5OtherInfraAsset5Accuracy</t>
  </si>
  <si>
    <t>M3B3z6OtherInfraAsset6ExpectChng</t>
  </si>
  <si>
    <t>M3B3z6OtherInfraAsset6ActualChng</t>
  </si>
  <si>
    <t>M3B3z6OtherInfraAsset6Accuracy</t>
  </si>
  <si>
    <t>M3B4aSafeHousDevAccuracy</t>
  </si>
  <si>
    <t>M3B4bSafeHousMainAccuracy</t>
  </si>
  <si>
    <t>M3B4cShelterBedCreateAccuracy</t>
  </si>
  <si>
    <t>M3B4dShelterBedMainAccuracy</t>
  </si>
  <si>
    <t>M3B4eHomelessExpectChng</t>
  </si>
  <si>
    <t>M3B4eHomelessActualChng</t>
  </si>
  <si>
    <t>M3B4eHomelessAccuracy</t>
  </si>
  <si>
    <t>M3B4fForecloseRateExpectChng</t>
  </si>
  <si>
    <t>M3B4fForecloseRateActualChng</t>
  </si>
  <si>
    <t>M3B4fForecloseRateAccuracy</t>
  </si>
  <si>
    <t>M3B4gHomeOwnExpectChng</t>
  </si>
  <si>
    <t>M3B4gHomeOwnActualChng</t>
  </si>
  <si>
    <t>M3B4gHomeOwnAccuracy</t>
  </si>
  <si>
    <t>M3B4hAffordHouseExpectChng</t>
  </si>
  <si>
    <t>M3B4hAffordHouseActualChng</t>
  </si>
  <si>
    <t>M3B4hAffordHouseAccuracy</t>
  </si>
  <si>
    <t>M3B4iShelterBedExpectChng</t>
  </si>
  <si>
    <t>M3B4iShelterBedActualChng</t>
  </si>
  <si>
    <t>M3B4iShelterBedAccuracy</t>
  </si>
  <si>
    <t>M3B4z1OtherHousing1Accuracy</t>
  </si>
  <si>
    <t>M3B4z2OtherHousing2Accuracy</t>
  </si>
  <si>
    <t>M3B4z3OtherHousing3Accuracy</t>
  </si>
  <si>
    <t>M3B4z4OtherHousing4ExpectChng</t>
  </si>
  <si>
    <t>M3B4z4OtherHousing4ActualChng</t>
  </si>
  <si>
    <t>M3B4z4OtherHousing4Accuracy</t>
  </si>
  <si>
    <t>M3B4z5OtherHousing5ExpectChng</t>
  </si>
  <si>
    <t>M3B4z5OtherHousing5ActualChng</t>
  </si>
  <si>
    <t>M3B4z5OtherHousing5Accuracy</t>
  </si>
  <si>
    <t>M3B4z6OtherHousing6ExpectChng</t>
  </si>
  <si>
    <t>M3B4z6OtherHousing6ActualChng</t>
  </si>
  <si>
    <t>M3B4z6OtherHousing6Accuracy</t>
  </si>
  <si>
    <t>M3B5aPhysHealthAccuracy</t>
  </si>
  <si>
    <t>M3B5bMentHealthAccuracy</t>
  </si>
  <si>
    <t>M3B5cPubSafeAccuracy</t>
  </si>
  <si>
    <t>M3B5dFoodResourceAccuracy</t>
  </si>
  <si>
    <t>M3B5eCommRelAccuracy</t>
  </si>
  <si>
    <t>M3B5fMortRateExpectChng</t>
  </si>
  <si>
    <t>M3B5fMortRateActualChng</t>
  </si>
  <si>
    <t>M3B5fMortRateAccuracy</t>
  </si>
  <si>
    <t>M3B5gChildObesRateExpectChng</t>
  </si>
  <si>
    <t>M3B5gChildObesRateActualChng</t>
  </si>
  <si>
    <t>M3B5gChildObesRateAccuracy</t>
  </si>
  <si>
    <t>M3B5hAdultObesRateExpectChng</t>
  </si>
  <si>
    <t>M3B5hAdultObesRateActualChng</t>
  </si>
  <si>
    <t>M3B5hAdultObesRateAccuracy</t>
  </si>
  <si>
    <t>M3B5iImmunRateExpectChng</t>
  </si>
  <si>
    <t>M3B5iImmunRateActualChng</t>
  </si>
  <si>
    <t>M3B5iImmunRateAccuracy</t>
  </si>
  <si>
    <t>M3B5jUninsuredFamExpectChng</t>
  </si>
  <si>
    <t>M3B5jUninsuredFamActualChng</t>
  </si>
  <si>
    <t>M3B5jUninsuredFamAccuracy</t>
  </si>
  <si>
    <t>M3B5kTeenPregExpectChng</t>
  </si>
  <si>
    <t>M3B5kTeenPregActualChng</t>
  </si>
  <si>
    <t>M3B5kTeenPregAccuracy</t>
  </si>
  <si>
    <t>M3B5lUnplanPregExpectChng</t>
  </si>
  <si>
    <t>M3B5lUnplanPregActualChng</t>
  </si>
  <si>
    <t>M3B5lUnplanPregAccuracy</t>
  </si>
  <si>
    <t>M3B5mSubAbuseExpectChng</t>
  </si>
  <si>
    <t>M3B5mSubAbuseActualChng</t>
  </si>
  <si>
    <t>M3B5mSubAbuseAccuracy</t>
  </si>
  <si>
    <t>M3B5nDomViolenceExpectChng</t>
  </si>
  <si>
    <t>M3B5nDomViolenceActualChng</t>
  </si>
  <si>
    <t>M3B5nDomViolenceAccuracy</t>
  </si>
  <si>
    <t>M3B5oChildAbuseExpectChng</t>
  </si>
  <si>
    <t>M3B5oChildAbuseActualChng</t>
  </si>
  <si>
    <t>M3B5oChildAbuseAccuracy</t>
  </si>
  <si>
    <t>M3B5pChildNeglectExpectChng</t>
  </si>
  <si>
    <t>M3B5pChildNeglectActualChng</t>
  </si>
  <si>
    <t>M3B5pChildNeglectAccuracy</t>
  </si>
  <si>
    <t>M3B5qElderAbuseExpectChng</t>
  </si>
  <si>
    <t>M3B5qElderAbuseActualChng</t>
  </si>
  <si>
    <t>M3B5qElderAbuseAccuracy</t>
  </si>
  <si>
    <t>M3B5rElderNeglectExpectChng</t>
  </si>
  <si>
    <t>M3B5rElderNeglectActualChng</t>
  </si>
  <si>
    <t>M3B5rElderNeglectAccuracy</t>
  </si>
  <si>
    <t>M3B5sRecidivismExpectChng</t>
  </si>
  <si>
    <t>M3B5sRecidivismActualChng</t>
  </si>
  <si>
    <t>M3B5sRecidivismAccuracy</t>
  </si>
  <si>
    <t>M3B5tNonViolCrimeExpectChng</t>
  </si>
  <si>
    <t>M3B5tNonViolCrimeActualChng</t>
  </si>
  <si>
    <t>M3B5tNonViolCrimeAccuracy</t>
  </si>
  <si>
    <t>M3B5uViolCrimeExpectChng</t>
  </si>
  <si>
    <t>M3B5uViolCrimeActualChng</t>
  </si>
  <si>
    <t>M3B5uViolCrimeAccuracy</t>
  </si>
  <si>
    <t>M3B5vJuvenileCourtExpectChng</t>
  </si>
  <si>
    <t>M3B5vJuvenileCourtActualChng</t>
  </si>
  <si>
    <t>M3B5vJuvenileCourtAccuracy</t>
  </si>
  <si>
    <t>M3B5z1OtherHealthSoc1Accuracy</t>
  </si>
  <si>
    <t>M3B5z2OtherHealthSoc2Accuracy</t>
  </si>
  <si>
    <t>M3B5z3OtherHealthSoc3Accuracy</t>
  </si>
  <si>
    <t>M3B5z4OtherHealthSoc4ExpectChng</t>
  </si>
  <si>
    <t>M3B5z4OtherHealthSoc4ActualChng</t>
  </si>
  <si>
    <t>M3B5z4OtherHealthSoc4Accuracy</t>
  </si>
  <si>
    <t>M3B5z5OtherHealthSoc5ExpectChng</t>
  </si>
  <si>
    <t>M3B5z5OtherHealthSoc5ActualChng</t>
  </si>
  <si>
    <t>M3B5z5OtherHealthSoc5Accuracy</t>
  </si>
  <si>
    <t>M3B5z6OtherHealthSoc6ExpectChng</t>
  </si>
  <si>
    <t>M3B5z6OtherHealthSoc6ActualChng</t>
  </si>
  <si>
    <t>M3B5z6OtherHealthSoc6Accuracy</t>
  </si>
  <si>
    <t>M3B6G2aDonatedTimeExpectChng</t>
  </si>
  <si>
    <t>M3B6G2aDonatedTimeActualChng</t>
  </si>
  <si>
    <t>M3B6G2aDonatedTimeAccuracy</t>
  </si>
  <si>
    <t>M3B6G2bDonatedResourcesExpectChng</t>
  </si>
  <si>
    <t>M3B6G2bDonatedResourcesActualChng</t>
  </si>
  <si>
    <t>M3B6G2bDonatedResourcesAccuracy</t>
  </si>
  <si>
    <t>M3B6G2cPeoplePartExpectChng</t>
  </si>
  <si>
    <t>M3B6G2cPeoplePartActualChng</t>
  </si>
  <si>
    <t>M3B6G2cPeoplePartAccuracy</t>
  </si>
  <si>
    <t>M3B6G2z1OtherCivicEngG21ExpectChng</t>
  </si>
  <si>
    <t>M3B6G2z1OtherCivicEngG21ActualChng</t>
  </si>
  <si>
    <t>M3B6G2z1OtherCivicEngG21Accuracy</t>
  </si>
  <si>
    <t>M3B6G2z2OtherCivicEngG22ExpectChng</t>
  </si>
  <si>
    <t>M3B6G2z2OtherCivicEngG22ActualChng</t>
  </si>
  <si>
    <t>M3B6G2z2OtherCivicEngG22Accuracy</t>
  </si>
  <si>
    <t>M3B6G2z3OtherCivicEngG23ExpectChng</t>
  </si>
  <si>
    <t>M3B6G2z3OtherCivicEngG23ActualChng</t>
  </si>
  <si>
    <t>M3B6G2z3OtherCivicEngG23Accuracy</t>
  </si>
  <si>
    <t>M3B6G3aSuppImplExpectChng</t>
  </si>
  <si>
    <t>M3B6G3aSuppImplActualChng</t>
  </si>
  <si>
    <t>M3B6G3aSuppImplAccuracy</t>
  </si>
  <si>
    <t>M3B6G3bLeadRoleExpectChng</t>
  </si>
  <si>
    <t>M3B6G3bLeadRoleActualChng</t>
  </si>
  <si>
    <t>M3B6G3bLeadRoleAccuracy</t>
  </si>
  <si>
    <t>M3B6G3z1OtherCivicEngG31ExpectChng</t>
  </si>
  <si>
    <t>M3B6G3z1OtherCivicEngG31ActualChng</t>
  </si>
  <si>
    <t>M3B6G3z1OtherCivicEngG31Accuracy</t>
  </si>
  <si>
    <t>M3B6G3z2OtherCivicEngG32ExpectChng</t>
  </si>
  <si>
    <t>M3B6G3z2OtherCivicEngG32ActualChng</t>
  </si>
  <si>
    <t>M3B6G3z2OtherCivicEngG32Accuracy</t>
  </si>
  <si>
    <t>M3B6G3z3OtherCivicEngG33ExpectChng</t>
  </si>
  <si>
    <t>M3B6G3z3OtherCivicEngG33ActualChng</t>
  </si>
  <si>
    <t>M3B6G3z3OtherCivicEngG33Accuracy</t>
  </si>
  <si>
    <t>leadAgency</t>
  </si>
  <si>
    <t xml:space="preserve">Name of CSBG Eligible Entity: </t>
  </si>
  <si>
    <t>Farmers Market or Community Garden Development</t>
  </si>
  <si>
    <t>Community-wide Emergency Disaster Relief Service Creation</t>
  </si>
  <si>
    <t>To enter data into text fields on the left-hand side of the screen  (Items 3, 4, 10, 13, and 16), select the field (e.g. cell C8) and then click the "Edit" button, below. A text box will pop-up. Enter your narrative data into the pop-up.</t>
  </si>
  <si>
    <t>Module 3, Section B: Community National Performance Indicators (CNPIs) - Data Entry Form</t>
  </si>
  <si>
    <t>Community Level National Performance Indicators (CNPIs)
(Reference the Community NPIs listed in Section B)</t>
  </si>
  <si>
    <t xml:space="preserve">CNPI 1d Number of “living wage” jobs maintained in the identified community. </t>
  </si>
  <si>
    <t>CNPI 2j Percent increase in high school (or high school equivalency) graduation rate in the identified community.</t>
  </si>
  <si>
    <t>CNPI 2k Percent increase of the rate of youth in the identified community who attend post-secondary education.</t>
  </si>
  <si>
    <t>CNPI 2n Percent increase of adults in the identified community who graduate from post-secondary education.</t>
  </si>
  <si>
    <t xml:space="preserve">CNPI 2o Percent increase in the adult literacy rate in the identified community. </t>
  </si>
  <si>
    <t>CNPI 3a.3 Technological/Communications (e.g. broadband)</t>
  </si>
  <si>
    <t>CNPI 3b.3 Technological/Communications (e.g. broadband)</t>
  </si>
  <si>
    <t>Infrastructure and Asset Building (check all CNPIs for which CAA has outcomes to report)</t>
  </si>
  <si>
    <t>Education and Cognitive Development (check all CNPIs for which CAA has outcomes to report)</t>
  </si>
  <si>
    <r>
      <rPr>
        <sz val="14"/>
        <color indexed="8"/>
        <rFont val="Calibri"/>
        <family val="2"/>
      </rPr>
      <t>Employment</t>
    </r>
    <r>
      <rPr>
        <sz val="16"/>
        <color indexed="8"/>
        <rFont val="Calibri"/>
        <family val="2"/>
      </rPr>
      <t xml:space="preserve"> </t>
    </r>
    <r>
      <rPr>
        <sz val="10"/>
        <color indexed="8"/>
        <rFont val="Calibri"/>
        <family val="2"/>
      </rPr>
      <t>(check all CNPIs for which CAA has outcomes to report)</t>
    </r>
  </si>
  <si>
    <t xml:space="preserve">Housing (check all CNPIs for which CAA has outcomes to report) </t>
  </si>
  <si>
    <t xml:space="preserve">CNPI 4b Number of safe and affordable housing units maintained and/or improved through WAP or other rehabilitation efforts in the identified community. </t>
  </si>
  <si>
    <t>Health and Social/Behavioral (check all CNPIs for which CAA has outcomes to report)</t>
  </si>
  <si>
    <t xml:space="preserve">CNPI 5m Percent decrease in substance abuse rate in the identified community (e.g. cigarettes, prescription drugs, narcotics, alcohol). </t>
  </si>
  <si>
    <t>Civic Engagement and Community Involvement - Goal 3: People with low incomes are engaged and active in building opportunities in communities.</t>
  </si>
  <si>
    <t>STR 3h Community-wide Data Collection Systems Development</t>
  </si>
  <si>
    <t>STR 4c New Affordable Multi-Unit Housing Creation (Single Resident Occupancy (SRO), temporary housing, transitional housing)</t>
  </si>
  <si>
    <t>STR 5b Farmers Market or Community Garden Development</t>
  </si>
  <si>
    <t xml:space="preserve">STR 6 G3a Empowerment of Individuals/Families with Low Incomes </t>
  </si>
  <si>
    <t xml:space="preserve">STR 6 G3b Campaign to Ensure Individuals with Low Incomes are Represented on Local Governing Bodies </t>
  </si>
  <si>
    <t>STR 6 G3c Social Capital Building Campaign for Individuals/Families with Low Incomes</t>
  </si>
  <si>
    <t>STR 8b Community-wide Emergency Disaster Relief Service Creation</t>
  </si>
  <si>
    <t>183860386</t>
  </si>
  <si>
    <t>Alabama</t>
  </si>
  <si>
    <t>="XML Export Map"!$D$4</t>
  </si>
  <si>
    <t>Alabama Council on Human Relations, Inc.</t>
  </si>
  <si>
    <t>Module 3, Section B: Community National Performance Indicators (NPIs) - Data Entry Form</t>
  </si>
  <si>
    <r>
      <t xml:space="preserve">The first way to report impact is the </t>
    </r>
    <r>
      <rPr>
        <b/>
        <sz val="12"/>
        <color theme="1"/>
        <rFont val="Calibri"/>
        <family val="2"/>
      </rPr>
      <t>Counts of Change</t>
    </r>
    <r>
      <rPr>
        <sz val="12"/>
        <color theme="1"/>
        <rFont val="Calibri"/>
        <family val="2"/>
      </rPr>
      <t xml:space="preserve"> indicators. These are basic measures that provide the number of units being measured, e.g. jobs, houses, resources, etc. that have been added (created) or subtracted (eliminated), and in some cases maintained, in the community the CSBG Eligible Entity has targeted.   </t>
    </r>
  </si>
  <si>
    <r>
      <t xml:space="preserve">The second way to report impact is the </t>
    </r>
    <r>
      <rPr>
        <b/>
        <sz val="12"/>
        <color theme="1"/>
        <rFont val="Calibri"/>
        <family val="2"/>
      </rPr>
      <t xml:space="preserve">Rates of Change </t>
    </r>
    <r>
      <rPr>
        <sz val="12"/>
        <color theme="1"/>
        <rFont val="Calibri"/>
        <family val="2"/>
      </rPr>
      <t xml:space="preserve">indicators. While requiring a bit more information, these indicators tell the full story of the </t>
    </r>
    <r>
      <rPr>
        <i/>
        <sz val="12"/>
        <color theme="1"/>
        <rFont val="Calibri"/>
        <family val="2"/>
      </rPr>
      <t>magnitude of the impact</t>
    </r>
    <r>
      <rPr>
        <sz val="12"/>
        <color theme="1"/>
        <rFont val="Calibri"/>
        <family val="2"/>
      </rPr>
      <t xml:space="preserve">a community initiative (usually involving multiple organizations) has had in a community.  </t>
    </r>
  </si>
  <si>
    <t>Reporting Status:</t>
  </si>
  <si>
    <t>Does this Include CSBG Funds</t>
  </si>
  <si>
    <t>M3IncludesCSBGFunds</t>
  </si>
  <si>
    <t>Does this Include CSBG Cares</t>
  </si>
  <si>
    <t>Does this Include CSBG Disaster</t>
  </si>
  <si>
    <t>Reporting Status</t>
  </si>
  <si>
    <t>M3IncludesCSBGCares</t>
  </si>
  <si>
    <t>M3IncludesCSBGDisaster</t>
  </si>
  <si>
    <t>M3ReportingStatus</t>
  </si>
  <si>
    <t>Yes</t>
  </si>
  <si>
    <t>No</t>
  </si>
  <si>
    <t>Previously Submitted</t>
  </si>
  <si>
    <t>New</t>
  </si>
  <si>
    <t>Yes_No</t>
  </si>
  <si>
    <t>Reporting_Status</t>
  </si>
  <si>
    <r>
      <rPr>
        <b/>
        <sz val="12"/>
        <rFont val="Calibri"/>
        <family val="2"/>
        <scheme val="minor"/>
      </rPr>
      <t xml:space="preserve">Section C: Community Strategies List </t>
    </r>
    <r>
      <rPr>
        <sz val="12"/>
        <rFont val="Calibri"/>
        <family val="2"/>
        <scheme val="minor"/>
      </rPr>
      <t xml:space="preserve">provides a basic identification of strategies, arranged by Domain and by topic area.  The list cannot be all-inclusive; as such, an “other” category is included.  This standardized list will aid in local and state analysis of the relationship between community-level strategies and outcomes. </t>
    </r>
  </si>
  <si>
    <r>
      <rPr>
        <b/>
        <sz val="12"/>
        <rFont val="Calibri"/>
        <family val="2"/>
        <scheme val="minor"/>
      </rPr>
      <t>Section B: Community NPIs Data Entry Form</t>
    </r>
    <r>
      <rPr>
        <sz val="12"/>
        <rFont val="Calibri"/>
        <family val="2"/>
        <scheme val="minor"/>
      </rPr>
      <t xml:space="preserve">  provides an opportunity for CSBG Eligible Entities to enter data for the community level outcomes reported in Section A, Line 14. Entities may select from the indicators outlined in this section, or create their own indicator if none of the provided indicators captures what the CSBG Eligible Entity is trying to achieve. To facilitate the reporting, use, and learning from Community NPIs the Annual Report provides two types of indicators (</t>
    </r>
    <r>
      <rPr>
        <b/>
        <sz val="12"/>
        <rFont val="Calibri"/>
        <family val="2"/>
        <scheme val="minor"/>
      </rPr>
      <t xml:space="preserve">Counts of Change </t>
    </r>
    <r>
      <rPr>
        <sz val="12"/>
        <rFont val="Calibri"/>
        <family val="2"/>
        <scheme val="minor"/>
      </rPr>
      <t>and</t>
    </r>
    <r>
      <rPr>
        <b/>
        <sz val="12"/>
        <rFont val="Calibri"/>
        <family val="2"/>
        <scheme val="minor"/>
      </rPr>
      <t xml:space="preserve"> Rates of Change</t>
    </r>
    <r>
      <rPr>
        <sz val="12"/>
        <rFont val="Calibri"/>
        <family val="2"/>
        <scheme val="minor"/>
      </rPr>
      <t>).</t>
    </r>
  </si>
  <si>
    <r>
      <rPr>
        <b/>
        <sz val="12"/>
        <rFont val="Calibri"/>
        <family val="2"/>
        <scheme val="minor"/>
      </rPr>
      <t>Section A: Community Initiatve Status Form</t>
    </r>
    <r>
      <rPr>
        <sz val="12"/>
        <rFont val="Calibri"/>
        <family val="2"/>
        <scheme val="minor"/>
      </rPr>
      <t xml:space="preserve"> is where CSBG Eligible Entities identify initiatives intended to achieve community level outcomes. This form provides a central place to report valuable information about a single community initiative that started, continued, or ended during the current reporting period. The information reported on the status form will be selected via a dropdown menu or written as a narrative.</t>
    </r>
  </si>
  <si>
    <r>
      <rPr>
        <b/>
        <sz val="11"/>
        <color theme="1"/>
        <rFont val="Calibri"/>
        <family val="2"/>
        <scheme val="minor"/>
      </rPr>
      <t>Other Counts of Change for Civic Engagement and Community Involvement Indicators - Goal 2 (CNPI 6 G2z)</t>
    </r>
    <r>
      <rPr>
        <sz val="9"/>
        <color theme="1"/>
        <rFont val="Calibri"/>
        <family val="2"/>
        <scheme val="minor"/>
      </rPr>
      <t xml:space="preserve">
</t>
    </r>
    <r>
      <rPr>
        <sz val="10"/>
        <color theme="1"/>
        <rFont val="Calibri"/>
        <family val="2"/>
        <scheme val="minor"/>
      </rPr>
      <t>- Please specify below.</t>
    </r>
  </si>
  <si>
    <r>
      <t>Other Counts of Change for Civic Engagement and Community Involvement Indicators - Goal 3 (CNPI 6 G3z)</t>
    </r>
    <r>
      <rPr>
        <sz val="11"/>
        <color theme="1"/>
        <rFont val="Calibri"/>
        <family val="2"/>
        <scheme val="minor"/>
      </rPr>
      <t xml:space="preserve">
</t>
    </r>
    <r>
      <rPr>
        <sz val="10"/>
        <color theme="1"/>
        <rFont val="Calibri"/>
        <family val="2"/>
        <scheme val="minor"/>
      </rPr>
      <t>- Please specify below.</t>
    </r>
  </si>
  <si>
    <t>M3B6G2z4OtherCivicEngG24Name</t>
  </si>
  <si>
    <t>M3B6G2z4OtherCivicEngG24Target</t>
  </si>
  <si>
    <t>M3B6G2z4OtherCivicEngG24Results</t>
  </si>
  <si>
    <t>M3B6G2z4OtherCivicEngG24Accuracy</t>
  </si>
  <si>
    <t>M3B6G2z5OtherCivicEngG25Name</t>
  </si>
  <si>
    <t>M3B6G2z5OtherCivicEngG25Target</t>
  </si>
  <si>
    <t>M3B6G2z5OtherCivicEngG25Results</t>
  </si>
  <si>
    <t>M3B6G2z5OtherCivicEngG25Accuracy</t>
  </si>
  <si>
    <t>M3B6G2z6OtherCivicEngG26Name</t>
  </si>
  <si>
    <t>M3B6G2z6OtherCivicEngG26Target</t>
  </si>
  <si>
    <t>M3B6G2z6OtherCivicEngG26Results</t>
  </si>
  <si>
    <t>M3B6G2z6OtherCivicEngG26Accuracy</t>
  </si>
  <si>
    <t>M3B6G3z4OtherCivicEngG34Name</t>
  </si>
  <si>
    <t>M3B6G3z4OtherCivicEngG34Target</t>
  </si>
  <si>
    <t>M3B6G3z4OtherCivicEngG34Results</t>
  </si>
  <si>
    <t>M3B6G3z4OtherCivicEngG34Accuracy</t>
  </si>
  <si>
    <t>M3B6G3z5OtherCivicEngG35Name</t>
  </si>
  <si>
    <t>M3B6G3z5OtherCivicEngG35Target</t>
  </si>
  <si>
    <t>M3B6G3z5OtherCivicEngG35Results</t>
  </si>
  <si>
    <t>M3B6G3z5OtherCivicEngG35Accuracy</t>
  </si>
  <si>
    <t>M3B6G3z6OtherCivicEngG36Name</t>
  </si>
  <si>
    <t>M3B6G3z6OtherCivicEngG36Target</t>
  </si>
  <si>
    <t>M3B6G3z6OtherCivicEngG36Results</t>
  </si>
  <si>
    <t>M3B6G3z6OtherCivicEngG36Accuracy</t>
  </si>
  <si>
    <t>CNPI 6 G2z Other Counts of Change for Civic Engagement and Community Involvement Indicators - Goal 2</t>
  </si>
  <si>
    <t>M3_A6_CIVG2_5</t>
  </si>
  <si>
    <t>M3B6G2z4OtherCivicEngG24Name,M3B6G2z5OtherCivicEngG25Name,M3B6G2z6OtherCivicEngG26Name</t>
  </si>
  <si>
    <t>M3_A6_CIVG3_4</t>
  </si>
  <si>
    <t>M3B6G3z4OtherCivicEngG34Name,M3B6G3z5OtherCivicEngG35Name,M3B6G3z6OtherCivicEngG36Name</t>
  </si>
  <si>
    <t>CNPI 6 G3z Other Counts of Change for Civic Engagement and Community Involvement Indicators - Goal 3</t>
  </si>
  <si>
    <t>D:\Work\NASCSP - SmartForms\SmartForms 2020-21\CSBG Annual Report Module 3.xml</t>
  </si>
  <si>
    <t>ACF</t>
  </si>
  <si>
    <t>CSBG</t>
  </si>
  <si>
    <t>="XML Export Map"!$D$7</t>
  </si>
  <si>
    <t>="XML Export Map"!$D$8</t>
  </si>
  <si>
    <t>="XML Export Map"!$D$10</t>
  </si>
  <si>
    <t>="XML Export Map"!$D$11</t>
  </si>
  <si>
    <t>="XML Export Map"!$D$12</t>
  </si>
  <si>
    <t>M3LeadAgency</t>
  </si>
  <si>
    <t>UEI:</t>
  </si>
  <si>
    <t>UEI Number</t>
  </si>
  <si>
    <t>M3UEI</t>
  </si>
  <si>
    <t>STR 6 G2e Coordinated Community-wide Needs Assessment</t>
  </si>
  <si>
    <t>STR 6 G2f Civic Engagement and Community Involvement in Advocacy Efforts</t>
  </si>
  <si>
    <t>STR 6 G2g Civic Engagement Policy Changes </t>
  </si>
  <si>
    <t>STR 6 G2h Civic Engagement Legislative Changes </t>
  </si>
  <si>
    <t>STR 6 G2i Other Civic Engagement and Community Involvement Strategy: (please specify)</t>
  </si>
  <si>
    <t xml:space="preserve">Education and Cognitive Development </t>
  </si>
  <si>
    <t>EMP</t>
  </si>
  <si>
    <t>EDU</t>
  </si>
  <si>
    <t>INF</t>
  </si>
  <si>
    <t>HOU</t>
  </si>
  <si>
    <t>HLTH</t>
  </si>
  <si>
    <t>Infrastructure and Asset Building</t>
  </si>
  <si>
    <t>Health and Social/Behavioral</t>
  </si>
  <si>
    <t xml:space="preserve"> </t>
  </si>
  <si>
    <t>On</t>
  </si>
  <si>
    <t>checkBoxValues</t>
  </si>
  <si>
    <t>hideShow</t>
  </si>
  <si>
    <t>cmdTable</t>
  </si>
  <si>
    <t>cmdSetting</t>
  </si>
  <si>
    <t>cbEMP</t>
  </si>
  <si>
    <t>cbHOU</t>
  </si>
  <si>
    <t>cbEDU</t>
  </si>
  <si>
    <t>cbINF</t>
  </si>
  <si>
    <t>cbHLTH</t>
  </si>
  <si>
    <t>cbCIVG</t>
  </si>
  <si>
    <t>CIVG</t>
  </si>
  <si>
    <t>cmdDisabled</t>
  </si>
  <si>
    <t>M3B2</t>
  </si>
  <si>
    <t>M3B1</t>
  </si>
  <si>
    <t>M3B6</t>
  </si>
  <si>
    <t>M3B5</t>
  </si>
  <si>
    <t>M3B4</t>
  </si>
  <si>
    <t>M3B3</t>
  </si>
  <si>
    <r>
      <t xml:space="preserve">II.)  Target 
</t>
    </r>
    <r>
      <rPr>
        <sz val="10"/>
        <rFont val="Calibri"/>
        <family val="2"/>
      </rPr>
      <t>(#)</t>
    </r>
  </si>
  <si>
    <r>
      <t xml:space="preserve">III.)  Actual Results
</t>
    </r>
    <r>
      <rPr>
        <sz val="10"/>
        <rFont val="Calibri"/>
        <family val="2"/>
      </rPr>
      <t>(#)</t>
    </r>
  </si>
  <si>
    <r>
      <t xml:space="preserve">IV.) Performance target accuracy 
</t>
    </r>
    <r>
      <rPr>
        <sz val="9"/>
        <rFont val="Calibri"/>
        <family val="2"/>
      </rPr>
      <t>(% auto calculated)</t>
    </r>
  </si>
  <si>
    <r>
      <t xml:space="preserve">Other Counts of Change for Employment Indicators (CNPI 1z) - </t>
    </r>
    <r>
      <rPr>
        <sz val="11"/>
        <rFont val="Calibri"/>
        <family val="2"/>
        <scheme val="minor"/>
      </rPr>
      <t>Please specify below.</t>
    </r>
  </si>
  <si>
    <r>
      <t xml:space="preserve">II.)  Target 
</t>
    </r>
    <r>
      <rPr>
        <sz val="9"/>
        <rFont val="Calibri"/>
        <family val="2"/>
      </rPr>
      <t>(#)</t>
    </r>
  </si>
  <si>
    <r>
      <t xml:space="preserve">III.)  Actual Results
</t>
    </r>
    <r>
      <rPr>
        <sz val="9"/>
        <rFont val="Calibri"/>
        <family val="2"/>
      </rPr>
      <t>(#)</t>
    </r>
  </si>
  <si>
    <r>
      <t xml:space="preserve">II.) Baseline </t>
    </r>
    <r>
      <rPr>
        <sz val="9"/>
        <rFont val="Calibri"/>
        <family val="2"/>
      </rPr>
      <t>existing starting point used for comparisons 
(%)</t>
    </r>
  </si>
  <si>
    <r>
      <t xml:space="preserve">III.)  Target 
</t>
    </r>
    <r>
      <rPr>
        <sz val="9"/>
        <rFont val="Calibri"/>
        <family val="2"/>
      </rPr>
      <t>(%)</t>
    </r>
  </si>
  <si>
    <r>
      <t>IV.)  Expected % change from baseline</t>
    </r>
    <r>
      <rPr>
        <sz val="9"/>
        <rFont val="Calibri"/>
        <family val="2"/>
      </rPr>
      <t xml:space="preserve"> 
(Target %  auto calculated) </t>
    </r>
  </si>
  <si>
    <r>
      <t xml:space="preserve">V.)  Actual Results
</t>
    </r>
    <r>
      <rPr>
        <sz val="9"/>
        <rFont val="Calibri"/>
        <family val="2"/>
      </rPr>
      <t>(%)</t>
    </r>
  </si>
  <si>
    <r>
      <t>VI.)  Actual % change from baseline</t>
    </r>
    <r>
      <rPr>
        <sz val="9"/>
        <rFont val="Calibri"/>
        <family val="2"/>
      </rPr>
      <t xml:space="preserve"> 
(% auto calculated) </t>
    </r>
  </si>
  <si>
    <r>
      <t xml:space="preserve">VII.) Performance target accuracy
</t>
    </r>
    <r>
      <rPr>
        <sz val="9"/>
        <rFont val="Calibri"/>
        <family val="2"/>
      </rPr>
      <t>(% auto calculated)</t>
    </r>
  </si>
  <si>
    <r>
      <rPr>
        <b/>
        <sz val="11"/>
        <rFont val="Calibri"/>
        <family val="2"/>
      </rPr>
      <t>Other Rates of Change for Employment Indicators (CNPI 1z)</t>
    </r>
    <r>
      <rPr>
        <sz val="11"/>
        <rFont val="Calibri"/>
        <family val="2"/>
        <scheme val="minor"/>
      </rPr>
      <t xml:space="preserve"> </t>
    </r>
    <r>
      <rPr>
        <sz val="9"/>
        <rFont val="Calibri"/>
        <family val="2"/>
      </rPr>
      <t xml:space="preserve">
</t>
    </r>
    <r>
      <rPr>
        <sz val="10"/>
        <rFont val="Calibri"/>
        <family val="2"/>
      </rPr>
      <t>- Please specify below.</t>
    </r>
  </si>
  <si>
    <t>COM</t>
  </si>
  <si>
    <t>EM</t>
  </si>
  <si>
    <t>M3A111i1EmployOtherText</t>
  </si>
  <si>
    <t>Depricated Fields</t>
  </si>
  <si>
    <t>Max length (memos)</t>
  </si>
  <si>
    <t>fieldNameCol</t>
  </si>
  <si>
    <t>Outcomes</t>
  </si>
  <si>
    <t>Strategies</t>
  </si>
  <si>
    <t>Reported</t>
  </si>
  <si>
    <t>Displayed Hint</t>
  </si>
  <si>
    <r>
      <t xml:space="preserve"> </t>
    </r>
    <r>
      <rPr>
        <sz val="12"/>
        <color theme="1"/>
        <rFont val="Aptos"/>
        <family val="2"/>
      </rPr>
      <t>Initiative Name should be unique and concise.</t>
    </r>
  </si>
  <si>
    <t>Clearly articulates a community level need. Include supporting data (baseline data, CAN data, other data sources).</t>
  </si>
  <si>
    <t>Goal and Agenda should define the ultimate outcome(s) the initiative seeks to achieve and should clearly relate to the problem described in Item A.3.</t>
  </si>
  <si>
    <t xml:space="preserve">Expected Duration reflects the timeframe (in years) needed to achieve the ultimate goal(s) described in Item A.4. </t>
  </si>
  <si>
    <t>List 1 to 3 key initiative partners, including how each is involved and the resources brought. Describes the role of the eligible entity, including any use of CSBG funds.</t>
  </si>
  <si>
    <t xml:space="preserve">Impact of Outcomes provides background, detail, and/or context to the numbers being reporting under Outcomes/Indicators that are reported in Item A.14. </t>
  </si>
  <si>
    <r>
      <t>Lessons Learned</t>
    </r>
    <r>
      <rPr>
        <i/>
        <sz val="12"/>
        <color theme="1"/>
        <rFont val="Aptos"/>
        <family val="2"/>
      </rPr>
      <t xml:space="preserve"> </t>
    </r>
    <r>
      <rPr>
        <sz val="12"/>
        <color theme="1"/>
        <rFont val="Aptos"/>
        <family val="2"/>
      </rPr>
      <t>defines</t>
    </r>
    <r>
      <rPr>
        <i/>
        <sz val="12"/>
        <color theme="1"/>
        <rFont val="Aptos"/>
        <family val="2"/>
      </rPr>
      <t xml:space="preserve"> </t>
    </r>
    <r>
      <rPr>
        <sz val="12"/>
        <color theme="1"/>
        <rFont val="Aptos"/>
        <family val="2"/>
      </rPr>
      <t>what</t>
    </r>
    <r>
      <rPr>
        <i/>
        <sz val="12"/>
        <color theme="1"/>
        <rFont val="Aptos"/>
        <family val="2"/>
      </rPr>
      <t xml:space="preserve"> </t>
    </r>
    <r>
      <rPr>
        <sz val="12"/>
        <color theme="1"/>
        <rFont val="Aptos"/>
        <family val="2"/>
      </rPr>
      <t>went (is going) well, barriers faced (being faced), and any significant findings or issues that occurred (are occurring).</t>
    </r>
  </si>
  <si>
    <t>Provide a narrative on any lessons learned during the implementation of the initiative.</t>
  </si>
  <si>
    <t>Provide a narrative on the outcomes’ scope of impact if interim or final outcomes are reported.</t>
  </si>
  <si>
    <t>Provide a brief narrative on 1 – 3 partners.</t>
  </si>
  <si>
    <t xml:space="preserve">Enter the number of years that the initiative is expected to operate. </t>
  </si>
  <si>
    <t>Min Height</t>
  </si>
  <si>
    <t>Hide if Empty</t>
  </si>
  <si>
    <t>M3_A11_CIVG2</t>
  </si>
  <si>
    <t>M3_A11_CIVG2_1</t>
  </si>
  <si>
    <t>M3_A11_CIVG2_2</t>
  </si>
  <si>
    <t>M3_A11_CIVG2_3</t>
  </si>
  <si>
    <t>M3_A11_CIVG2_4</t>
  </si>
  <si>
    <t>M3_A11_CIVG2_5</t>
  </si>
  <si>
    <t>M3_A11_CIVG2_6</t>
  </si>
  <si>
    <t>M3_A11_CIVG2_7</t>
  </si>
  <si>
    <t>M3_A11_CIVG2_8</t>
  </si>
  <si>
    <t>M3_A11_CIVG2_9</t>
  </si>
  <si>
    <t>M3_A11_CIVG2_10</t>
  </si>
  <si>
    <t>M3_A11_CIVG2_11</t>
  </si>
  <si>
    <t>M3_A11_CIVG2_11_Other</t>
  </si>
  <si>
    <t>M3_A11_CIVG3</t>
  </si>
  <si>
    <t>M3_A11_CIVG3_1</t>
  </si>
  <si>
    <t>M3_A11_CIVG3_2</t>
  </si>
  <si>
    <t>M3_A11_CIVG3_3</t>
  </si>
  <si>
    <t>M3_A11_CIVG3_4</t>
  </si>
  <si>
    <t>M3_A11_CIVG3_5</t>
  </si>
  <si>
    <t>M3_A11_CIVG3_6</t>
  </si>
  <si>
    <t>M3_A11_CIVG3_7</t>
  </si>
  <si>
    <t>M3_A11_CIVG3_7_Other</t>
  </si>
  <si>
    <t>Is Other Text</t>
  </si>
  <si>
    <t>Select the Reporting Status</t>
  </si>
  <si>
    <t>Select the Initiative Year</t>
  </si>
  <si>
    <t>Select the Identified Community</t>
  </si>
  <si>
    <t>Select the Partnership Type</t>
  </si>
  <si>
    <t>Select the Progress on Outcomes/Indicators</t>
  </si>
  <si>
    <t>Final_Status</t>
  </si>
  <si>
    <t>Select the Final Status</t>
  </si>
  <si>
    <t>Module 3, Section B. Community National Performance Indicators (Indicators)</t>
  </si>
  <si>
    <t>Employment Indicators (CNPI 1)</t>
  </si>
  <si>
    <t>CNPI 1</t>
  </si>
  <si>
    <t xml:space="preserve"> Counts of Change for Employment Indicators</t>
  </si>
  <si>
    <t>CNPI 1a</t>
  </si>
  <si>
    <t>Number of jobs created to increase opportunities for people with low incomes in the identified community.</t>
  </si>
  <si>
    <t>CNPI 1b</t>
  </si>
  <si>
    <t xml:space="preserve">Number of job opportunities maintained in the identified community.            </t>
  </si>
  <si>
    <t>CNPI 1c</t>
  </si>
  <si>
    <t>Number of “living wage ” jobs created in the identified community.</t>
  </si>
  <si>
    <t>CNPI 1d</t>
  </si>
  <si>
    <t xml:space="preserve">Number of “living wage”  jobs maintained in the  identified community. </t>
  </si>
  <si>
    <t>CNPI 1e</t>
  </si>
  <si>
    <t xml:space="preserve">Number of jobs created in the identified community with a benefit package. </t>
  </si>
  <si>
    <t>CNPI 1z</t>
  </si>
  <si>
    <t xml:space="preserve"> Other Counts of Change for Employment Indicators - Please specify below</t>
  </si>
  <si>
    <t>CNPI 1z.1</t>
  </si>
  <si>
    <t>CNPI 1z.2</t>
  </si>
  <si>
    <t>CNPI 1z.3</t>
  </si>
  <si>
    <t>Rates of Change for Employment Indicators</t>
  </si>
  <si>
    <t>CNPI 1f</t>
  </si>
  <si>
    <t>Percent decrease of the unemployment rate.</t>
  </si>
  <si>
    <t>CNPI 1g</t>
  </si>
  <si>
    <t>Percent decrease of the youth unemployment rate.</t>
  </si>
  <si>
    <t>CNPI 1h</t>
  </si>
  <si>
    <t>Percent decrease of the underemployment rate.</t>
  </si>
  <si>
    <t>Other Rates of Change for Employment Indicators</t>
  </si>
  <si>
    <t>CNPI 1z.4</t>
  </si>
  <si>
    <t>CNPI 1z.5</t>
  </si>
  <si>
    <t>CNPI 1z.6</t>
  </si>
  <si>
    <t>Education and Cognitive Development Indicators (CNPI 2)</t>
  </si>
  <si>
    <t>CNPI 2</t>
  </si>
  <si>
    <t>Counts of Change for Education and Cognitive Development Indicators</t>
  </si>
  <si>
    <t>CNPI 2a</t>
  </si>
  <si>
    <t xml:space="preserve">Number of accessible and affordable early childhood or pre-school education assets or resource added to the identified community. </t>
  </si>
  <si>
    <t>CNPI 2b</t>
  </si>
  <si>
    <t xml:space="preserve">Number of accredited or licensed affordable child care facilities added in the identified community. </t>
  </si>
  <si>
    <t>CNPI 2c</t>
  </si>
  <si>
    <t xml:space="preserve">Number of new Early Childhood Screenings offered to children (ages 0-5) of families with low-incomes in the identified community. </t>
  </si>
  <si>
    <t>CNPI 2d</t>
  </si>
  <si>
    <t>Number of accessible and affordable education assets or resources added for school age children in the identified community.  (e.g., academic, enrichment activities, before/after school care, summer programs)</t>
  </si>
  <si>
    <t>CNPI 2e</t>
  </si>
  <si>
    <t>Number of accessible and affordable post secondary education assets or resources added for newly graduating youth in the identified community.  (e.g. college tuition, scholarships, vocational training, etc.)</t>
  </si>
  <si>
    <t>CNPI 2f</t>
  </si>
  <si>
    <t xml:space="preserve">Number of accessible and affordable basic or secondary education assets or resources added for adults in the identified community.  (e.g. literacy, ESL, ABE/GED, etc.) </t>
  </si>
  <si>
    <t>CNPI 2z</t>
  </si>
  <si>
    <t>Other Counts of Change for Education and Cognitive Development Indicators - Please specify below.</t>
  </si>
  <si>
    <t>CNPI 2z.1</t>
  </si>
  <si>
    <t>CNPI 2z.2</t>
  </si>
  <si>
    <t>CNPI 2z.3</t>
  </si>
  <si>
    <t>Rates of Change for Education and Cognitive Development Indicators</t>
  </si>
  <si>
    <t>CNPI 2g</t>
  </si>
  <si>
    <t xml:space="preserve">Percent increase of children in the identified community who are kindergarten ready. </t>
  </si>
  <si>
    <t>CNPI 2h</t>
  </si>
  <si>
    <t>Percent increase of children in the identified community at (or above) the basic reading level.</t>
  </si>
  <si>
    <t>CNPI 2i</t>
  </si>
  <si>
    <t>Percent increase of children in the identified community at (or above) the basic math level.</t>
  </si>
  <si>
    <t>CNPI 2j</t>
  </si>
  <si>
    <t>Percent increase in high school (or high school equivalency) graduation rate in the  identified community.</t>
  </si>
  <si>
    <t>CNPI 2k</t>
  </si>
  <si>
    <t>Percent increase of the rate of youth in the identified community  who attend post-secondary education.</t>
  </si>
  <si>
    <t>CNPI 2l</t>
  </si>
  <si>
    <t xml:space="preserve">Percent increase of the rate of youth in the identified community who graduate from post-secondary education. </t>
  </si>
  <si>
    <t>CNPI 2m</t>
  </si>
  <si>
    <t xml:space="preserve">Percent increase of adults in the identified community who attend post-secondary education. </t>
  </si>
  <si>
    <t>CNPI 2n</t>
  </si>
  <si>
    <t>Percent increase of adults in the  identified community who graduate from post-secondary education.</t>
  </si>
  <si>
    <t>CNPI 2o</t>
  </si>
  <si>
    <t xml:space="preserve">Percent increase in the adult literacy rate in the identified community. </t>
  </si>
  <si>
    <t>Other Rates of Change for Education and Cognitive Development Indicators - Please specify below.</t>
  </si>
  <si>
    <t>CNPI 2z.4</t>
  </si>
  <si>
    <t>CNPI 2z.5</t>
  </si>
  <si>
    <t>CNPI 2z.6</t>
  </si>
  <si>
    <t>Infrastructure and Asset Building Indicators (CNPI 3)</t>
  </si>
  <si>
    <t>CNPI 3</t>
  </si>
  <si>
    <t>Counts of Change for Infrastructure and Asset Building Indicators</t>
  </si>
  <si>
    <t>CNPI 3a</t>
  </si>
  <si>
    <t>Number of new accessible assets/resources created in the identified community:</t>
  </si>
  <si>
    <t>CNPI 3a.1</t>
  </si>
  <si>
    <t xml:space="preserve"> Commercial</t>
  </si>
  <si>
    <t>CNPI 3a.2</t>
  </si>
  <si>
    <t xml:space="preserve"> Financial</t>
  </si>
  <si>
    <t>CNPI 3a.3</t>
  </si>
  <si>
    <t xml:space="preserve"> Technological/ Communications (e.g. broadband)</t>
  </si>
  <si>
    <t>CNPI 3a.4</t>
  </si>
  <si>
    <t xml:space="preserve"> Transportation</t>
  </si>
  <si>
    <t>CNPI 3a.5</t>
  </si>
  <si>
    <t xml:space="preserve"> Recreational (e.g. parks, gardens, libraries)</t>
  </si>
  <si>
    <t>CNPI 3a.6</t>
  </si>
  <si>
    <t xml:space="preserve"> Other Public Assets/Physical Improvements</t>
  </si>
  <si>
    <t>CNPI 3b</t>
  </si>
  <si>
    <t xml:space="preserve"> Number of existing assets/resources made accessible to the identified community:</t>
  </si>
  <si>
    <t>CNPI 3b.1</t>
  </si>
  <si>
    <t xml:space="preserve">  Commercial</t>
  </si>
  <si>
    <t>CNPI 3b.2</t>
  </si>
  <si>
    <t xml:space="preserve">  Financial</t>
  </si>
  <si>
    <t>CNPI 3b.3</t>
  </si>
  <si>
    <t xml:space="preserve">  Technological/ Communications (e.g. broadband)</t>
  </si>
  <si>
    <t>CNPI 3b.4</t>
  </si>
  <si>
    <t xml:space="preserve">  Transportation</t>
  </si>
  <si>
    <t>CNPI 3c</t>
  </si>
  <si>
    <t>CNPI 3d</t>
  </si>
  <si>
    <t>CNPI 3z</t>
  </si>
  <si>
    <t xml:space="preserve"> Other Counts of Change for Infrastructure and Asset Building Indicators - Please specify below.</t>
  </si>
  <si>
    <t>CNPI 3z.1</t>
  </si>
  <si>
    <t>CNPI 3z.2</t>
  </si>
  <si>
    <t>CNPI 3z.3</t>
  </si>
  <si>
    <t>Rates of Change for Infrastructure and Asset Building Indicators</t>
  </si>
  <si>
    <t>CNPI 3e</t>
  </si>
  <si>
    <t>Percent decrease of abandoned or neglected buildings in the identified community.</t>
  </si>
  <si>
    <t>CNPI 3f</t>
  </si>
  <si>
    <t>Percent decrease in emergency response time measured in minutes in the identified community. (EMT, Police, Fire, etc.).</t>
  </si>
  <si>
    <t>CNPI 3g</t>
  </si>
  <si>
    <t>Percent decrease of predatory lenders and/or lending practices in the identified community.</t>
  </si>
  <si>
    <t>CNPI 3h</t>
  </si>
  <si>
    <t>Percent decrease of environmental threats to households (toxic soil, radon, lead, air quality, quality of drinking water, etc.) in the identified community.</t>
  </si>
  <si>
    <t>CNPI 3i</t>
  </si>
  <si>
    <t>Percent increase of transportation services in the identified community.</t>
  </si>
  <si>
    <t>Other Rates of Change for Infrastructure and Asset Building Indicators - Please specify below.</t>
  </si>
  <si>
    <t>CNPI 3z.4</t>
  </si>
  <si>
    <t xml:space="preserve"> Other</t>
  </si>
  <si>
    <t>CNPI 3z.5</t>
  </si>
  <si>
    <t>CNPI 3z.6</t>
  </si>
  <si>
    <t>Housing Indicators (CNPI 4)</t>
  </si>
  <si>
    <t>CNPI 4</t>
  </si>
  <si>
    <t xml:space="preserve"> Counts of Change for Housing Indicators</t>
  </si>
  <si>
    <t>CNPI 4a</t>
  </si>
  <si>
    <t>Number of safe and affordable housing units developed in the identified community (e.g. built or set aside units for people with low incomes).</t>
  </si>
  <si>
    <t>CNPI 4b</t>
  </si>
  <si>
    <t xml:space="preserve">Number of safe and affordable housing units maintained  and/or improved through WAP or other rehabilitation efforts in the identified community. </t>
  </si>
  <si>
    <t>CNPI 4c</t>
  </si>
  <si>
    <t xml:space="preserve">Number of shelter beds created in the identified community. </t>
  </si>
  <si>
    <t>CNPI 4d</t>
  </si>
  <si>
    <t xml:space="preserve">Number of shelter beds maintained in the identified community. </t>
  </si>
  <si>
    <t>CNPI 4z</t>
  </si>
  <si>
    <t xml:space="preserve"> Other Counts of Change for Housing Indicators - Please specify below.</t>
  </si>
  <si>
    <t>CNPI 4z.1</t>
  </si>
  <si>
    <t>CNPI 4z.2</t>
  </si>
  <si>
    <t>CNPI 4z.3</t>
  </si>
  <si>
    <t>Rates of Change for Housing Indicators</t>
  </si>
  <si>
    <t>CNPI 4e</t>
  </si>
  <si>
    <t xml:space="preserve">Percent decrease in the rate of homelessness in the identified community. </t>
  </si>
  <si>
    <t>CNPI 4f</t>
  </si>
  <si>
    <t>Percent decrease in the foreclosure rate in the identified community.</t>
  </si>
  <si>
    <t>CNPI 4g</t>
  </si>
  <si>
    <t>Percent increase in the rate of home ownership of people with low incomes in the identified community.</t>
  </si>
  <si>
    <t>CNPI 4h</t>
  </si>
  <si>
    <t>Percent increase of affordable housing in the identified community.</t>
  </si>
  <si>
    <t>CNPI 4i</t>
  </si>
  <si>
    <t>Percent increase of shelter beds in the identified community.</t>
  </si>
  <si>
    <t xml:space="preserve"> Other Rates of Change for Housing Indicators - Please specify below.</t>
  </si>
  <si>
    <t>CNPI 4z.4</t>
  </si>
  <si>
    <t>CNPI 4z.5</t>
  </si>
  <si>
    <t>CNPI 4z.6</t>
  </si>
  <si>
    <t>Health and Social/Behavioral Indicators (CNPI 5)</t>
  </si>
  <si>
    <t>CNPI 5</t>
  </si>
  <si>
    <t xml:space="preserve"> Counts of Change for Health and Social/Behavioral Indicators</t>
  </si>
  <si>
    <t>CNPI 5a</t>
  </si>
  <si>
    <t xml:space="preserve">Number of accessible and affordable physical health assets or resources created in the identified community. </t>
  </si>
  <si>
    <t>CNPI 5b</t>
  </si>
  <si>
    <t>Number of accessible and affordable behavioral and mental health assets or resources created in the identified community.</t>
  </si>
  <si>
    <t>CNPI 5c</t>
  </si>
  <si>
    <t xml:space="preserve">Number of public safety assets and resources created in the identified community.   </t>
  </si>
  <si>
    <t>CNPI 5d</t>
  </si>
  <si>
    <t>Number of accessible and affordable healthy food resources created in the identified community.</t>
  </si>
  <si>
    <t>CNPI 5e</t>
  </si>
  <si>
    <t>Number of activities designed to improve police and community relations within the identified community.</t>
  </si>
  <si>
    <t>CNPI 5z</t>
  </si>
  <si>
    <t xml:space="preserve"> Other Counts of Change for Health and Social/Behavioral Indicators- Please specify below.</t>
  </si>
  <si>
    <t>CNPI 5z.1</t>
  </si>
  <si>
    <t>CNPI 5z.2</t>
  </si>
  <si>
    <t>CNPI 5z.3</t>
  </si>
  <si>
    <t xml:space="preserve"> Rates of Change for Physical Health, Wellbeing, and Development Indicators</t>
  </si>
  <si>
    <t>CNPI 5f</t>
  </si>
  <si>
    <t xml:space="preserve"> Percent decrease in infant mortality rate in the identified community.</t>
  </si>
  <si>
    <t>CNPI 5g</t>
  </si>
  <si>
    <t xml:space="preserve"> Percent decrease in childhood obesity rate in the identified community. </t>
  </si>
  <si>
    <t>CNPI 5h</t>
  </si>
  <si>
    <t xml:space="preserve"> Percent decrease in adult obesity rate in the identified community.</t>
  </si>
  <si>
    <t>CNPI 5i</t>
  </si>
  <si>
    <t xml:space="preserve"> Percent increase in child immunization rate in the identified community. </t>
  </si>
  <si>
    <t>CNPI 5j</t>
  </si>
  <si>
    <t xml:space="preserve"> Percent decrease in uninsured families in the identified community. </t>
  </si>
  <si>
    <t>Rates of Change for Behavioral and Mental health, Emotional Wellbeing, and Development Indicators</t>
  </si>
  <si>
    <t>CNPI 5k</t>
  </si>
  <si>
    <t xml:space="preserve"> Percent decrease in the teen pregnancy rate in the identified community.</t>
  </si>
  <si>
    <t>CNPI 5l</t>
  </si>
  <si>
    <t xml:space="preserve"> Percent decrease in unplanned pregnancies in the identified community.</t>
  </si>
  <si>
    <t>CNPI 5m</t>
  </si>
  <si>
    <t xml:space="preserve"> Percent decrease in substance abuse rate in the identified community.(e.g. cigarettes, prescription drugs, narcotics, alcohol). </t>
  </si>
  <si>
    <t>CNPI 5n</t>
  </si>
  <si>
    <t xml:space="preserve"> Percent decrease in domestic violence rate in the identified community.</t>
  </si>
  <si>
    <t>CNPI 5o</t>
  </si>
  <si>
    <t xml:space="preserve"> Percent decrease in the child abuse rate in the identified community.</t>
  </si>
  <si>
    <t>CNPI 5p</t>
  </si>
  <si>
    <t xml:space="preserve"> Percent decrease in the child neglect rate in the identified community.</t>
  </si>
  <si>
    <t>CNPI 5q</t>
  </si>
  <si>
    <t xml:space="preserve"> Percent decrease in the elder abuse rate in the identified community. </t>
  </si>
  <si>
    <t>CNPI 5r</t>
  </si>
  <si>
    <t xml:space="preserve"> Percent decrease in the elder neglect rate in the identified community. </t>
  </si>
  <si>
    <t>Rates of Change for Public Safety Indicators</t>
  </si>
  <si>
    <t>CNPI 5s</t>
  </si>
  <si>
    <t xml:space="preserve"> Percent decrease in recidivism rate in the identified community.</t>
  </si>
  <si>
    <t>CNPI 5t</t>
  </si>
  <si>
    <t xml:space="preserve"> Percent decrease in non-violent crime rate in the identified community.</t>
  </si>
  <si>
    <t>CNPI 5u</t>
  </si>
  <si>
    <t xml:space="preserve"> Percent decrease in violent crime rate in the identified community.</t>
  </si>
  <si>
    <t>CNPI 5v</t>
  </si>
  <si>
    <t xml:space="preserve"> Percent decrease in teens involved with the juvenile court system in the identified community.</t>
  </si>
  <si>
    <t>Other Rates of Change for Health and Social/Behavioral Indicators - Please specify below.</t>
  </si>
  <si>
    <t>CNPI 5z.4</t>
  </si>
  <si>
    <t>CNPI 5z.5</t>
  </si>
  <si>
    <t>CNPI 5z.6</t>
  </si>
  <si>
    <t>Civic Engagement and Community Involvement Indicators - Goal 2 (CNPI 6 G2)</t>
  </si>
  <si>
    <t>CNPI 6</t>
  </si>
  <si>
    <t>Rates of Change for Civic Engagement and Community Involvement Indicators - Goal 2</t>
  </si>
  <si>
    <t>CNPI 6 G2a</t>
  </si>
  <si>
    <t xml:space="preserve">Percent increase of donated time to support the CSBG Eligible Entity's delivery of services and/or implementation of strategies to address conditions of poverty in the identified community. </t>
  </si>
  <si>
    <t>CNPI 6 G2b</t>
  </si>
  <si>
    <t xml:space="preserve">Percent increase of donated resources to support the CSBG Eligible Entity's delivery of services and/or implementation of strategies to address conditions of poverty in the identified community. </t>
  </si>
  <si>
    <t>CNPI 6 G2c</t>
  </si>
  <si>
    <t xml:space="preserve"> Percent increase of people participating in public hearings, policy forums, community planning, or other advisory boards related to the CSBG Eligible Entity's delivery of service and/or implementation of strategies to address conditions of poverty in the identified community.</t>
  </si>
  <si>
    <t>CNPI 62z</t>
  </si>
  <si>
    <t>Other Rates of Change for Civic Engagement and Community Involvement Indicators - Goal 2</t>
  </si>
  <si>
    <t>CNPI 6 G2z.1</t>
  </si>
  <si>
    <t>CNPI 6 G2z.2</t>
  </si>
  <si>
    <t>CNPI 6 G2z.3</t>
  </si>
  <si>
    <t>Civic Engagement and Community Involvement Indicators - Goal 3 (CNPI 6 G3)</t>
  </si>
  <si>
    <t>Rates of Change for Civic Engagement and Community Involvement Indicators - Goal 3</t>
  </si>
  <si>
    <t xml:space="preserve">CNPI 6 G3a </t>
  </si>
  <si>
    <t xml:space="preserve">Percent increase of people with low incomes who support the CSBG Eligible Entity's delivery of service and/or implementation of strategies to address conditions of poverty in the identified community. </t>
  </si>
  <si>
    <t>CNPI 6 G3b</t>
  </si>
  <si>
    <t xml:space="preserve">Percent increase of people with low incomes who acquire and maintain leadership roles with the CSBG Eligible Entity or other organizations within the identified community. </t>
  </si>
  <si>
    <t>CNPI 63z</t>
  </si>
  <si>
    <t>Other Rates of Change for Civic Engagement and Community Involvement Indicators - Goal 3</t>
  </si>
  <si>
    <t>CNPI 6 G3z.1</t>
  </si>
  <si>
    <t>CNPI 6 G3z.2</t>
  </si>
  <si>
    <t>CNPI 6 G3z.3</t>
  </si>
  <si>
    <t>Provide a narrative of the initiative’s overall goal.</t>
  </si>
  <si>
    <r>
      <t xml:space="preserve">CNPI 1c Number of “living wage” jobs </t>
    </r>
    <r>
      <rPr>
        <b/>
        <u/>
        <sz val="11"/>
        <color rgb="FFCCCCCC"/>
        <rFont val="Calibri"/>
        <family val="2"/>
      </rPr>
      <t xml:space="preserve">created </t>
    </r>
    <r>
      <rPr>
        <sz val="11"/>
        <color rgb="FFCCCCCC"/>
        <rFont val="Calibri"/>
        <family val="2"/>
      </rPr>
      <t>in the identified community*.</t>
    </r>
  </si>
  <si>
    <t>Orig Val</t>
  </si>
  <si>
    <t>Domain</t>
  </si>
  <si>
    <r>
      <t>CNPIS EDUCATION</t>
    </r>
    <r>
      <rPr>
        <sz val="10"/>
        <rFont val="Calibri"/>
        <family val="2"/>
        <scheme val="minor"/>
      </rPr>
      <t xml:space="preserve">_x000D_
CNPI 2a Number of accessible and affordable early childhood or pre-school education assets or resources added to the identified community. _x000D_
CNPI 2c Number of new Early Childhood Screenings offered to children (ages 0-5) of families with low-incomes in the identified community. _x000D_
CNPI 2d Number of accessible and affordable education assets or resources added for school age children in the identified community.  (e.g., academic, enrichment activities, before/after school care, summer programs)_x000D_
CNPI 2e Number of accessible and affordable post secondary education assets or resources added for newly graduating youth in the identified community.  (e.g. college tuition, scholarships, vocational training, etc.) _x000D_
CNPI 2f Number of accessible and affordable basic or secondary education assets or resources added for adults in the identified community.  (e.g. literacy, ESL, ABE/GED, etc.) _x000D_
CNPI 2z Other Counts of Change for Education and Cognitive Development Indicators._x000D_
CNPI 2g Percent increase of children in the identified community who are kindergarten ready. _x000D_
CNPI 2h Percent increase of children in the identified community at (or above) the basic reading level._x000D_
CNPI 2j Percent increase in high school (or high school equivalency) graduation rate in the identified community._x000D_
CNPI 2k Percent increase of the rate of youth in the identified community who attend post-secondary education._x000D_
CNPI 2l Percent increase of the rate of youth in the identified community who graduate from post-secondary education. _x000D_
CNPI 2m Percent increase of adults in the identified community who attend post-secondary education. _x000D_
CNPI 2n Percent increase of adults in the identified community who graduate from post-secondary education._x000D_
CNPI 2o Percent increase in the adult literacy rate in the identified community. _x000D_
</t>
    </r>
  </si>
  <si>
    <r>
      <t>CNPIS EMPLOYMENT</t>
    </r>
    <r>
      <rPr>
        <sz val="10"/>
        <rFont val="Calibri"/>
        <family val="2"/>
        <scheme val="minor"/>
      </rPr>
      <t xml:space="preserve">_x000D_
CNPI 1a Number of jobs created to increase opportunities for people with low incomes in the identified community. _x000D_
CNPI 1c Number of “living wage” jobs created in the identified community._x000D_
CNPI 1d Number of “living wage” jobs maintained in the identified community. _x000D_
CNPI 1e Number of jobs created in the identified community with a benefit package. _x000D_
CNPI 1f Percent decrease of the unemployment rate._x000D_
CNPI 1g Percent decrease of the youth unemployment rate._x000D_
CNPI 1h Percent decrease of the underemployment rate._x000D_
</t>
    </r>
  </si>
  <si>
    <r>
      <t>CNPIS INFRASTRUCTURE ASSET</t>
    </r>
    <r>
      <rPr>
        <sz val="10"/>
        <rFont val="Calibri"/>
        <family val="2"/>
        <scheme val="minor"/>
      </rPr>
      <t xml:space="preserve">_x000D_
CNPI 3a.1 Commercial_x000D_
CNPI 3a.2 Financial_x000D_
CNPI 3a.3 Technological/Communications (e.g. broadband)_x000D_
CNPI 3a.4 Transportation_x000D_
CNPI 3a.5 Recreational (e.g. parks, gardens, libraries)_x000D_
CNPI 3a.6 Other Public Assets/Physical Improvements_x000D_
CNPI 3b.1 Commercial_x000D_
CNPI 3b.2 Financial_x000D_
CNPI 3b.3 Technological/Communications (e.g. broadband)_x000D_
CNPI 3b.4 Transportation_x000D_
CNPI 3b.5 Recreational (e.g. parks, gardens, libraries)_x000D_
CNPI 3b.6 Other Public Assets/Physical Improvements_x000D_
CNPI 3z Other Counts of Change for Infrastructure and Asset Building Indicators._x000D_
CNPI 3c Percent decrease of abandoned or neglected buildings in the identified community._x000D_
CNPI 3d Percent decrease in emergency response time measured in minutes in the identified community. (EMT, Police, Fire, etc.)._x000D_
CNPI 3e Percent decrease of predatory lenders and/or lending practices in the identified community._x000D_
CNPI 3f Percent decrease of environmental threats to households (toxic soil, radon, lead, air quality, quality of drinking water, etc.) in the identified community._x000D_
CNPI 3g Percent increase of transportation services in the identified community._x000D_
</t>
    </r>
  </si>
  <si>
    <r>
      <t>CNPIS HEALTH AND SOCIAL</t>
    </r>
    <r>
      <rPr>
        <sz val="10"/>
        <rFont val="Calibri"/>
        <family val="2"/>
        <scheme val="minor"/>
      </rPr>
      <t xml:space="preserve">_x000D_
CNPI 5a Number of accessible and affordable physical health assets or resources created in the identified community. _x000D_
CNPI 5b Number of accessible and affordable behavioral and mental health assets or resources created in the identified community.     _x000D_
CNPI 5c Number of public safety assets and resources created in the identified community.     _x000D_
CNPI 5d Number of accessible and affordable healthy food resources created in the identified community._x000D_
CNPI 5e Number of activities designed to improve police and community relations within the identified community._x000D_
CNPI 5z Other Counts of Change for Health and Social/Behavioral Indicators._x000D_
CNPI 5f Percent decrease in infant mortality rate in the identified community._x000D_
CNPI 5g Percent decrease in childhood obesity rate in the identified community. _x000D_
CNPI 5h Percent decrease in adult obesity rate in the identified community._x000D_
CNPI 5i Percent increase in child immunization rate in the identified community. _x000D_
CNPI 5j Percent decrease in uninsured families in the identified community. _x000D_
CNPI 5k Percent decrease in the teen pregnancy rate in the identified community._x000D_
CNPI 5l Percent decrease in unplanned pregnancies in the identified community._x000D_
CNPI 5m Percent decrease in substance abuse rate in the identified community (e.g. cigarettes, prescription drugs, narcotics, alcohol). _x000D_
CNPI 5n Percent decrease in domestic violence rate in the identified community._x000D_
CNPI 5o Percent decrease in the child abuse rate in the identified community._x000D_
CNPI 5p Percent decrease in the child neglect rate in the identified community._x000D_
CNPI 5q Percent decrease in the elder abuse rate in the identified community. _x000D_
CNPI 5r Percent decrease in the elder neglect rate in the identified community. _x000D_
CNPI 5s Percent decrease in recidivism rate in the identified community._x000D_
CNPI 5t Percent decrease in non-violent crime rate in the identified community._x000D_
CNPI 5u Percent decrease in violent crime rate in the identified community._x000D_
CNPI 5v Percent decrease in teens involved with the juvenile court system in the identified community._x000D_
CNPI 5z Other Rates of Change for Health and Social/Behavioral Indicators._x000D_
</t>
    </r>
  </si>
  <si>
    <r>
      <t>CNPIS HOUSING</t>
    </r>
    <r>
      <rPr>
        <sz val="10"/>
        <rFont val="Calibri"/>
        <family val="2"/>
        <scheme val="minor"/>
      </rPr>
      <t xml:space="preserve">_x000D_
CNPI 4a Number of safe and affordable housing units developed in the identified community (e.g. built or set aside units for people with low incomes)._x000D_
CNPI 4b Number of safe and affordable housing units maintained and/or improved through WAP or other rehabilitation efforts in the identified community. _x000D_
CNPI 4c Number of shelter beds created in the identified community. _x000D_
CNPI 4d Number of shelter beds maintained in the identified community. _x000D_
CNPI 4z Other Counts of Change for Housing Indicators._x000D_
CNPI 4e Percent decrease in the rate of homelessness in the identified community. _x000D_
CNPI 4f Percent decrease in the foreclosure rate in the identified community._x000D_
CNPI 4g Percent increase in the rate of home ownership of people with low incomes in the identified community._x000D_
CNPI 4h Percent increase of affordable housing in the identified community._x000D_
CNPI 4i Percent increase of shelter beds in the identified community._x000D_
CNPI 4z Other Rates of Change for Housing Indicators._x000D_
</t>
    </r>
  </si>
  <si>
    <r>
      <t>CIVIC ENGAGEMENT</t>
    </r>
    <r>
      <rPr>
        <sz val="10"/>
        <rFont val="Calibri"/>
        <family val="2"/>
        <scheme val="minor"/>
      </rPr>
      <t xml:space="preserve">_x000D_
CNPI 6 G2a Percent increase of donated time to support the CSBG Eligible Entity's delivery of services and/or implementation of strategies to address conditions of poverty in the identified community. _x000D_
CNPI 6 G2b Percent increase of donated resources to support the CSBG Eligible Entity's delivery of services and/or implementation of strategies to address conditions of poverty in the identified community. _x000D_
CNPI 6 G2c Percent increase of people participating in public hearings, policy forums, community planning, or other advisory boards related to the CSBG Eligible Entity's delivery of service and/or implementation of strategies to address conditions of poverty in the identified community._x000D_
CNPI 6 G2z Other Rates of Change for Civic Engagement and Community Involvement Indicators - Goal 2_x000D_
CNPI 6 G3a Percent increase of people with low incomes who support the CSBG Eligible Entity's delivery of service and/or implementation of strategies to address conditions of poverty in the identified community. _x000D_
CNPI 6 G3b Percent increase of people with low incomes who acquire and maintain leadership roles with the CSBG Eligible Entity or other organizations within the identified community. _x000D_
CNPI 6 G3z Other Rates of Change for Civic Engagement and Community Involvement Indicators - Goal 3_x000D_
</t>
    </r>
  </si>
  <si>
    <t>Off</t>
  </si>
  <si>
    <t>M3A61z1OtherEmploy</t>
  </si>
  <si>
    <t>M3A61z6OtherEmploy</t>
  </si>
  <si>
    <t>M3A66G2z6OtherCivicEng</t>
  </si>
  <si>
    <t>M3A66G3z6OtherCivicEng</t>
  </si>
  <si>
    <t xml:space="preserve"> Results field(s)</t>
  </si>
  <si>
    <t>Section</t>
  </si>
  <si>
    <t>Counts</t>
  </si>
  <si>
    <t>OtherCounts</t>
  </si>
  <si>
    <t>OtherRates</t>
  </si>
  <si>
    <t>Rates</t>
  </si>
  <si>
    <r>
      <t xml:space="preserve">CNPI 1f Percent decrease of the </t>
    </r>
    <r>
      <rPr>
        <b/>
        <u/>
        <sz val="11"/>
        <color rgb="FFCCCCCC"/>
        <rFont val="Calibri"/>
        <family val="2"/>
      </rPr>
      <t>unemployment rate</t>
    </r>
    <r>
      <rPr>
        <sz val="11"/>
        <color rgb="FFCCCCCC"/>
        <rFont val="Calibri"/>
        <family val="2"/>
      </rPr>
      <t>.</t>
    </r>
  </si>
  <si>
    <r>
      <t xml:space="preserve">CNPI 5a Number of accessible and affordable </t>
    </r>
    <r>
      <rPr>
        <b/>
        <u/>
        <sz val="10"/>
        <color rgb="FFCCCCCC"/>
        <rFont val="Calibri"/>
        <family val="2"/>
      </rPr>
      <t>physical health</t>
    </r>
    <r>
      <rPr>
        <sz val="10"/>
        <color rgb="FFCCCCCC"/>
        <rFont val="Calibri"/>
        <family val="2"/>
      </rPr>
      <t xml:space="preserve"> assets or resources created in the identified community. </t>
    </r>
  </si>
  <si>
    <r>
      <t xml:space="preserve">CNPI 5b Number of accessible and affordable </t>
    </r>
    <r>
      <rPr>
        <b/>
        <u/>
        <sz val="10"/>
        <color rgb="FFCCCCCC"/>
        <rFont val="Calibri"/>
        <family val="2"/>
      </rPr>
      <t>behavioral and mental health</t>
    </r>
    <r>
      <rPr>
        <sz val="10"/>
        <color rgb="FFCCCCCC"/>
        <rFont val="Calibri"/>
        <family val="2"/>
      </rPr>
      <t xml:space="preserve"> assets or resources created in the identified community.     </t>
    </r>
  </si>
  <si>
    <r>
      <t xml:space="preserve">CNPI 5c Number of </t>
    </r>
    <r>
      <rPr>
        <b/>
        <u/>
        <sz val="10"/>
        <color rgb="FFCCCCCC"/>
        <rFont val="Calibri"/>
        <family val="2"/>
      </rPr>
      <t>public safety</t>
    </r>
    <r>
      <rPr>
        <sz val="10"/>
        <color rgb="FFCCCCCC"/>
        <rFont val="Calibri"/>
        <family val="2"/>
      </rPr>
      <t xml:space="preserve"> assets and resources created in the identified community.     </t>
    </r>
  </si>
  <si>
    <r>
      <t xml:space="preserve">CNPI 5d Number of accessible and affordable healthy </t>
    </r>
    <r>
      <rPr>
        <b/>
        <u/>
        <sz val="10"/>
        <color rgb="FFCCCCCC"/>
        <rFont val="Calibri"/>
        <family val="2"/>
      </rPr>
      <t>food resources</t>
    </r>
    <r>
      <rPr>
        <sz val="10"/>
        <color rgb="FFCCCCCC"/>
        <rFont val="Calibri"/>
        <family val="2"/>
      </rPr>
      <t xml:space="preserve"> created in the identified community.</t>
    </r>
  </si>
  <si>
    <r>
      <t xml:space="preserve">CNPI 5e Number of activities designed to </t>
    </r>
    <r>
      <rPr>
        <b/>
        <u/>
        <sz val="10"/>
        <color rgb="FFCCCCCC"/>
        <rFont val="Calibri"/>
        <family val="2"/>
      </rPr>
      <t>improve police and community relations</t>
    </r>
    <r>
      <rPr>
        <sz val="10"/>
        <color rgb="FFCCCCCC"/>
        <rFont val="Calibri"/>
        <family val="2"/>
      </rPr>
      <t xml:space="preserve"> within the identified community.</t>
    </r>
  </si>
  <si>
    <r>
      <t xml:space="preserve">CNPI 5f Percent decrease in </t>
    </r>
    <r>
      <rPr>
        <b/>
        <u/>
        <sz val="10"/>
        <color rgb="FFCCCCCC"/>
        <rFont val="Calibri"/>
        <family val="2"/>
      </rPr>
      <t>infant mortality rate</t>
    </r>
    <r>
      <rPr>
        <sz val="10"/>
        <color rgb="FFCCCCCC"/>
        <rFont val="Calibri"/>
        <family val="2"/>
      </rPr>
      <t xml:space="preserve"> in the identified community.</t>
    </r>
  </si>
  <si>
    <r>
      <t xml:space="preserve">CNPI 5g Percent decrease in </t>
    </r>
    <r>
      <rPr>
        <b/>
        <sz val="10"/>
        <color rgb="FFCCCCCC"/>
        <rFont val="Calibri"/>
        <family val="2"/>
      </rPr>
      <t xml:space="preserve">childhood </t>
    </r>
    <r>
      <rPr>
        <b/>
        <u/>
        <sz val="10"/>
        <color rgb="FFCCCCCC"/>
        <rFont val="Calibri"/>
        <family val="2"/>
      </rPr>
      <t>obesity rate</t>
    </r>
    <r>
      <rPr>
        <sz val="10"/>
        <color rgb="FFCCCCCC"/>
        <rFont val="Calibri"/>
        <family val="2"/>
      </rPr>
      <t xml:space="preserve"> in the identified community. </t>
    </r>
  </si>
  <si>
    <r>
      <t>CNPI 5h Percent decrease in</t>
    </r>
    <r>
      <rPr>
        <sz val="10"/>
        <color rgb="FFCCCCCC"/>
        <rFont val="Calibri"/>
        <family val="2"/>
      </rPr>
      <t xml:space="preserve"> </t>
    </r>
    <r>
      <rPr>
        <b/>
        <sz val="10"/>
        <color rgb="FFCCCCCC"/>
        <rFont val="Calibri"/>
        <family val="2"/>
      </rPr>
      <t xml:space="preserve">adult </t>
    </r>
    <r>
      <rPr>
        <b/>
        <u/>
        <sz val="10"/>
        <color rgb="FFCCCCCC"/>
        <rFont val="Calibri"/>
        <family val="2"/>
      </rPr>
      <t>obesity rate</t>
    </r>
    <r>
      <rPr>
        <sz val="10"/>
        <color rgb="FFCCCCCC"/>
        <rFont val="Calibri"/>
        <family val="2"/>
      </rPr>
      <t xml:space="preserve"> in the identified community.</t>
    </r>
  </si>
  <si>
    <r>
      <t>CNPI 5i Percent increase in</t>
    </r>
    <r>
      <rPr>
        <sz val="10"/>
        <color rgb="FFCCCCCC"/>
        <rFont val="Calibri"/>
        <family val="2"/>
      </rPr>
      <t xml:space="preserve"> </t>
    </r>
    <r>
      <rPr>
        <b/>
        <sz val="10"/>
        <color rgb="FFCCCCCC"/>
        <rFont val="Calibri"/>
        <family val="2"/>
      </rPr>
      <t xml:space="preserve">child </t>
    </r>
    <r>
      <rPr>
        <b/>
        <u/>
        <sz val="10"/>
        <color rgb="FFCCCCCC"/>
        <rFont val="Calibri"/>
        <family val="2"/>
      </rPr>
      <t>immunization rate</t>
    </r>
    <r>
      <rPr>
        <b/>
        <sz val="10"/>
        <color rgb="FFCCCCCC"/>
        <rFont val="Calibri"/>
        <family val="2"/>
      </rPr>
      <t xml:space="preserve"> </t>
    </r>
    <r>
      <rPr>
        <sz val="10"/>
        <color rgb="FFCCCCCC"/>
        <rFont val="Calibri"/>
        <family val="2"/>
      </rPr>
      <t xml:space="preserve">in the identified community. </t>
    </r>
  </si>
  <si>
    <r>
      <t>CNPI 5j Percent decrease in</t>
    </r>
    <r>
      <rPr>
        <b/>
        <u/>
        <sz val="10"/>
        <color rgb="FFCCCCCC"/>
        <rFont val="Calibri"/>
        <family val="2"/>
      </rPr>
      <t xml:space="preserve"> uninsured families</t>
    </r>
    <r>
      <rPr>
        <sz val="10"/>
        <color rgb="FFCCCCCC"/>
        <rFont val="Calibri"/>
        <family val="2"/>
      </rPr>
      <t xml:space="preserve"> in the identified community. </t>
    </r>
  </si>
  <si>
    <r>
      <t xml:space="preserve">CNPI 5k Percent decrease in the </t>
    </r>
    <r>
      <rPr>
        <b/>
        <sz val="10"/>
        <color rgb="FFCCCCCC"/>
        <rFont val="Calibri"/>
        <family val="2"/>
      </rPr>
      <t xml:space="preserve">teen </t>
    </r>
    <r>
      <rPr>
        <b/>
        <u/>
        <sz val="10"/>
        <color rgb="FFCCCCCC"/>
        <rFont val="Calibri"/>
        <family val="2"/>
      </rPr>
      <t>pregnancy rate</t>
    </r>
    <r>
      <rPr>
        <sz val="10"/>
        <color rgb="FFCCCCCC"/>
        <rFont val="Calibri"/>
        <family val="2"/>
      </rPr>
      <t xml:space="preserve"> in the identified community.</t>
    </r>
  </si>
  <si>
    <r>
      <t xml:space="preserve">CNPI 5l Percent decrease in </t>
    </r>
    <r>
      <rPr>
        <b/>
        <u/>
        <sz val="10"/>
        <color rgb="FFCCCCCC"/>
        <rFont val="Calibri"/>
        <family val="2"/>
      </rPr>
      <t>unplanned pregnancies</t>
    </r>
    <r>
      <rPr>
        <sz val="10"/>
        <color rgb="FFCCCCCC"/>
        <rFont val="Calibri"/>
        <family val="2"/>
      </rPr>
      <t xml:space="preserve"> in the identified community.</t>
    </r>
  </si>
  <si>
    <r>
      <t xml:space="preserve">CNPI 5m Percent decrease in </t>
    </r>
    <r>
      <rPr>
        <b/>
        <u/>
        <sz val="10"/>
        <color rgb="FFCCCCCC"/>
        <rFont val="Calibri"/>
        <family val="2"/>
      </rPr>
      <t>substance abuse rate</t>
    </r>
    <r>
      <rPr>
        <sz val="10"/>
        <color rgb="FFCCCCCC"/>
        <rFont val="Calibri"/>
        <family val="2"/>
      </rPr>
      <t xml:space="preserve"> in the identified community.(e.g. cigarettes, prescription drugs, narcotics, alcohol). </t>
    </r>
  </si>
  <si>
    <r>
      <t xml:space="preserve">CNPI 5n Percent decrease in </t>
    </r>
    <r>
      <rPr>
        <b/>
        <u/>
        <sz val="10"/>
        <color rgb="FFCCCCCC"/>
        <rFont val="Calibri"/>
        <family val="2"/>
      </rPr>
      <t>domestic violence rate</t>
    </r>
    <r>
      <rPr>
        <sz val="10"/>
        <color rgb="FFCCCCCC"/>
        <rFont val="Calibri"/>
        <family val="2"/>
      </rPr>
      <t xml:space="preserve"> in the identified community.</t>
    </r>
  </si>
  <si>
    <r>
      <t xml:space="preserve">CNPI 5o Percent decrease in the </t>
    </r>
    <r>
      <rPr>
        <b/>
        <sz val="10"/>
        <color rgb="FFCCCCCC"/>
        <rFont val="Calibri"/>
        <family val="2"/>
      </rPr>
      <t xml:space="preserve">child </t>
    </r>
    <r>
      <rPr>
        <b/>
        <u/>
        <sz val="10"/>
        <color rgb="FFCCCCCC"/>
        <rFont val="Calibri"/>
        <family val="2"/>
      </rPr>
      <t>abuse rate</t>
    </r>
    <r>
      <rPr>
        <sz val="10"/>
        <color rgb="FFCCCCCC"/>
        <rFont val="Calibri"/>
        <family val="2"/>
      </rPr>
      <t xml:space="preserve"> in the identified community.</t>
    </r>
  </si>
  <si>
    <r>
      <t xml:space="preserve">CNPI 5p Percent decrease in the </t>
    </r>
    <r>
      <rPr>
        <b/>
        <sz val="10"/>
        <color rgb="FFCCCCCC"/>
        <rFont val="Calibri"/>
        <family val="2"/>
      </rPr>
      <t xml:space="preserve">child </t>
    </r>
    <r>
      <rPr>
        <b/>
        <u/>
        <sz val="10"/>
        <color rgb="FFCCCCCC"/>
        <rFont val="Calibri"/>
        <family val="2"/>
      </rPr>
      <t>neglect rate</t>
    </r>
    <r>
      <rPr>
        <sz val="10"/>
        <color rgb="FFCCCCCC"/>
        <rFont val="Calibri"/>
        <family val="2"/>
      </rPr>
      <t xml:space="preserve"> in the identified community.</t>
    </r>
  </si>
  <si>
    <r>
      <t>CNPI 5q Percent decrease in the</t>
    </r>
    <r>
      <rPr>
        <sz val="10"/>
        <color rgb="FFCCCCCC"/>
        <rFont val="Calibri"/>
        <family val="2"/>
      </rPr>
      <t xml:space="preserve"> </t>
    </r>
    <r>
      <rPr>
        <b/>
        <sz val="10"/>
        <color rgb="FFCCCCCC"/>
        <rFont val="Calibri"/>
        <family val="2"/>
      </rPr>
      <t xml:space="preserve">elder </t>
    </r>
    <r>
      <rPr>
        <b/>
        <u/>
        <sz val="10"/>
        <color rgb="FFCCCCCC"/>
        <rFont val="Calibri"/>
        <family val="2"/>
      </rPr>
      <t>abuse rate</t>
    </r>
    <r>
      <rPr>
        <sz val="10"/>
        <color rgb="FFCCCCCC"/>
        <rFont val="Calibri"/>
        <family val="2"/>
      </rPr>
      <t xml:space="preserve"> in the identified community. </t>
    </r>
  </si>
  <si>
    <r>
      <t>CNPI 5r Percent decrease in the</t>
    </r>
    <r>
      <rPr>
        <sz val="10"/>
        <color rgb="FFCCCCCC"/>
        <rFont val="Calibri"/>
        <family val="2"/>
      </rPr>
      <t xml:space="preserve"> </t>
    </r>
    <r>
      <rPr>
        <b/>
        <sz val="10"/>
        <color rgb="FFCCCCCC"/>
        <rFont val="Calibri"/>
        <family val="2"/>
      </rPr>
      <t xml:space="preserve">elder </t>
    </r>
    <r>
      <rPr>
        <b/>
        <u/>
        <sz val="10"/>
        <color rgb="FFCCCCCC"/>
        <rFont val="Calibri"/>
        <family val="2"/>
      </rPr>
      <t>neglect rate</t>
    </r>
    <r>
      <rPr>
        <sz val="10"/>
        <color rgb="FFCCCCCC"/>
        <rFont val="Calibri"/>
        <family val="2"/>
      </rPr>
      <t xml:space="preserve"> in the identified community. </t>
    </r>
  </si>
  <si>
    <r>
      <t xml:space="preserve">CNPI 5s Percent decrease in </t>
    </r>
    <r>
      <rPr>
        <b/>
        <u/>
        <sz val="10"/>
        <color rgb="FFCCCCCC"/>
        <rFont val="Calibri"/>
        <family val="2"/>
      </rPr>
      <t xml:space="preserve">recidivism rate </t>
    </r>
    <r>
      <rPr>
        <sz val="10"/>
        <color rgb="FFCCCCCC"/>
        <rFont val="Calibri"/>
        <family val="2"/>
      </rPr>
      <t>in the identified community.</t>
    </r>
  </si>
  <si>
    <r>
      <t xml:space="preserve">CNPI 5t Percent decrease in </t>
    </r>
    <r>
      <rPr>
        <b/>
        <u/>
        <sz val="10"/>
        <color rgb="FFCCCCCC"/>
        <rFont val="Calibri"/>
        <family val="2"/>
      </rPr>
      <t>non-violent crime rate</t>
    </r>
    <r>
      <rPr>
        <sz val="10"/>
        <color rgb="FFCCCCCC"/>
        <rFont val="Calibri"/>
        <family val="2"/>
      </rPr>
      <t xml:space="preserve"> in the identified community.</t>
    </r>
  </si>
  <si>
    <r>
      <t xml:space="preserve">CNPI 5u Percent decrease in </t>
    </r>
    <r>
      <rPr>
        <b/>
        <u/>
        <sz val="10"/>
        <color rgb="FFCCCCCC"/>
        <rFont val="Calibri"/>
        <family val="2"/>
      </rPr>
      <t>violent crime rate</t>
    </r>
    <r>
      <rPr>
        <sz val="10"/>
        <color rgb="FFCCCCCC"/>
        <rFont val="Calibri"/>
        <family val="2"/>
      </rPr>
      <t xml:space="preserve"> in the identified community.</t>
    </r>
  </si>
  <si>
    <r>
      <t xml:space="preserve">CNPI 5v Percent decrease in </t>
    </r>
    <r>
      <rPr>
        <b/>
        <sz val="10"/>
        <color rgb="FFCCCCCC"/>
        <rFont val="Calibri"/>
        <family val="2"/>
      </rPr>
      <t xml:space="preserve">teens </t>
    </r>
    <r>
      <rPr>
        <b/>
        <u/>
        <sz val="10"/>
        <color rgb="FFCCCCCC"/>
        <rFont val="Calibri"/>
        <family val="2"/>
      </rPr>
      <t>involved with the juvenile court system</t>
    </r>
    <r>
      <rPr>
        <sz val="10"/>
        <color rgb="FFCCCCCC"/>
        <rFont val="Calibri"/>
        <family val="2"/>
      </rPr>
      <t xml:space="preserve"> in the identified community.</t>
    </r>
  </si>
  <si>
    <r>
      <t xml:space="preserve">CNPI 2a Number of accessible and affordable </t>
    </r>
    <r>
      <rPr>
        <b/>
        <u/>
        <sz val="11"/>
        <color rgb="FFCCCCCC"/>
        <rFont val="Calibri"/>
        <family val="2"/>
      </rPr>
      <t>early childhood or pre-school education</t>
    </r>
    <r>
      <rPr>
        <sz val="11"/>
        <color rgb="FFCCCCCC"/>
        <rFont val="Calibri"/>
        <family val="2"/>
      </rPr>
      <t xml:space="preserve"> assets or resources added to the identified community. </t>
    </r>
  </si>
  <si>
    <r>
      <t xml:space="preserve">CNPI 2b Number of accredited or licensed </t>
    </r>
    <r>
      <rPr>
        <b/>
        <u/>
        <sz val="11"/>
        <color rgb="FFCCCCCC"/>
        <rFont val="Calibri"/>
        <family val="2"/>
      </rPr>
      <t>affordable child care facilities</t>
    </r>
    <r>
      <rPr>
        <sz val="11"/>
        <color rgb="FFCCCCCC"/>
        <rFont val="Calibri"/>
        <family val="2"/>
      </rPr>
      <t xml:space="preserve"> added in the identified community. </t>
    </r>
  </si>
  <si>
    <r>
      <t xml:space="preserve">CNPI 2c Number of new </t>
    </r>
    <r>
      <rPr>
        <b/>
        <u/>
        <sz val="11"/>
        <color rgb="FFCCCCCC"/>
        <rFont val="Calibri"/>
        <family val="2"/>
      </rPr>
      <t>Early Childhood Screenings</t>
    </r>
    <r>
      <rPr>
        <sz val="11"/>
        <color rgb="FFCCCCCC"/>
        <rFont val="Calibri"/>
        <family val="2"/>
      </rPr>
      <t xml:space="preserve"> offered to </t>
    </r>
    <r>
      <rPr>
        <b/>
        <sz val="11"/>
        <color rgb="FFCCCCCC"/>
        <rFont val="Calibri"/>
        <family val="2"/>
      </rPr>
      <t>children</t>
    </r>
    <r>
      <rPr>
        <sz val="11"/>
        <color rgb="FFCCCCCC"/>
        <rFont val="Calibri"/>
        <family val="2"/>
      </rPr>
      <t xml:space="preserve"> (ages 0-5) of</t>
    </r>
    <r>
      <rPr>
        <sz val="11"/>
        <color rgb="FFCCCCCC"/>
        <rFont val="Calibri"/>
        <family val="2"/>
        <scheme val="minor"/>
      </rPr>
      <t xml:space="preserve"> families with</t>
    </r>
    <r>
      <rPr>
        <sz val="11"/>
        <color rgb="FFCCCCCC"/>
        <rFont val="Calibri"/>
        <family val="2"/>
      </rPr>
      <t xml:space="preserve"> low-income</t>
    </r>
    <r>
      <rPr>
        <sz val="11"/>
        <color rgb="FFCCCCCC"/>
        <rFont val="Calibri"/>
        <family val="2"/>
        <scheme val="minor"/>
      </rPr>
      <t xml:space="preserve">s </t>
    </r>
    <r>
      <rPr>
        <sz val="11"/>
        <color rgb="FFCCCCCC"/>
        <rFont val="Calibri"/>
        <family val="2"/>
      </rPr>
      <t xml:space="preserve">in the identified community. </t>
    </r>
  </si>
  <si>
    <r>
      <t>CNPI 2d Number of accessible and affordable education assets or resources added</t>
    </r>
    <r>
      <rPr>
        <b/>
        <sz val="11"/>
        <color rgb="FFCCCCCC"/>
        <rFont val="Calibri"/>
        <family val="2"/>
      </rPr>
      <t xml:space="preserve"> </t>
    </r>
    <r>
      <rPr>
        <sz val="11"/>
        <color rgb="FFCCCCCC"/>
        <rFont val="Calibri"/>
        <family val="2"/>
      </rPr>
      <t xml:space="preserve">for </t>
    </r>
    <r>
      <rPr>
        <b/>
        <u/>
        <sz val="11"/>
        <color rgb="FFCCCCCC"/>
        <rFont val="Calibri"/>
        <family val="2"/>
      </rPr>
      <t>school age</t>
    </r>
    <r>
      <rPr>
        <b/>
        <sz val="11"/>
        <color rgb="FFCCCCCC"/>
        <rFont val="Calibri"/>
        <family val="2"/>
      </rPr>
      <t xml:space="preserve"> children </t>
    </r>
    <r>
      <rPr>
        <sz val="11"/>
        <color rgb="FFCCCCCC"/>
        <rFont val="Calibri"/>
        <family val="2"/>
      </rPr>
      <t>in the identified community.  (e.g., academic, enrichment activities, before/after school care, summer programs)</t>
    </r>
  </si>
  <si>
    <r>
      <t xml:space="preserve">CNPI 2e Number of accessible and affordable </t>
    </r>
    <r>
      <rPr>
        <b/>
        <u/>
        <sz val="11"/>
        <color rgb="FFCCCCCC"/>
        <rFont val="Calibri"/>
        <family val="2"/>
      </rPr>
      <t>post secondary education</t>
    </r>
    <r>
      <rPr>
        <sz val="11"/>
        <color rgb="FFCCCCCC"/>
        <rFont val="Calibri"/>
        <family val="2"/>
      </rPr>
      <t xml:space="preserve"> assets or resources added for newly graduating </t>
    </r>
    <r>
      <rPr>
        <b/>
        <sz val="11"/>
        <color rgb="FFCCCCCC"/>
        <rFont val="Calibri"/>
        <family val="2"/>
      </rPr>
      <t>youth</t>
    </r>
    <r>
      <rPr>
        <sz val="11"/>
        <color rgb="FFCCCCCC"/>
        <rFont val="Calibri"/>
        <family val="2"/>
      </rPr>
      <t xml:space="preserve"> in the identified community.  (e.g. college tuition, scholarships, vocational training, etc.) </t>
    </r>
  </si>
  <si>
    <r>
      <t xml:space="preserve">CNPI 2f Number of accessible and affordable </t>
    </r>
    <r>
      <rPr>
        <b/>
        <u/>
        <sz val="11"/>
        <color rgb="FFCCCCCC"/>
        <rFont val="Calibri"/>
        <family val="2"/>
      </rPr>
      <t>basic or secondary education</t>
    </r>
    <r>
      <rPr>
        <sz val="11"/>
        <color rgb="FFCCCCCC"/>
        <rFont val="Calibri"/>
        <family val="2"/>
      </rPr>
      <t xml:space="preserve"> assets or resources added for </t>
    </r>
    <r>
      <rPr>
        <b/>
        <sz val="11"/>
        <color rgb="FFCCCCCC"/>
        <rFont val="Calibri"/>
        <family val="2"/>
      </rPr>
      <t>adults</t>
    </r>
    <r>
      <rPr>
        <sz val="11"/>
        <color rgb="FFCCCCCC"/>
        <rFont val="Calibri"/>
        <family val="2"/>
      </rPr>
      <t xml:space="preserve"> in the identified community.  (e.g. literacy, ESL, ABE/GED, etc.) </t>
    </r>
  </si>
  <si>
    <r>
      <t xml:space="preserve">CNPI 2g Percent increase of </t>
    </r>
    <r>
      <rPr>
        <b/>
        <sz val="11"/>
        <color rgb="FFCCCCCC"/>
        <rFont val="Calibri"/>
        <family val="2"/>
      </rPr>
      <t>children</t>
    </r>
    <r>
      <rPr>
        <sz val="11"/>
        <color rgb="FFCCCCCC"/>
        <rFont val="Calibri"/>
        <family val="2"/>
      </rPr>
      <t xml:space="preserve"> in the identified community who are </t>
    </r>
    <r>
      <rPr>
        <b/>
        <u/>
        <sz val="11"/>
        <color rgb="FFCCCCCC"/>
        <rFont val="Calibri"/>
        <family val="2"/>
      </rPr>
      <t>kindergarten ready</t>
    </r>
    <r>
      <rPr>
        <sz val="11"/>
        <color rgb="FFCCCCCC"/>
        <rFont val="Calibri"/>
        <family val="2"/>
      </rPr>
      <t xml:space="preserve">. </t>
    </r>
  </si>
  <si>
    <r>
      <t xml:space="preserve">CNPI 2h Percent increase of </t>
    </r>
    <r>
      <rPr>
        <b/>
        <sz val="11"/>
        <color rgb="FFCCCCCC"/>
        <rFont val="Calibri"/>
        <family val="2"/>
      </rPr>
      <t>children</t>
    </r>
    <r>
      <rPr>
        <sz val="11"/>
        <color rgb="FFCCCCCC"/>
        <rFont val="Calibri"/>
        <family val="2"/>
      </rPr>
      <t xml:space="preserve"> in the identified community at (or above) the </t>
    </r>
    <r>
      <rPr>
        <b/>
        <u/>
        <sz val="11"/>
        <color rgb="FFCCCCCC"/>
        <rFont val="Calibri"/>
        <family val="2"/>
      </rPr>
      <t>basic reading level</t>
    </r>
    <r>
      <rPr>
        <sz val="11"/>
        <color rgb="FFCCCCCC"/>
        <rFont val="Calibri"/>
        <family val="2"/>
      </rPr>
      <t>.</t>
    </r>
  </si>
  <si>
    <r>
      <t>CNPI 2i Percent increase of</t>
    </r>
    <r>
      <rPr>
        <b/>
        <sz val="11"/>
        <color rgb="FFCCCCCC"/>
        <rFont val="Calibri"/>
        <family val="2"/>
      </rPr>
      <t xml:space="preserve"> children</t>
    </r>
    <r>
      <rPr>
        <sz val="11"/>
        <color rgb="FFCCCCCC"/>
        <rFont val="Calibri"/>
        <family val="2"/>
      </rPr>
      <t xml:space="preserve"> in the identified community at (or above) the </t>
    </r>
    <r>
      <rPr>
        <b/>
        <u/>
        <sz val="11"/>
        <color rgb="FFCCCCCC"/>
        <rFont val="Calibri"/>
        <family val="2"/>
      </rPr>
      <t>basic math level</t>
    </r>
    <r>
      <rPr>
        <sz val="11"/>
        <color rgb="FFCCCCCC"/>
        <rFont val="Calibri"/>
        <family val="2"/>
      </rPr>
      <t>.</t>
    </r>
  </si>
  <si>
    <r>
      <t xml:space="preserve">CNPI 2j Percent increase in high school (or high school equivalency) </t>
    </r>
    <r>
      <rPr>
        <b/>
        <u/>
        <sz val="11"/>
        <color rgb="FFCCCCCC"/>
        <rFont val="Calibri"/>
        <family val="2"/>
      </rPr>
      <t>graduation rate</t>
    </r>
    <r>
      <rPr>
        <sz val="11"/>
        <color rgb="FFCCCCCC"/>
        <rFont val="Calibri"/>
        <family val="2"/>
      </rPr>
      <t xml:space="preserve"> in the  identified community.</t>
    </r>
  </si>
  <si>
    <r>
      <t xml:space="preserve">CNPI 2k Percent increase of the rate of </t>
    </r>
    <r>
      <rPr>
        <b/>
        <sz val="11"/>
        <color rgb="FFCCCCCC"/>
        <rFont val="Calibri"/>
        <family val="2"/>
      </rPr>
      <t>youth</t>
    </r>
    <r>
      <rPr>
        <sz val="11"/>
        <color rgb="FFCCCCCC"/>
        <rFont val="Calibri"/>
        <family val="2"/>
      </rPr>
      <t xml:space="preserve"> in the identified community  who </t>
    </r>
    <r>
      <rPr>
        <b/>
        <u/>
        <sz val="11"/>
        <color rgb="FFCCCCCC"/>
        <rFont val="Calibri"/>
        <family val="2"/>
      </rPr>
      <t>attend post-secondary education</t>
    </r>
    <r>
      <rPr>
        <sz val="11"/>
        <color rgb="FFCCCCCC"/>
        <rFont val="Calibri"/>
        <family val="2"/>
      </rPr>
      <t>.</t>
    </r>
  </si>
  <si>
    <r>
      <t xml:space="preserve">CNPI 2l Percent increase of the rate of </t>
    </r>
    <r>
      <rPr>
        <b/>
        <sz val="11"/>
        <color rgb="FFCCCCCC"/>
        <rFont val="Calibri"/>
        <family val="2"/>
      </rPr>
      <t>youth</t>
    </r>
    <r>
      <rPr>
        <sz val="11"/>
        <color rgb="FFCCCCCC"/>
        <rFont val="Calibri"/>
        <family val="2"/>
      </rPr>
      <t xml:space="preserve"> in the identified community who </t>
    </r>
    <r>
      <rPr>
        <b/>
        <u/>
        <sz val="11"/>
        <color rgb="FFCCCCCC"/>
        <rFont val="Calibri"/>
        <family val="2"/>
      </rPr>
      <t>graduate from post-secondary education</t>
    </r>
    <r>
      <rPr>
        <sz val="11"/>
        <color rgb="FFCCCCCC"/>
        <rFont val="Calibri"/>
        <family val="2"/>
      </rPr>
      <t xml:space="preserve">. </t>
    </r>
  </si>
  <si>
    <r>
      <t xml:space="preserve">CNPI 2m Percent increase of </t>
    </r>
    <r>
      <rPr>
        <b/>
        <sz val="11"/>
        <color rgb="FFCCCCCC"/>
        <rFont val="Calibri"/>
        <family val="2"/>
      </rPr>
      <t>adults</t>
    </r>
    <r>
      <rPr>
        <sz val="11"/>
        <color rgb="FFCCCCCC"/>
        <rFont val="Calibri"/>
        <family val="2"/>
      </rPr>
      <t xml:space="preserve"> in the identified community who </t>
    </r>
    <r>
      <rPr>
        <b/>
        <u/>
        <sz val="11"/>
        <color rgb="FFCCCCCC"/>
        <rFont val="Calibri"/>
        <family val="2"/>
      </rPr>
      <t>attend post-secondary education</t>
    </r>
    <r>
      <rPr>
        <sz val="11"/>
        <color rgb="FFCCCCCC"/>
        <rFont val="Calibri"/>
        <family val="2"/>
      </rPr>
      <t xml:space="preserve">. </t>
    </r>
  </si>
  <si>
    <r>
      <t xml:space="preserve">CNPI 2n Percent increase of </t>
    </r>
    <r>
      <rPr>
        <b/>
        <sz val="11"/>
        <color rgb="FFCCCCCC"/>
        <rFont val="Calibri"/>
        <family val="2"/>
      </rPr>
      <t>adults</t>
    </r>
    <r>
      <rPr>
        <sz val="11"/>
        <color rgb="FFCCCCCC"/>
        <rFont val="Calibri"/>
        <family val="2"/>
      </rPr>
      <t xml:space="preserve"> in the  identified community who </t>
    </r>
    <r>
      <rPr>
        <b/>
        <u/>
        <sz val="11"/>
        <color rgb="FFCCCCCC"/>
        <rFont val="Calibri"/>
        <family val="2"/>
      </rPr>
      <t>graduate from post-secondary education</t>
    </r>
    <r>
      <rPr>
        <sz val="11"/>
        <color rgb="FFCCCCCC"/>
        <rFont val="Calibri"/>
        <family val="2"/>
      </rPr>
      <t>.</t>
    </r>
  </si>
  <si>
    <r>
      <t xml:space="preserve">CNPI 2o Percent increase in the </t>
    </r>
    <r>
      <rPr>
        <b/>
        <sz val="11"/>
        <color rgb="FFCCCCCC"/>
        <rFont val="Calibri"/>
        <family val="2"/>
      </rPr>
      <t>adult</t>
    </r>
    <r>
      <rPr>
        <sz val="11"/>
        <color rgb="FFCCCCCC"/>
        <rFont val="Calibri"/>
        <family val="2"/>
      </rPr>
      <t xml:space="preserve"> </t>
    </r>
    <r>
      <rPr>
        <b/>
        <u/>
        <sz val="11"/>
        <color rgb="FFCCCCCC"/>
        <rFont val="Calibri"/>
        <family val="2"/>
      </rPr>
      <t>literacy rate</t>
    </r>
    <r>
      <rPr>
        <sz val="11"/>
        <color rgb="FFCCCCCC"/>
        <rFont val="Calibri"/>
        <family val="2"/>
      </rPr>
      <t xml:space="preserve"> in the identified community . </t>
    </r>
  </si>
  <si>
    <r>
      <t xml:space="preserve">CNPI 3c Percent decrease of </t>
    </r>
    <r>
      <rPr>
        <b/>
        <u/>
        <sz val="11"/>
        <color rgb="FFCCCCCC"/>
        <rFont val="Calibri"/>
        <family val="2"/>
      </rPr>
      <t>abandoned or neglected buildings</t>
    </r>
    <r>
      <rPr>
        <sz val="11"/>
        <color rgb="FFCCCCCC"/>
        <rFont val="Calibri"/>
        <family val="2"/>
      </rPr>
      <t xml:space="preserve"> in the identified community.</t>
    </r>
  </si>
  <si>
    <r>
      <t xml:space="preserve">CNPI 3d Percent decrease in </t>
    </r>
    <r>
      <rPr>
        <b/>
        <u/>
        <sz val="11"/>
        <color rgb="FFCCCCCC"/>
        <rFont val="Calibri"/>
        <family val="2"/>
      </rPr>
      <t>emergency response time</t>
    </r>
    <r>
      <rPr>
        <sz val="11"/>
        <color rgb="FFCCCCCC"/>
        <rFont val="Calibri"/>
        <family val="2"/>
      </rPr>
      <t xml:space="preserve"> measured in minutes in the identified community. (EMT, Police, Fire, etc.).</t>
    </r>
  </si>
  <si>
    <r>
      <t xml:space="preserve">CNPI 3e Percent decrease of </t>
    </r>
    <r>
      <rPr>
        <b/>
        <u/>
        <sz val="11"/>
        <color rgb="FFCCCCCC"/>
        <rFont val="Calibri"/>
        <family val="2"/>
      </rPr>
      <t>predatory lenders and/or lending practices</t>
    </r>
    <r>
      <rPr>
        <sz val="11"/>
        <color rgb="FFCCCCCC"/>
        <rFont val="Calibri"/>
        <family val="2"/>
      </rPr>
      <t xml:space="preserve"> in the identified community.</t>
    </r>
  </si>
  <si>
    <r>
      <t>CNPI 3f Percent decrease of</t>
    </r>
    <r>
      <rPr>
        <b/>
        <u/>
        <sz val="11"/>
        <color rgb="FFCCCCCC"/>
        <rFont val="Calibri"/>
        <family val="2"/>
      </rPr>
      <t xml:space="preserve"> environmental threats</t>
    </r>
    <r>
      <rPr>
        <sz val="11"/>
        <color rgb="FFCCCCCC"/>
        <rFont val="Calibri"/>
        <family val="2"/>
      </rPr>
      <t xml:space="preserve"> to households (toxic soil, radon, lead, air quality, quality of drinking water, etc.) in the identified community.</t>
    </r>
  </si>
  <si>
    <r>
      <t xml:space="preserve">CNPI 3g Percent increase of </t>
    </r>
    <r>
      <rPr>
        <b/>
        <u/>
        <sz val="11"/>
        <color rgb="FFCCCCCC"/>
        <rFont val="Calibri"/>
        <family val="2"/>
      </rPr>
      <t>transportation services</t>
    </r>
    <r>
      <rPr>
        <sz val="11"/>
        <color rgb="FFCCCCCC"/>
        <rFont val="Calibri"/>
        <family val="2"/>
      </rPr>
      <t xml:space="preserve"> in the identified community.</t>
    </r>
  </si>
  <si>
    <r>
      <t xml:space="preserve">CNPI 4a Number of safe and affordable housing units </t>
    </r>
    <r>
      <rPr>
        <b/>
        <u/>
        <sz val="11"/>
        <color rgb="FFCCCCCC"/>
        <rFont val="Calibri"/>
        <family val="2"/>
      </rPr>
      <t>developed in</t>
    </r>
    <r>
      <rPr>
        <sz val="11"/>
        <color rgb="FFCCCCCC"/>
        <rFont val="Calibri"/>
        <family val="2"/>
        <scheme val="minor"/>
      </rPr>
      <t xml:space="preserve"> the identified community (e.g. built or set aside units for people with low incomes).</t>
    </r>
  </si>
  <si>
    <r>
      <t xml:space="preserve">CNPI 4b Number of safe and affordable housing units </t>
    </r>
    <r>
      <rPr>
        <b/>
        <u/>
        <sz val="11"/>
        <color rgb="FFCCCCCC"/>
        <rFont val="Calibri"/>
        <family val="2"/>
      </rPr>
      <t xml:space="preserve">maintained </t>
    </r>
    <r>
      <rPr>
        <sz val="11"/>
        <color rgb="FFCCCCCC"/>
        <rFont val="Calibri"/>
        <family val="2"/>
      </rPr>
      <t xml:space="preserve"> and/or </t>
    </r>
    <r>
      <rPr>
        <b/>
        <u/>
        <sz val="11"/>
        <color rgb="FFCCCCCC"/>
        <rFont val="Calibri"/>
        <family val="2"/>
      </rPr>
      <t xml:space="preserve">improved </t>
    </r>
    <r>
      <rPr>
        <sz val="11"/>
        <color rgb="FFCCCCCC"/>
        <rFont val="Calibri"/>
        <family val="2"/>
      </rPr>
      <t xml:space="preserve">through WAP or other rehabilitation efforts in the identified community. </t>
    </r>
  </si>
  <si>
    <r>
      <t xml:space="preserve">CNPI 4c Number of shelter beds </t>
    </r>
    <r>
      <rPr>
        <b/>
        <u/>
        <sz val="11"/>
        <color rgb="FFCCCCCC"/>
        <rFont val="Calibri"/>
        <family val="2"/>
      </rPr>
      <t>created</t>
    </r>
    <r>
      <rPr>
        <sz val="11"/>
        <color rgb="FFCCCCCC"/>
        <rFont val="Calibri"/>
        <family val="2"/>
      </rPr>
      <t xml:space="preserve"> in the identified community. </t>
    </r>
  </si>
  <si>
    <r>
      <t xml:space="preserve">CNPI 4d Number of shelter beds </t>
    </r>
    <r>
      <rPr>
        <b/>
        <u/>
        <sz val="11"/>
        <color rgb="FFCCCCCC"/>
        <rFont val="Calibri"/>
        <family val="2"/>
      </rPr>
      <t>maintained</t>
    </r>
    <r>
      <rPr>
        <sz val="11"/>
        <color rgb="FFCCCCCC"/>
        <rFont val="Calibri"/>
        <family val="2"/>
      </rPr>
      <t xml:space="preserve"> in the identified community. </t>
    </r>
  </si>
  <si>
    <r>
      <t xml:space="preserve">CNPI 4e Percent decrease in the </t>
    </r>
    <r>
      <rPr>
        <b/>
        <u/>
        <sz val="11"/>
        <color rgb="FFCCCCCC"/>
        <rFont val="Calibri"/>
        <family val="2"/>
      </rPr>
      <t>rate of homelessnes</t>
    </r>
    <r>
      <rPr>
        <sz val="11"/>
        <color rgb="FFCCCCCC"/>
        <rFont val="Calibri"/>
        <family val="2"/>
      </rPr>
      <t xml:space="preserve">s in the identified community. </t>
    </r>
  </si>
  <si>
    <r>
      <t xml:space="preserve">CNPI 4f Percent decrease in the </t>
    </r>
    <r>
      <rPr>
        <b/>
        <u/>
        <sz val="11"/>
        <color rgb="FFCCCCCC"/>
        <rFont val="Calibri"/>
        <family val="2"/>
      </rPr>
      <t>foreclosure rate</t>
    </r>
    <r>
      <rPr>
        <sz val="11"/>
        <color rgb="FFCCCCCC"/>
        <rFont val="Calibri"/>
        <family val="2"/>
      </rPr>
      <t xml:space="preserve"> in the identified community.</t>
    </r>
  </si>
  <si>
    <r>
      <t xml:space="preserve">CNPI 4g Percent increase in the </t>
    </r>
    <r>
      <rPr>
        <b/>
        <u/>
        <sz val="11"/>
        <color rgb="FFCCCCCC"/>
        <rFont val="Calibri"/>
        <family val="2"/>
      </rPr>
      <t>rate of home ownership</t>
    </r>
    <r>
      <rPr>
        <sz val="11"/>
        <color rgb="FFCCCCCC"/>
        <rFont val="Calibri"/>
        <family val="2"/>
      </rPr>
      <t xml:space="preserve"> of people with low incomes in the identified community.</t>
    </r>
  </si>
  <si>
    <r>
      <t xml:space="preserve">CNPI 4h Percent increase of </t>
    </r>
    <r>
      <rPr>
        <b/>
        <u/>
        <sz val="11"/>
        <color rgb="FFCCCCCC"/>
        <rFont val="Calibri"/>
        <family val="2"/>
      </rPr>
      <t>affordable housing</t>
    </r>
    <r>
      <rPr>
        <sz val="11"/>
        <color rgb="FFCCCCCC"/>
        <rFont val="Calibri"/>
        <family val="2"/>
      </rPr>
      <t xml:space="preserve"> in the identified community.</t>
    </r>
  </si>
  <si>
    <r>
      <t xml:space="preserve">CNPI 4i Percent increase of </t>
    </r>
    <r>
      <rPr>
        <b/>
        <u/>
        <sz val="11"/>
        <color rgb="FFCCCCCC"/>
        <rFont val="Calibri"/>
        <family val="2"/>
      </rPr>
      <t>shelter beds</t>
    </r>
    <r>
      <rPr>
        <sz val="11"/>
        <color rgb="FFCCCCCC"/>
        <rFont val="Calibri"/>
        <family val="2"/>
      </rPr>
      <t xml:space="preserve"> in the identified community.</t>
    </r>
  </si>
  <si>
    <r>
      <t xml:space="preserve">CNPI 6 G2a Percent increase of </t>
    </r>
    <r>
      <rPr>
        <b/>
        <u/>
        <sz val="10"/>
        <color rgb="FFCCCCCC"/>
        <rFont val="Calibri"/>
        <family val="2"/>
      </rPr>
      <t xml:space="preserve">donated time </t>
    </r>
    <r>
      <rPr>
        <sz val="10"/>
        <color rgb="FFCCCCCC"/>
        <rFont val="Calibri"/>
        <family val="2"/>
      </rPr>
      <t xml:space="preserve">to support the CSBG Eligible Entity's delivery of services and/or implementation of strategies to address conditions of poverty in the identified community. </t>
    </r>
  </si>
  <si>
    <r>
      <t xml:space="preserve">CNPI 6 G2b Percent increase of </t>
    </r>
    <r>
      <rPr>
        <b/>
        <u/>
        <sz val="10"/>
        <color rgb="FFCCCCCC"/>
        <rFont val="Calibri"/>
        <family val="2"/>
      </rPr>
      <t>donated resources</t>
    </r>
    <r>
      <rPr>
        <sz val="10"/>
        <color rgb="FFCCCCCC"/>
        <rFont val="Calibri"/>
        <family val="2"/>
      </rPr>
      <t xml:space="preserve"> to support the CSBG Eligible Entity's delivery of services and/or implementation of strategies to address conditions of poverty in the identified community. </t>
    </r>
  </si>
  <si>
    <r>
      <t xml:space="preserve">CNPI 6 G2c Percent increase of </t>
    </r>
    <r>
      <rPr>
        <b/>
        <u/>
        <sz val="10"/>
        <color rgb="FFCCCCCC"/>
        <rFont val="Calibri"/>
        <family val="2"/>
      </rPr>
      <t>people participating</t>
    </r>
    <r>
      <rPr>
        <sz val="10"/>
        <color rgb="FFCCCCCC"/>
        <rFont val="Calibri"/>
        <family val="2"/>
      </rPr>
      <t xml:space="preserve"> in public hearings, policy forums, community planning, or other advisory boards related to the CSBG Eligible Entity's delivery of service and/or implementation of strategies to address conditions of poverty in the identified community.</t>
    </r>
  </si>
  <si>
    <r>
      <t xml:space="preserve">CNPI 6 G3a Percent increase of people with low incomes </t>
    </r>
    <r>
      <rPr>
        <b/>
        <u/>
        <sz val="10"/>
        <color rgb="FFCCCCCC"/>
        <rFont val="Calibri"/>
        <family val="2"/>
      </rPr>
      <t>who support</t>
    </r>
    <r>
      <rPr>
        <sz val="10"/>
        <color rgb="FFCCCCCC"/>
        <rFont val="Calibri"/>
        <family val="2"/>
      </rPr>
      <t xml:space="preserve"> the CSBG Eligible Entity's delivery of service and/or implementation of strategies to address conditions of poverty in the identified community. </t>
    </r>
  </si>
  <si>
    <r>
      <t xml:space="preserve">CNPI 6 G3b Percent increase of people with low incomes </t>
    </r>
    <r>
      <rPr>
        <b/>
        <u/>
        <sz val="10"/>
        <color rgb="FFCCCCCC"/>
        <rFont val="Calibri"/>
        <family val="2"/>
      </rPr>
      <t>who acquire and maintain leadership roles</t>
    </r>
    <r>
      <rPr>
        <sz val="10"/>
        <color rgb="FFCCCCCC"/>
        <rFont val="Calibri"/>
        <family val="2"/>
      </rPr>
      <t xml:space="preserve"> with the CSBG Eligible Entity or other organizations within the identified community. </t>
    </r>
  </si>
  <si>
    <r>
      <t>CNPI 1a Number of jobs</t>
    </r>
    <r>
      <rPr>
        <b/>
        <sz val="11"/>
        <color rgb="FFCCCCCC"/>
        <rFont val="Calibri"/>
        <family val="2"/>
      </rPr>
      <t xml:space="preserve"> </t>
    </r>
    <r>
      <rPr>
        <b/>
        <u/>
        <sz val="11"/>
        <color rgb="FFCCCCCC"/>
        <rFont val="Calibri"/>
        <family val="2"/>
      </rPr>
      <t>created</t>
    </r>
    <r>
      <rPr>
        <sz val="11"/>
        <color rgb="FFCCCCCC"/>
        <rFont val="Calibri"/>
        <family val="2"/>
      </rPr>
      <t xml:space="preserve"> to increase opportunities for people with low incomes in the identified community. </t>
    </r>
  </si>
  <si>
    <r>
      <t xml:space="preserve">CNPI 1b Number of job opportunities </t>
    </r>
    <r>
      <rPr>
        <b/>
        <u/>
        <sz val="11"/>
        <color rgb="FFCCCCCC"/>
        <rFont val="Calibri"/>
        <family val="2"/>
      </rPr>
      <t>maintained</t>
    </r>
    <r>
      <rPr>
        <b/>
        <sz val="11"/>
        <color rgb="FFCCCCCC"/>
        <rFont val="Calibri"/>
        <family val="2"/>
      </rPr>
      <t xml:space="preserve"> </t>
    </r>
    <r>
      <rPr>
        <sz val="11"/>
        <color rgb="FFCCCCCC"/>
        <rFont val="Calibri"/>
        <family val="2"/>
      </rPr>
      <t xml:space="preserve">in the identified community.            </t>
    </r>
  </si>
  <si>
    <r>
      <t xml:space="preserve">CNPI 1d Number of “living wage” jobs </t>
    </r>
    <r>
      <rPr>
        <b/>
        <u/>
        <sz val="11"/>
        <color rgb="FFCCCCCC"/>
        <rFont val="Calibri"/>
        <family val="2"/>
      </rPr>
      <t>maintained</t>
    </r>
    <r>
      <rPr>
        <sz val="11"/>
        <color rgb="FFCCCCCC"/>
        <rFont val="Calibri"/>
        <family val="2"/>
      </rPr>
      <t xml:space="preserve"> in the  identified community*. </t>
    </r>
  </si>
  <si>
    <r>
      <t xml:space="preserve">CNPI 1e Number of jobs </t>
    </r>
    <r>
      <rPr>
        <b/>
        <u/>
        <sz val="11"/>
        <color rgb="FFCCCCCC"/>
        <rFont val="Calibri"/>
        <family val="2"/>
      </rPr>
      <t>created</t>
    </r>
    <r>
      <rPr>
        <sz val="11"/>
        <color rgb="FFCCCCCC"/>
        <rFont val="Calibri"/>
        <family val="2"/>
      </rPr>
      <t xml:space="preserve"> in the identified community with a benefit package. </t>
    </r>
  </si>
  <si>
    <r>
      <t xml:space="preserve">CNPI 1g Percent decrease of the </t>
    </r>
    <r>
      <rPr>
        <b/>
        <sz val="11"/>
        <color rgb="FFCCCCCC"/>
        <rFont val="Calibri"/>
        <family val="2"/>
      </rPr>
      <t>youth</t>
    </r>
    <r>
      <rPr>
        <sz val="11"/>
        <color rgb="FFCCCCCC"/>
        <rFont val="Calibri"/>
        <family val="2"/>
      </rPr>
      <t xml:space="preserve"> </t>
    </r>
    <r>
      <rPr>
        <b/>
        <u/>
        <sz val="11"/>
        <color rgb="FFCCCCCC"/>
        <rFont val="Calibri"/>
        <family val="2"/>
      </rPr>
      <t>unemployment rate</t>
    </r>
    <r>
      <rPr>
        <u/>
        <sz val="11"/>
        <color rgb="FFCCCCCC"/>
        <rFont val="Calibri"/>
        <family val="2"/>
      </rPr>
      <t>.</t>
    </r>
  </si>
  <si>
    <r>
      <t xml:space="preserve">CNPI 1h Percent decrease of the </t>
    </r>
    <r>
      <rPr>
        <b/>
        <u/>
        <sz val="11"/>
        <color rgb="FFCCCCCC"/>
        <rFont val="Calibri"/>
        <family val="2"/>
      </rPr>
      <t>underemployment rate.</t>
    </r>
  </si>
  <si>
    <t>Enter initiative name.</t>
  </si>
  <si>
    <t>Cancel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</si>
</sst>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0.0%"/>
  </numFmts>
  <fonts count="83" x14ac:knownFonts="1">
    <font>
      <sz val="11"/>
      <color theme="1"/>
      <name val="Calibri"/>
      <family val="2"/>
      <scheme val="minor"/>
    </font>
    <font>
      <b/>
      <sz val="11"/>
      <color indexed="8"/>
      <name val="Calibri"/>
      <family val="2"/>
    </font>
    <font>
      <sz val="10"/>
      <color indexed="8"/>
      <name val="Calibri"/>
      <family val="2"/>
    </font>
    <font>
      <sz val="11"/>
      <name val="Calibri"/>
      <family val="2"/>
    </font>
    <font>
      <i/>
      <sz val="11"/>
      <color indexed="8"/>
      <name val="Calibri"/>
      <family val="2"/>
    </font>
    <font>
      <b/>
      <sz val="14"/>
      <name val="Cambria"/>
      <family val="1"/>
    </font>
    <font>
      <i/>
      <sz val="12"/>
      <color indexed="8"/>
      <name val="Calibri"/>
      <family val="2"/>
    </font>
    <font>
      <sz val="10"/>
      <name val="Calibri"/>
      <family val="2"/>
    </font>
    <font>
      <sz val="9"/>
      <color indexed="8"/>
      <name val="Calibri"/>
      <family val="2"/>
    </font>
    <font>
      <b/>
      <sz val="18"/>
      <name val="Cambria"/>
      <family val="1"/>
    </font>
    <font>
      <sz val="8"/>
      <color indexed="8"/>
      <name val="Calibri"/>
      <family val="2"/>
    </font>
    <font>
      <b/>
      <sz val="11"/>
      <name val="Calibri"/>
      <family val="2"/>
    </font>
    <font>
      <b/>
      <u/>
      <sz val="11"/>
      <name val="Calibri"/>
      <family val="2"/>
    </font>
    <font>
      <sz val="9"/>
      <name val="Calibri"/>
      <family val="2"/>
    </font>
    <font>
      <b/>
      <u/>
      <sz val="14"/>
      <name val="Cambria"/>
      <family val="1"/>
    </font>
    <font>
      <sz val="10"/>
      <name val="Arial"/>
      <family val="2"/>
    </font>
    <font>
      <b/>
      <sz val="12"/>
      <name val="Cambria"/>
      <family val="1"/>
    </font>
    <font>
      <b/>
      <u/>
      <sz val="10"/>
      <name val="Arial"/>
      <family val="2"/>
    </font>
    <font>
      <sz val="11"/>
      <color theme="1"/>
      <name val="Calibri"/>
      <family val="2"/>
      <scheme val="minor"/>
    </font>
    <font>
      <b/>
      <sz val="15"/>
      <color theme="3"/>
      <name val="Calibri"/>
      <family val="2"/>
      <scheme val="minor"/>
    </font>
    <font>
      <b/>
      <sz val="11"/>
      <color theme="1"/>
      <name val="Calibri"/>
      <family val="2"/>
      <scheme val="minor"/>
    </font>
    <font>
      <sz val="10"/>
      <color theme="1"/>
      <name val="Calibri"/>
      <family val="2"/>
      <scheme val="minor"/>
    </font>
    <font>
      <sz val="11"/>
      <color rgb="FF000000"/>
      <name val="Calibri"/>
      <family val="2"/>
      <scheme val="minor"/>
    </font>
    <font>
      <b/>
      <sz val="18"/>
      <color theme="1"/>
      <name val="Cambria"/>
      <family val="1"/>
    </font>
    <font>
      <sz val="12"/>
      <color theme="1"/>
      <name val="Calibri"/>
      <family val="2"/>
      <scheme val="minor"/>
    </font>
    <font>
      <b/>
      <sz val="10"/>
      <color theme="1"/>
      <name val="Calibri"/>
      <family val="2"/>
      <scheme val="minor"/>
    </font>
    <font>
      <b/>
      <sz val="14"/>
      <color rgb="FFC00000"/>
      <name val="Cambria"/>
      <family val="1"/>
    </font>
    <font>
      <sz val="10"/>
      <name val="Calibri"/>
      <family val="2"/>
      <scheme val="minor"/>
    </font>
    <font>
      <b/>
      <sz val="11"/>
      <color theme="1"/>
      <name val="Calibri"/>
      <family val="2"/>
    </font>
    <font>
      <b/>
      <sz val="10"/>
      <name val="Calibri"/>
      <family val="2"/>
      <scheme val="minor"/>
    </font>
    <font>
      <b/>
      <sz val="11"/>
      <color rgb="FF000000"/>
      <name val="Calibri"/>
      <family val="2"/>
      <scheme val="minor"/>
    </font>
    <font>
      <sz val="11"/>
      <name val="Calibri"/>
      <family val="2"/>
      <scheme val="minor"/>
    </font>
    <font>
      <sz val="8"/>
      <name val="Calibri"/>
      <family val="2"/>
      <scheme val="minor"/>
    </font>
    <font>
      <b/>
      <sz val="14"/>
      <name val="Calibri Light"/>
      <family val="1"/>
      <scheme val="major"/>
    </font>
    <font>
      <sz val="12"/>
      <name val="Calibri"/>
      <family val="2"/>
      <scheme val="minor"/>
    </font>
    <font>
      <b/>
      <sz val="11"/>
      <name val="Calibri"/>
      <family val="2"/>
      <scheme val="minor"/>
    </font>
    <font>
      <sz val="12"/>
      <color theme="1"/>
      <name val="Calibri"/>
      <family val="2"/>
    </font>
    <font>
      <sz val="9"/>
      <name val="Calibri"/>
      <family val="2"/>
      <scheme val="minor"/>
    </font>
    <font>
      <b/>
      <sz val="14"/>
      <name val="Calibri"/>
      <family val="2"/>
      <scheme val="minor"/>
    </font>
    <font>
      <b/>
      <sz val="18"/>
      <color rgb="FFC00000"/>
      <name val="Cambria"/>
      <family val="1"/>
    </font>
    <font>
      <b/>
      <sz val="12"/>
      <color theme="1"/>
      <name val="Calibri"/>
      <family val="2"/>
      <scheme val="minor"/>
    </font>
    <font>
      <b/>
      <i/>
      <sz val="11"/>
      <color rgb="FFFF0000"/>
      <name val="Calibri"/>
      <family val="2"/>
      <scheme val="minor"/>
    </font>
    <font>
      <b/>
      <sz val="12"/>
      <name val="Calibri"/>
      <family val="2"/>
      <scheme val="minor"/>
    </font>
    <font>
      <sz val="9"/>
      <color theme="1"/>
      <name val="Calibri"/>
      <family val="2"/>
      <scheme val="minor"/>
    </font>
    <font>
      <b/>
      <sz val="11"/>
      <color rgb="FFFF0000"/>
      <name val="Calibri"/>
      <family val="2"/>
      <scheme val="minor"/>
    </font>
    <font>
      <sz val="14"/>
      <color indexed="8"/>
      <name val="Calibri"/>
      <family val="2"/>
    </font>
    <font>
      <sz val="16"/>
      <color indexed="8"/>
      <name val="Calibri"/>
      <family val="2"/>
    </font>
    <font>
      <b/>
      <sz val="10"/>
      <color rgb="FFFF0000"/>
      <name val="Arial"/>
      <family val="2"/>
    </font>
    <font>
      <u/>
      <sz val="12"/>
      <color theme="4"/>
      <name val="Calibri"/>
      <family val="2"/>
      <scheme val="minor"/>
    </font>
    <font>
      <u/>
      <sz val="11"/>
      <color theme="4"/>
      <name val="Calibri"/>
      <family val="2"/>
      <scheme val="minor"/>
    </font>
    <font>
      <sz val="11"/>
      <color theme="0"/>
      <name val="Calibri"/>
      <family val="2"/>
      <scheme val="minor"/>
    </font>
    <font>
      <b/>
      <sz val="18"/>
      <color theme="0"/>
      <name val="Cambria"/>
      <family val="1"/>
    </font>
    <font>
      <sz val="10"/>
      <color theme="0"/>
      <name val="Calibri"/>
      <family val="2"/>
      <scheme val="minor"/>
    </font>
    <font>
      <b/>
      <sz val="14"/>
      <color theme="0"/>
      <name val="Cambria"/>
      <family val="1"/>
    </font>
    <font>
      <sz val="12"/>
      <color theme="0"/>
      <name val="Calibri"/>
      <family val="2"/>
      <scheme val="minor"/>
    </font>
    <font>
      <sz val="11"/>
      <color rgb="FFFF6565"/>
      <name val="Calibri"/>
      <family val="2"/>
      <scheme val="minor"/>
    </font>
    <font>
      <sz val="9"/>
      <name val="Arial"/>
      <family val="2"/>
    </font>
    <font>
      <b/>
      <sz val="11"/>
      <color rgb="FFCCCCCC"/>
      <name val="Calibri"/>
      <family val="2"/>
      <scheme val="minor"/>
    </font>
    <font>
      <sz val="11"/>
      <color rgb="FFCCCCCC"/>
      <name val="Calibri"/>
      <family val="2"/>
      <scheme val="minor"/>
    </font>
    <font>
      <b/>
      <sz val="11"/>
      <color rgb="FFCCCCCC"/>
      <name val="Calibri"/>
      <family val="2"/>
    </font>
    <font>
      <b/>
      <u/>
      <sz val="11"/>
      <color rgb="FFCCCCCC"/>
      <name val="Calibri"/>
      <family val="2"/>
    </font>
    <font>
      <sz val="11"/>
      <color rgb="FFCCCCCC"/>
      <name val="Calibri"/>
      <family val="2"/>
    </font>
    <font>
      <sz val="10"/>
      <color rgb="FFCCCCCC"/>
      <name val="Calibri"/>
      <family val="2"/>
      <scheme val="minor"/>
    </font>
    <font>
      <b/>
      <sz val="12"/>
      <color theme="1"/>
      <name val="Calibri"/>
      <family val="2"/>
    </font>
    <font>
      <i/>
      <sz val="12"/>
      <color theme="1"/>
      <name val="Calibri"/>
      <family val="2"/>
    </font>
    <font>
      <sz val="10"/>
      <name val="Arial"/>
      <family val="2"/>
    </font>
    <font>
      <sz val="10"/>
      <color rgb="FFFF0000"/>
      <name val="Arial"/>
      <family val="2"/>
    </font>
    <font>
      <sz val="11"/>
      <color rgb="FFFF0000"/>
      <name val="Calibri"/>
      <family val="2"/>
      <scheme val="minor"/>
    </font>
    <font>
      <b/>
      <sz val="11"/>
      <color rgb="FF000000"/>
      <name val="Calibri"/>
      <family val="2"/>
    </font>
    <font>
      <sz val="11"/>
      <color theme="1"/>
      <name val="Wingdings 2"/>
      <family val="1"/>
      <charset val="2"/>
    </font>
    <font>
      <b/>
      <sz val="14"/>
      <color theme="1"/>
      <name val="Calibri"/>
      <family val="2"/>
      <scheme val="minor"/>
    </font>
    <font>
      <sz val="8"/>
      <color rgb="FF000000"/>
      <name val="Segoe UI"/>
      <family val="2"/>
    </font>
    <font>
      <sz val="11"/>
      <color theme="0" tint="-0.499984740745262"/>
      <name val="Calibri"/>
      <family val="2"/>
      <scheme val="minor"/>
    </font>
    <font>
      <sz val="12"/>
      <color theme="1"/>
      <name val="Aptos"/>
      <family val="2"/>
    </font>
    <font>
      <i/>
      <sz val="12"/>
      <color theme="1"/>
      <name val="Aptos"/>
      <family val="2"/>
    </font>
    <font>
      <b/>
      <sz val="16"/>
      <name val="Calibri"/>
      <family val="2"/>
      <scheme val="minor"/>
    </font>
    <font>
      <sz val="10"/>
      <color rgb="FF000000"/>
      <name val="Calibri"/>
      <family val="2"/>
      <scheme val="minor"/>
    </font>
    <font>
      <b/>
      <u/>
      <sz val="11"/>
      <color theme="1"/>
      <name val="Calibri"/>
      <family val="2"/>
      <scheme val="minor"/>
    </font>
    <font>
      <b/>
      <u/>
      <sz val="11"/>
      <name val="Calibri"/>
      <family val="2"/>
      <scheme val="minor"/>
    </font>
    <font>
      <b/>
      <u/>
      <sz val="10"/>
      <color rgb="FFCCCCCC"/>
      <name val="Calibri"/>
      <family val="2"/>
    </font>
    <font>
      <sz val="10"/>
      <color rgb="FFCCCCCC"/>
      <name val="Calibri"/>
      <family val="2"/>
    </font>
    <font>
      <b/>
      <sz val="10"/>
      <color rgb="FFCCCCCC"/>
      <name val="Calibri"/>
      <family val="2"/>
    </font>
    <font>
      <u/>
      <sz val="11"/>
      <color rgb="FFCCCCCC"/>
      <name val="Calibri"/>
      <family val="2"/>
    </font>
  </fonts>
  <fills count="2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9"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lightTrellis"/>
    </fill>
    <fill>
      <patternFill patternType="solid">
        <fgColor rgb="FFFFC000"/>
        <bgColor indexed="64"/>
      </patternFill>
    </fill>
    <fill>
      <patternFill patternType="solid">
        <fgColor theme="7"/>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4" tint="0.39997558519241921"/>
        <bgColor indexed="65"/>
      </patternFill>
    </fill>
    <fill>
      <patternFill patternType="solid">
        <fgColor theme="9" tint="0.79998168889431442"/>
        <bgColor indexed="64"/>
      </patternFill>
    </fill>
    <fill>
      <patternFill patternType="solid">
        <fgColor theme="2"/>
        <bgColor indexed="64"/>
      </patternFill>
    </fill>
    <fill>
      <patternFill patternType="solid">
        <fgColor rgb="FFFFFFFF"/>
        <bgColor indexed="64"/>
      </patternFill>
    </fill>
    <fill>
      <patternFill patternType="solid">
        <fgColor rgb="FFF2F2F2"/>
        <bgColor indexed="64"/>
      </patternFill>
    </fill>
  </fills>
  <borders count="25">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bottom style="thick">
        <color theme="4"/>
      </bottom>
      <diagonal/>
    </border>
    <border>
      <left style="thin">
        <color indexed="64"/>
      </left>
      <right style="thin">
        <color rgb="FF3F3F3F"/>
      </right>
      <top style="thin">
        <color indexed="64"/>
      </top>
      <bottom/>
      <diagonal/>
    </border>
    <border>
      <left style="thin">
        <color rgb="FF3F3F3F"/>
      </left>
      <right style="thin">
        <color indexed="64"/>
      </right>
      <top style="thin">
        <color indexed="64"/>
      </top>
      <bottom/>
      <diagonal/>
    </border>
    <border>
      <left style="thin">
        <color auto="1"/>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thick">
        <color auto="1"/>
      </top>
      <bottom/>
      <diagonal/>
    </border>
  </borders>
  <cellStyleXfs count="45">
    <xf numFmtId="0" fontId="0" fillId="0" borderId="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9" fillId="0" borderId="16" applyNumberFormat="0" applyFill="0" applyAlignment="0" applyProtection="0"/>
    <xf numFmtId="0" fontId="15" fillId="0" borderId="0"/>
    <xf numFmtId="0" fontId="18" fillId="0" borderId="0"/>
    <xf numFmtId="0" fontId="18" fillId="0" borderId="0"/>
    <xf numFmtId="0" fontId="15" fillId="0" borderId="0"/>
    <xf numFmtId="9" fontId="18" fillId="0" borderId="0" applyFont="0" applyFill="0" applyBorder="0" applyAlignment="0" applyProtection="0"/>
    <xf numFmtId="0" fontId="65" fillId="0" borderId="0"/>
    <xf numFmtId="0" fontId="50" fillId="17" borderId="0" applyNumberFormat="0" applyBorder="0" applyAlignment="0" applyProtection="0"/>
    <xf numFmtId="0" fontId="18" fillId="0" borderId="0"/>
    <xf numFmtId="0" fontId="18" fillId="0" borderId="0"/>
    <xf numFmtId="0" fontId="18" fillId="0" borderId="0"/>
    <xf numFmtId="0" fontId="18" fillId="0" borderId="0"/>
    <xf numFmtId="0" fontId="18" fillId="2" borderId="0" applyNumberFormat="0" applyBorder="0" applyAlignment="0" applyProtection="0"/>
    <xf numFmtId="0" fontId="18" fillId="3" borderId="0" applyNumberFormat="0" applyBorder="0" applyAlignment="0" applyProtection="0"/>
    <xf numFmtId="0" fontId="18" fillId="0" borderId="0"/>
    <xf numFmtId="44" fontId="18" fillId="0" borderId="0" applyFont="0" applyFill="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0" borderId="0"/>
    <xf numFmtId="44"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2"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cellStyleXfs>
  <cellXfs count="459">
    <xf numFmtId="0" fontId="0" fillId="0" borderId="0" xfId="0"/>
    <xf numFmtId="0" fontId="0" fillId="0" borderId="0" xfId="0" applyAlignment="1">
      <alignment vertical="center"/>
    </xf>
    <xf numFmtId="0" fontId="22" fillId="0" borderId="0" xfId="0" applyFont="1" applyAlignment="1">
      <alignment vertical="center"/>
    </xf>
    <xf numFmtId="0" fontId="0" fillId="0" borderId="0" xfId="0" applyAlignment="1">
      <alignment wrapText="1"/>
    </xf>
    <xf numFmtId="0" fontId="0" fillId="0" borderId="0" xfId="0" applyProtection="1">
      <protection locked="0"/>
    </xf>
    <xf numFmtId="0" fontId="0" fillId="0" borderId="0" xfId="0" applyAlignment="1" applyProtection="1">
      <alignment wrapText="1"/>
      <protection locked="0"/>
    </xf>
    <xf numFmtId="0" fontId="26" fillId="0" borderId="0" xfId="0" applyFont="1" applyAlignment="1" applyProtection="1">
      <alignment vertical="center" wrapText="1"/>
      <protection locked="0"/>
    </xf>
    <xf numFmtId="0" fontId="26" fillId="0" borderId="0" xfId="0" applyFont="1" applyAlignment="1" applyProtection="1">
      <alignment horizontal="center" vertical="center" wrapText="1"/>
      <protection locked="0"/>
    </xf>
    <xf numFmtId="0" fontId="22" fillId="0" borderId="0" xfId="0" applyFont="1" applyAlignment="1">
      <alignment wrapText="1"/>
    </xf>
    <xf numFmtId="0" fontId="22" fillId="0" borderId="0" xfId="0" applyFont="1" applyAlignment="1">
      <alignment vertical="center" wrapText="1"/>
    </xf>
    <xf numFmtId="0" fontId="22" fillId="0" borderId="5" xfId="0" applyFont="1" applyBorder="1" applyAlignment="1">
      <alignment wrapText="1"/>
    </xf>
    <xf numFmtId="0" fontId="30" fillId="9" borderId="5" xfId="0" applyFont="1" applyFill="1" applyBorder="1" applyAlignment="1">
      <alignment horizontal="center" wrapText="1"/>
    </xf>
    <xf numFmtId="0" fontId="31" fillId="0" borderId="0" xfId="15" applyFont="1"/>
    <xf numFmtId="0" fontId="15" fillId="0" borderId="0" xfId="15"/>
    <xf numFmtId="0" fontId="31" fillId="0" borderId="0" xfId="16" applyFont="1"/>
    <xf numFmtId="0" fontId="32" fillId="0" borderId="0" xfId="16" applyFont="1" applyAlignment="1">
      <alignment vertical="top" wrapText="1"/>
    </xf>
    <xf numFmtId="0" fontId="35" fillId="0" borderId="0" xfId="15" applyFont="1" applyAlignment="1">
      <alignment vertical="center" wrapText="1"/>
    </xf>
    <xf numFmtId="0" fontId="37" fillId="0" borderId="0" xfId="15" applyFont="1" applyAlignment="1">
      <alignment wrapText="1"/>
    </xf>
    <xf numFmtId="0" fontId="37" fillId="0" borderId="0" xfId="15" applyFont="1" applyAlignment="1">
      <alignment horizontal="left" vertical="center" wrapText="1"/>
    </xf>
    <xf numFmtId="0" fontId="35" fillId="0" borderId="0" xfId="15" applyFont="1"/>
    <xf numFmtId="0" fontId="38" fillId="0" borderId="0" xfId="15" applyFont="1" applyAlignment="1">
      <alignment vertical="center"/>
    </xf>
    <xf numFmtId="0" fontId="31" fillId="0" borderId="12" xfId="15" applyFont="1" applyBorder="1"/>
    <xf numFmtId="0" fontId="0" fillId="0" borderId="5" xfId="0" applyBorder="1"/>
    <xf numFmtId="0" fontId="22" fillId="0" borderId="5" xfId="0" applyFont="1" applyBorder="1" applyAlignment="1">
      <alignment horizontal="left" wrapText="1"/>
    </xf>
    <xf numFmtId="0" fontId="0" fillId="0" borderId="5" xfId="0" applyBorder="1" applyAlignment="1">
      <alignment horizontal="left"/>
    </xf>
    <xf numFmtId="0" fontId="41" fillId="0" borderId="0" xfId="0" applyFont="1" applyAlignment="1">
      <alignment horizontal="center"/>
    </xf>
    <xf numFmtId="0" fontId="41" fillId="0" borderId="0" xfId="0" applyFont="1"/>
    <xf numFmtId="0" fontId="0" fillId="10" borderId="0" xfId="0" applyFill="1" applyAlignment="1">
      <alignment horizontal="center"/>
    </xf>
    <xf numFmtId="0" fontId="0" fillId="10" borderId="0" xfId="0" applyFill="1"/>
    <xf numFmtId="0" fontId="41" fillId="0" borderId="0" xfId="0" applyFont="1" applyAlignment="1">
      <alignment horizontal="right"/>
    </xf>
    <xf numFmtId="0" fontId="17" fillId="0" borderId="0" xfId="15" applyFont="1" applyAlignment="1">
      <alignment horizontal="center" vertical="center"/>
    </xf>
    <xf numFmtId="0" fontId="15" fillId="0" borderId="0" xfId="15" applyAlignment="1">
      <alignment vertical="center"/>
    </xf>
    <xf numFmtId="0" fontId="15" fillId="0" borderId="0" xfId="15" quotePrefix="1" applyAlignment="1">
      <alignment vertical="center"/>
    </xf>
    <xf numFmtId="0" fontId="15" fillId="0" borderId="0" xfId="15" quotePrefix="1" applyAlignment="1">
      <alignment horizontal="center" vertical="center"/>
    </xf>
    <xf numFmtId="49" fontId="15" fillId="0" borderId="0" xfId="15" quotePrefix="1" applyNumberFormat="1" applyAlignment="1">
      <alignment horizontal="center" vertical="center"/>
    </xf>
    <xf numFmtId="0" fontId="15" fillId="0" borderId="0" xfId="15" applyProtection="1">
      <protection locked="0"/>
    </xf>
    <xf numFmtId="0" fontId="15" fillId="0" borderId="0" xfId="15" applyAlignment="1">
      <alignment wrapText="1"/>
    </xf>
    <xf numFmtId="0" fontId="42" fillId="0" borderId="9" xfId="1" applyFont="1" applyFill="1" applyBorder="1" applyAlignment="1" applyProtection="1">
      <alignment horizontal="right" wrapText="1" indent="1"/>
      <protection locked="0"/>
    </xf>
    <xf numFmtId="0" fontId="15" fillId="0" borderId="0" xfId="15" applyAlignment="1">
      <alignment horizontal="center" vertical="center"/>
    </xf>
    <xf numFmtId="0" fontId="41" fillId="0" borderId="0" xfId="0" applyFont="1" applyAlignment="1">
      <alignment horizontal="right" vertical="top"/>
    </xf>
    <xf numFmtId="0" fontId="15" fillId="0" borderId="0" xfId="15" applyAlignment="1">
      <alignment horizontal="left" indent="1"/>
    </xf>
    <xf numFmtId="0" fontId="15" fillId="12" borderId="0" xfId="15" applyFill="1" applyAlignment="1">
      <alignment horizontal="center" vertical="center"/>
    </xf>
    <xf numFmtId="0" fontId="47" fillId="0" borderId="0" xfId="15" applyFont="1"/>
    <xf numFmtId="0" fontId="2" fillId="10" borderId="0" xfId="15" applyFont="1" applyFill="1"/>
    <xf numFmtId="0" fontId="15" fillId="10" borderId="0" xfId="15" applyFill="1"/>
    <xf numFmtId="0" fontId="15" fillId="0" borderId="0" xfId="15" applyAlignment="1" applyProtection="1">
      <alignment horizontal="center" vertical="center"/>
      <protection locked="0"/>
    </xf>
    <xf numFmtId="0" fontId="15" fillId="13" borderId="0" xfId="15" applyFill="1"/>
    <xf numFmtId="0" fontId="0" fillId="14" borderId="0" xfId="0" applyFill="1"/>
    <xf numFmtId="0" fontId="15" fillId="13" borderId="0" xfId="15" applyFill="1" applyAlignment="1">
      <alignment horizontal="center" vertical="center"/>
    </xf>
    <xf numFmtId="0" fontId="15" fillId="0" borderId="0" xfId="15" applyAlignment="1">
      <alignment horizontal="left" vertical="center" indent="1"/>
    </xf>
    <xf numFmtId="0" fontId="0" fillId="0" borderId="0" xfId="0" applyAlignment="1">
      <alignment horizontal="left" vertical="center" indent="1"/>
    </xf>
    <xf numFmtId="0" fontId="15" fillId="13" borderId="0" xfId="15" quotePrefix="1" applyFill="1" applyAlignment="1">
      <alignment horizontal="center" vertical="center"/>
    </xf>
    <xf numFmtId="0" fontId="15" fillId="0" borderId="0" xfId="15" applyAlignment="1">
      <alignment horizontal="right"/>
    </xf>
    <xf numFmtId="0" fontId="15" fillId="10" borderId="0" xfId="15" applyFill="1" applyAlignment="1">
      <alignment wrapText="1"/>
    </xf>
    <xf numFmtId="0" fontId="15" fillId="0" borderId="0" xfId="15" applyAlignment="1">
      <alignment horizontal="left" vertical="center"/>
    </xf>
    <xf numFmtId="0" fontId="15" fillId="0" borderId="0" xfId="15" applyAlignment="1">
      <alignment horizontal="left"/>
    </xf>
    <xf numFmtId="0" fontId="17" fillId="0" borderId="0" xfId="15" applyFont="1" applyAlignment="1">
      <alignment horizontal="left" vertical="center"/>
    </xf>
    <xf numFmtId="0" fontId="0" fillId="0" borderId="0" xfId="0" applyAlignment="1">
      <alignment horizontal="left"/>
    </xf>
    <xf numFmtId="0" fontId="15" fillId="0" borderId="0" xfId="15" quotePrefix="1" applyAlignment="1">
      <alignment horizontal="left" vertical="center"/>
    </xf>
    <xf numFmtId="0" fontId="15" fillId="0" borderId="0" xfId="15" applyAlignment="1">
      <alignment horizontal="center"/>
    </xf>
    <xf numFmtId="0" fontId="17" fillId="12" borderId="0" xfId="15" applyFont="1" applyFill="1" applyAlignment="1">
      <alignment horizontal="center" vertical="center"/>
    </xf>
    <xf numFmtId="0" fontId="5" fillId="0" borderId="0" xfId="0" applyFont="1" applyAlignment="1" applyProtection="1">
      <alignment horizontal="center" vertical="center" wrapText="1"/>
      <protection locked="0"/>
    </xf>
    <xf numFmtId="0" fontId="15" fillId="15" borderId="0" xfId="15" applyFill="1"/>
    <xf numFmtId="0" fontId="15" fillId="15" borderId="0" xfId="15" applyFill="1" applyAlignment="1">
      <alignment horizontal="left" indent="1"/>
    </xf>
    <xf numFmtId="0" fontId="53" fillId="0" borderId="0" xfId="0" applyFont="1" applyAlignment="1" applyProtection="1">
      <alignment vertical="center" wrapText="1"/>
      <protection locked="0"/>
    </xf>
    <xf numFmtId="0" fontId="5" fillId="0" borderId="0" xfId="0" applyFont="1" applyAlignment="1">
      <alignment horizontal="center" vertical="center" wrapText="1"/>
    </xf>
    <xf numFmtId="0" fontId="26" fillId="0" borderId="0" xfId="0" applyFont="1" applyAlignment="1">
      <alignment horizontal="center" vertical="center" wrapText="1"/>
    </xf>
    <xf numFmtId="0" fontId="18" fillId="0" borderId="0" xfId="10" applyFill="1" applyAlignment="1">
      <alignment vertical="center" wrapText="1"/>
    </xf>
    <xf numFmtId="0" fontId="29" fillId="7" borderId="5" xfId="5" applyFont="1" applyFill="1" applyBorder="1" applyAlignment="1">
      <alignment horizontal="center" vertical="top" wrapText="1"/>
    </xf>
    <xf numFmtId="0" fontId="25" fillId="7" borderId="5" xfId="5" applyFont="1" applyFill="1" applyBorder="1" applyAlignment="1">
      <alignment horizontal="center" vertical="top" wrapText="1"/>
    </xf>
    <xf numFmtId="1" fontId="21" fillId="7" borderId="5" xfId="1" applyNumberFormat="1" applyFont="1" applyFill="1" applyBorder="1" applyAlignment="1">
      <alignment horizontal="center" vertical="center" wrapText="1"/>
    </xf>
    <xf numFmtId="0" fontId="18" fillId="0" borderId="0" xfId="10" applyFill="1" applyAlignment="1">
      <alignment horizontal="left" vertical="center" wrapText="1"/>
    </xf>
    <xf numFmtId="0" fontId="25" fillId="8" borderId="6" xfId="5" applyFont="1" applyFill="1" applyBorder="1" applyAlignment="1">
      <alignment horizontal="center" vertical="top" wrapText="1"/>
    </xf>
    <xf numFmtId="0" fontId="25" fillId="8" borderId="17" xfId="5" applyFont="1" applyFill="1" applyBorder="1" applyAlignment="1">
      <alignment horizontal="center" vertical="top" wrapText="1"/>
    </xf>
    <xf numFmtId="0" fontId="25" fillId="8" borderId="18" xfId="5" applyFont="1" applyFill="1" applyBorder="1" applyAlignment="1">
      <alignment horizontal="center" vertical="top" wrapText="1"/>
    </xf>
    <xf numFmtId="0" fontId="25" fillId="8" borderId="5" xfId="5" applyFont="1" applyFill="1" applyBorder="1" applyAlignment="1">
      <alignment horizontal="center" vertical="top" wrapText="1"/>
    </xf>
    <xf numFmtId="0" fontId="20" fillId="0" borderId="0" xfId="0" applyFont="1"/>
    <xf numFmtId="0" fontId="0" fillId="0" borderId="0" xfId="0" applyAlignment="1">
      <alignment horizontal="left" vertical="top"/>
    </xf>
    <xf numFmtId="0" fontId="0" fillId="0" borderId="10" xfId="0" applyBorder="1"/>
    <xf numFmtId="0" fontId="25" fillId="8" borderId="11" xfId="5" applyFont="1" applyFill="1" applyBorder="1" applyAlignment="1">
      <alignment horizontal="center" vertical="top" wrapText="1"/>
    </xf>
    <xf numFmtId="0" fontId="25" fillId="0" borderId="0" xfId="0" applyFont="1"/>
    <xf numFmtId="0" fontId="21" fillId="0" borderId="0" xfId="0" applyFont="1"/>
    <xf numFmtId="0" fontId="23" fillId="0" borderId="0" xfId="0" applyFont="1" applyAlignment="1">
      <alignment vertical="center" wrapText="1"/>
    </xf>
    <xf numFmtId="0" fontId="5" fillId="0" borderId="0" xfId="0" applyFont="1" applyAlignment="1">
      <alignment vertical="center" wrapText="1"/>
    </xf>
    <xf numFmtId="0" fontId="24" fillId="0" borderId="0" xfId="0" applyFont="1" applyAlignment="1">
      <alignment vertical="center" wrapText="1"/>
    </xf>
    <xf numFmtId="0" fontId="24" fillId="7" borderId="5" xfId="0" applyFont="1" applyFill="1" applyBorder="1" applyAlignment="1">
      <alignment horizontal="left" vertical="center" wrapText="1"/>
    </xf>
    <xf numFmtId="0" fontId="40" fillId="7" borderId="5" xfId="1" applyFont="1" applyFill="1" applyBorder="1" applyAlignment="1">
      <alignment horizontal="left" vertical="top" wrapText="1"/>
    </xf>
    <xf numFmtId="0" fontId="0" fillId="0" borderId="0" xfId="0" applyAlignment="1">
      <alignment vertical="center" wrapText="1"/>
    </xf>
    <xf numFmtId="0" fontId="40" fillId="7" borderId="5" xfId="5" applyFont="1" applyFill="1" applyBorder="1" applyAlignment="1">
      <alignment horizontal="left" vertical="top" wrapText="1"/>
    </xf>
    <xf numFmtId="0" fontId="21" fillId="0" borderId="0" xfId="0" applyFont="1" applyProtection="1">
      <protection locked="0"/>
    </xf>
    <xf numFmtId="0" fontId="50" fillId="11" borderId="0" xfId="0" applyFont="1" applyFill="1"/>
    <xf numFmtId="0" fontId="50" fillId="11" borderId="0" xfId="0" quotePrefix="1" applyFont="1" applyFill="1"/>
    <xf numFmtId="0" fontId="51" fillId="0" borderId="0" xfId="0" applyFont="1" applyAlignment="1" applyProtection="1">
      <alignment vertical="center" wrapText="1"/>
      <protection locked="0"/>
    </xf>
    <xf numFmtId="0" fontId="52" fillId="0" borderId="0" xfId="0" applyFont="1" applyProtection="1">
      <protection locked="0"/>
    </xf>
    <xf numFmtId="0" fontId="50" fillId="0" borderId="0" xfId="0" applyFont="1" applyProtection="1">
      <protection locked="0"/>
    </xf>
    <xf numFmtId="0" fontId="54" fillId="0" borderId="0" xfId="0" applyFont="1" applyAlignment="1" applyProtection="1">
      <alignment vertical="center" wrapText="1"/>
      <protection locked="0"/>
    </xf>
    <xf numFmtId="0" fontId="50" fillId="0" borderId="0" xfId="0" applyFont="1" applyAlignment="1" applyProtection="1">
      <alignment vertical="top" wrapText="1"/>
      <protection locked="0"/>
    </xf>
    <xf numFmtId="0" fontId="40" fillId="7" borderId="5" xfId="1" applyFont="1" applyFill="1" applyBorder="1" applyAlignment="1" applyProtection="1">
      <alignment horizontal="left" vertical="top" wrapText="1"/>
      <protection locked="0"/>
    </xf>
    <xf numFmtId="0" fontId="0" fillId="0" borderId="0" xfId="0" applyAlignment="1" applyProtection="1">
      <alignment vertical="center" wrapText="1"/>
      <protection locked="0"/>
    </xf>
    <xf numFmtId="0" fontId="40" fillId="7" borderId="5" xfId="5" applyFont="1" applyFill="1" applyBorder="1" applyAlignment="1" applyProtection="1">
      <alignment horizontal="left" vertical="top" wrapText="1"/>
      <protection locked="0"/>
    </xf>
    <xf numFmtId="0" fontId="50" fillId="0" borderId="0" xfId="0" applyFont="1" applyAlignment="1" applyProtection="1">
      <alignment vertical="center"/>
      <protection locked="0"/>
    </xf>
    <xf numFmtId="0" fontId="0" fillId="0" borderId="0" xfId="0" applyAlignment="1" applyProtection="1">
      <alignment vertical="center"/>
      <protection locked="0"/>
    </xf>
    <xf numFmtId="0" fontId="40" fillId="7" borderId="6" xfId="1" applyFont="1" applyFill="1" applyBorder="1" applyAlignment="1" applyProtection="1">
      <alignment horizontal="left" vertical="top" wrapText="1"/>
      <protection locked="0"/>
    </xf>
    <xf numFmtId="0" fontId="52" fillId="0" borderId="0" xfId="0" applyFont="1" applyAlignment="1" applyProtection="1">
      <alignment vertical="center" wrapText="1"/>
      <protection locked="0"/>
    </xf>
    <xf numFmtId="0" fontId="52" fillId="0" borderId="0" xfId="0" applyFont="1" applyAlignment="1" applyProtection="1">
      <alignment vertical="top" wrapText="1"/>
      <protection locked="0"/>
    </xf>
    <xf numFmtId="0" fontId="40" fillId="7" borderId="15" xfId="1" applyFont="1" applyFill="1" applyBorder="1" applyAlignment="1" applyProtection="1">
      <alignment horizontal="left" vertical="top" wrapText="1"/>
      <protection locked="0"/>
    </xf>
    <xf numFmtId="0" fontId="40" fillId="7" borderId="9" xfId="1" applyFont="1" applyFill="1" applyBorder="1" applyAlignment="1" applyProtection="1">
      <alignment horizontal="left" vertical="top" wrapText="1"/>
      <protection locked="0"/>
    </xf>
    <xf numFmtId="0" fontId="50" fillId="0" borderId="0" xfId="0" applyFont="1" applyAlignment="1" applyProtection="1">
      <alignment vertical="center" wrapText="1"/>
      <protection locked="0"/>
    </xf>
    <xf numFmtId="0" fontId="56" fillId="0" borderId="0" xfId="0" applyFont="1" applyAlignment="1">
      <alignment vertical="top"/>
    </xf>
    <xf numFmtId="0" fontId="31" fillId="0" borderId="0" xfId="0" quotePrefix="1" applyFont="1" applyAlignment="1">
      <alignment vertical="center"/>
    </xf>
    <xf numFmtId="0" fontId="31" fillId="0" borderId="0" xfId="0" applyFont="1"/>
    <xf numFmtId="0" fontId="18" fillId="0" borderId="0" xfId="10" applyFill="1" applyBorder="1" applyAlignment="1">
      <alignment vertical="center" wrapText="1"/>
    </xf>
    <xf numFmtId="0" fontId="0" fillId="0" borderId="7" xfId="0" applyBorder="1"/>
    <xf numFmtId="0" fontId="40" fillId="16" borderId="5" xfId="0" applyFont="1" applyFill="1" applyBorder="1" applyAlignment="1">
      <alignment horizontal="left" vertical="center" wrapText="1" indent="1"/>
    </xf>
    <xf numFmtId="0" fontId="40" fillId="16" borderId="2" xfId="0" applyFont="1" applyFill="1" applyBorder="1" applyAlignment="1">
      <alignment horizontal="left" vertical="center" wrapText="1" indent="1"/>
    </xf>
    <xf numFmtId="0" fontId="40" fillId="16" borderId="3" xfId="0" applyFont="1" applyFill="1" applyBorder="1" applyAlignment="1">
      <alignment horizontal="right" vertical="center" wrapText="1" indent="1"/>
    </xf>
    <xf numFmtId="0" fontId="24" fillId="7" borderId="5" xfId="0" applyFont="1" applyFill="1" applyBorder="1" applyAlignment="1">
      <alignment horizontal="left" vertical="center" wrapText="1" indent="1"/>
    </xf>
    <xf numFmtId="0" fontId="40" fillId="16" borderId="2" xfId="0" applyFont="1" applyFill="1" applyBorder="1" applyAlignment="1">
      <alignment horizontal="right" vertical="center"/>
    </xf>
    <xf numFmtId="0" fontId="24" fillId="7" borderId="9" xfId="0" applyFont="1" applyFill="1" applyBorder="1" applyAlignment="1">
      <alignment horizontal="left" vertical="center"/>
    </xf>
    <xf numFmtId="0" fontId="15" fillId="13" borderId="0" xfId="15" applyFill="1" applyAlignment="1">
      <alignment horizontal="center" vertical="center" wrapText="1"/>
    </xf>
    <xf numFmtId="0" fontId="24" fillId="7" borderId="5" xfId="0" quotePrefix="1" applyFont="1" applyFill="1" applyBorder="1" applyAlignment="1">
      <alignment horizontal="left" vertical="center" wrapText="1" indent="1"/>
    </xf>
    <xf numFmtId="0" fontId="15" fillId="12" borderId="0" xfId="15" quotePrefix="1" applyFill="1" applyAlignment="1">
      <alignment horizontal="center" vertical="center"/>
    </xf>
    <xf numFmtId="0" fontId="34" fillId="0" borderId="0" xfId="15" applyFont="1" applyAlignment="1">
      <alignment horizontal="left" vertical="center" wrapText="1"/>
    </xf>
    <xf numFmtId="0" fontId="39" fillId="0" borderId="0" xfId="14" applyFont="1" applyFill="1" applyBorder="1" applyAlignment="1" applyProtection="1">
      <alignment horizontal="center" vertical="center" wrapText="1"/>
    </xf>
    <xf numFmtId="0" fontId="9" fillId="0" borderId="12" xfId="14" applyFont="1" applyFill="1" applyBorder="1" applyAlignment="1" applyProtection="1">
      <alignment horizontal="center" vertical="center" wrapText="1"/>
    </xf>
    <xf numFmtId="0" fontId="33" fillId="0" borderId="0" xfId="14" applyFont="1" applyFill="1" applyBorder="1" applyAlignment="1" applyProtection="1">
      <alignment horizontal="center" vertical="center" wrapText="1"/>
    </xf>
    <xf numFmtId="0" fontId="33" fillId="0" borderId="0" xfId="14" applyFont="1" applyFill="1" applyBorder="1" applyAlignment="1" applyProtection="1">
      <alignment wrapText="1"/>
    </xf>
    <xf numFmtId="0" fontId="0" fillId="0" borderId="0" xfId="0" quotePrefix="1" applyAlignment="1">
      <alignment horizontal="left" vertical="top" wrapText="1"/>
    </xf>
    <xf numFmtId="0" fontId="40" fillId="0" borderId="5" xfId="0" applyFont="1" applyBorder="1" applyAlignment="1">
      <alignment horizontal="left" vertical="center" wrapText="1" indent="1"/>
    </xf>
    <xf numFmtId="0" fontId="25" fillId="16" borderId="5" xfId="5" applyFont="1" applyFill="1" applyBorder="1" applyAlignment="1">
      <alignment horizontal="center" vertical="top" wrapText="1"/>
    </xf>
    <xf numFmtId="0" fontId="56" fillId="0" borderId="0" xfId="0" quotePrefix="1" applyFont="1" applyAlignment="1">
      <alignment vertical="top"/>
    </xf>
    <xf numFmtId="0" fontId="66" fillId="10" borderId="0" xfId="15" applyFont="1" applyFill="1"/>
    <xf numFmtId="0" fontId="0" fillId="0" borderId="0" xfId="0" applyAlignment="1">
      <alignment horizontal="center" vertical="center"/>
    </xf>
    <xf numFmtId="0" fontId="0" fillId="18" borderId="0" xfId="0" applyFill="1"/>
    <xf numFmtId="0" fontId="67" fillId="0" borderId="0" xfId="0" applyFont="1"/>
    <xf numFmtId="0" fontId="0" fillId="0" borderId="0" xfId="0" applyAlignment="1">
      <alignment horizontal="right"/>
    </xf>
    <xf numFmtId="0" fontId="0" fillId="11" borderId="0" xfId="0" applyFill="1"/>
    <xf numFmtId="0" fontId="0" fillId="11" borderId="0" xfId="0" applyFill="1" applyAlignment="1">
      <alignment horizontal="center" vertical="center"/>
    </xf>
    <xf numFmtId="0" fontId="20" fillId="11" borderId="0" xfId="0" applyFont="1" applyFill="1" applyAlignment="1">
      <alignment horizontal="left" vertical="top"/>
    </xf>
    <xf numFmtId="0" fontId="20" fillId="11" borderId="0" xfId="0" applyFont="1" applyFill="1" applyAlignment="1">
      <alignment horizontal="left" vertical="center"/>
    </xf>
    <xf numFmtId="0" fontId="0" fillId="11" borderId="0" xfId="0" applyFill="1" applyAlignment="1">
      <alignment horizontal="left" vertical="center"/>
    </xf>
    <xf numFmtId="0" fontId="15" fillId="11" borderId="0" xfId="15" applyFill="1"/>
    <xf numFmtId="0" fontId="47" fillId="11" borderId="0" xfId="15" applyFont="1" applyFill="1"/>
    <xf numFmtId="0" fontId="31" fillId="0" borderId="0" xfId="0" applyFont="1" applyAlignment="1">
      <alignment wrapText="1"/>
    </xf>
    <xf numFmtId="0" fontId="58" fillId="0" borderId="0" xfId="0" applyFont="1" applyAlignment="1">
      <alignment wrapText="1"/>
    </xf>
    <xf numFmtId="0" fontId="58" fillId="0" borderId="0" xfId="0" applyFont="1"/>
    <xf numFmtId="0" fontId="31" fillId="0" borderId="0" xfId="0" applyFont="1" applyProtection="1">
      <protection locked="0"/>
    </xf>
    <xf numFmtId="0" fontId="42" fillId="16" borderId="2" xfId="0" applyFont="1" applyFill="1" applyBorder="1" applyAlignment="1">
      <alignment horizontal="right" vertical="center"/>
    </xf>
    <xf numFmtId="0" fontId="34" fillId="7" borderId="9" xfId="0" applyFont="1" applyFill="1" applyBorder="1" applyAlignment="1">
      <alignment horizontal="left" vertical="center"/>
    </xf>
    <xf numFmtId="0" fontId="31" fillId="0" borderId="0" xfId="10" applyFont="1" applyFill="1" applyAlignment="1">
      <alignment vertical="center" wrapText="1"/>
    </xf>
    <xf numFmtId="0" fontId="31" fillId="0" borderId="0" xfId="10" applyFont="1" applyFill="1" applyAlignment="1">
      <alignment horizontal="left" vertical="center" wrapText="1"/>
    </xf>
    <xf numFmtId="0" fontId="29" fillId="8" borderId="6" xfId="5" applyFont="1" applyFill="1" applyBorder="1" applyAlignment="1">
      <alignment horizontal="center" vertical="top" wrapText="1"/>
    </xf>
    <xf numFmtId="0" fontId="29" fillId="8" borderId="17" xfId="5" applyFont="1" applyFill="1" applyBorder="1" applyAlignment="1">
      <alignment horizontal="center" vertical="top" wrapText="1"/>
    </xf>
    <xf numFmtId="0" fontId="29" fillId="8" borderId="18" xfId="5" applyFont="1" applyFill="1" applyBorder="1" applyAlignment="1">
      <alignment horizontal="center" vertical="top" wrapText="1"/>
    </xf>
    <xf numFmtId="0" fontId="29" fillId="8" borderId="5" xfId="5" applyFont="1" applyFill="1" applyBorder="1" applyAlignment="1">
      <alignment horizontal="center" vertical="top" wrapText="1"/>
    </xf>
    <xf numFmtId="0" fontId="35" fillId="0" borderId="0" xfId="0" applyFont="1"/>
    <xf numFmtId="9" fontId="62" fillId="7" borderId="5" xfId="5" applyNumberFormat="1" applyFont="1" applyFill="1" applyBorder="1" applyAlignment="1">
      <alignment horizontal="center" vertical="center" wrapText="1"/>
    </xf>
    <xf numFmtId="0" fontId="0" fillId="18" borderId="0" xfId="0" applyFill="1" applyAlignment="1">
      <alignment horizontal="center"/>
    </xf>
    <xf numFmtId="0" fontId="0" fillId="0" borderId="0" xfId="0" applyAlignment="1">
      <alignment horizontal="center"/>
    </xf>
    <xf numFmtId="0" fontId="0" fillId="7" borderId="0" xfId="0" applyFill="1"/>
    <xf numFmtId="0" fontId="70" fillId="7" borderId="0" xfId="0" applyFont="1" applyFill="1" applyAlignment="1">
      <alignment horizontal="left" vertical="center"/>
    </xf>
    <xf numFmtId="0" fontId="0" fillId="7" borderId="0" xfId="0" applyFill="1" applyAlignment="1">
      <alignment horizontal="center" vertical="center"/>
    </xf>
    <xf numFmtId="0" fontId="0" fillId="7" borderId="24" xfId="0" applyFill="1" applyBorder="1"/>
    <xf numFmtId="0" fontId="0" fillId="7" borderId="24" xfId="0" applyFill="1" applyBorder="1" applyAlignment="1">
      <alignment horizontal="center" vertical="center"/>
    </xf>
    <xf numFmtId="0" fontId="41" fillId="0" borderId="0" xfId="0" applyFont="1" applyAlignment="1" applyProtection="1">
      <alignment horizontal="right" vertical="top"/>
      <protection locked="0"/>
    </xf>
    <xf numFmtId="0" fontId="0" fillId="14" borderId="0" xfId="0" applyFill="1" applyProtection="1">
      <protection locked="0"/>
    </xf>
    <xf numFmtId="0" fontId="0" fillId="14" borderId="0" xfId="0" applyFill="1" applyAlignment="1" applyProtection="1">
      <alignment horizontal="left"/>
      <protection locked="0"/>
    </xf>
    <xf numFmtId="0" fontId="0" fillId="7" borderId="0" xfId="0" applyFill="1" applyProtection="1">
      <protection locked="0"/>
    </xf>
    <xf numFmtId="0" fontId="74" fillId="0" borderId="0" xfId="0" applyFont="1" applyAlignment="1">
      <alignment vertical="center"/>
    </xf>
    <xf numFmtId="0" fontId="73" fillId="0" borderId="0" xfId="0" applyFont="1" applyAlignment="1">
      <alignment vertical="center"/>
    </xf>
    <xf numFmtId="0" fontId="73" fillId="0" borderId="0" xfId="0" applyFont="1"/>
    <xf numFmtId="0" fontId="69" fillId="11" borderId="23" xfId="0" applyFont="1" applyFill="1" applyBorder="1" applyAlignment="1" applyProtection="1">
      <alignment horizontal="center" vertical="center"/>
      <protection locked="0"/>
    </xf>
    <xf numFmtId="0" fontId="24" fillId="7" borderId="8" xfId="0" applyFont="1" applyFill="1" applyBorder="1" applyAlignment="1" applyProtection="1">
      <alignment horizontal="left" vertical="center" wrapText="1" indent="1"/>
      <protection locked="0"/>
    </xf>
    <xf numFmtId="0" fontId="40" fillId="8" borderId="7" xfId="0" applyFont="1" applyFill="1" applyBorder="1" applyAlignment="1" applyProtection="1">
      <alignment horizontal="right" vertical="center" wrapText="1" indent="1"/>
      <protection locked="0"/>
    </xf>
    <xf numFmtId="0" fontId="24" fillId="7" borderId="9" xfId="0" applyFont="1" applyFill="1" applyBorder="1" applyAlignment="1" applyProtection="1">
      <alignment horizontal="left" vertical="center" wrapText="1" indent="1"/>
      <protection locked="0"/>
    </xf>
    <xf numFmtId="0" fontId="40" fillId="7" borderId="5" xfId="0" applyFont="1" applyFill="1" applyBorder="1" applyAlignment="1">
      <alignment horizontal="left" vertical="center" wrapText="1" indent="1"/>
    </xf>
    <xf numFmtId="0" fontId="40" fillId="8" borderId="5" xfId="0" applyFont="1" applyFill="1" applyBorder="1" applyAlignment="1" applyProtection="1">
      <alignment horizontal="left" vertical="center" wrapText="1" indent="1"/>
      <protection locked="0"/>
    </xf>
    <xf numFmtId="0" fontId="0" fillId="0" borderId="3" xfId="0" applyBorder="1" applyProtection="1">
      <protection locked="0"/>
    </xf>
    <xf numFmtId="0" fontId="27" fillId="0" borderId="0" xfId="0" applyFont="1" applyProtection="1">
      <protection locked="0"/>
    </xf>
    <xf numFmtId="0" fontId="31" fillId="0" borderId="0" xfId="0" applyFont="1" applyAlignment="1" applyProtection="1">
      <alignment horizontal="center"/>
      <protection locked="0"/>
    </xf>
    <xf numFmtId="0" fontId="31" fillId="0" borderId="0" xfId="0" applyFont="1" applyAlignment="1" applyProtection="1">
      <alignment horizontal="center" vertical="center"/>
      <protection locked="0"/>
    </xf>
    <xf numFmtId="0" fontId="50" fillId="0" borderId="0" xfId="0" applyFont="1" applyAlignment="1" applyProtection="1">
      <alignment horizontal="center" vertical="center"/>
      <protection locked="0"/>
    </xf>
    <xf numFmtId="0" fontId="42" fillId="7" borderId="9" xfId="1" applyFont="1" applyFill="1" applyBorder="1" applyAlignment="1" applyProtection="1">
      <alignment horizontal="right" wrapText="1" indent="1"/>
      <protection locked="0"/>
    </xf>
    <xf numFmtId="1" fontId="62" fillId="21" borderId="5" xfId="1" applyNumberFormat="1" applyFont="1" applyFill="1" applyBorder="1" applyAlignment="1" applyProtection="1">
      <alignment horizontal="center" vertical="center" wrapText="1"/>
    </xf>
    <xf numFmtId="10" fontId="62" fillId="21" borderId="5" xfId="19" applyNumberFormat="1" applyFont="1" applyFill="1" applyBorder="1" applyAlignment="1" applyProtection="1">
      <alignment horizontal="center" vertical="center"/>
    </xf>
    <xf numFmtId="10" fontId="62" fillId="21" borderId="5" xfId="19" applyNumberFormat="1" applyFont="1" applyFill="1" applyBorder="1" applyAlignment="1" applyProtection="1">
      <alignment horizontal="center" vertical="center" wrapText="1"/>
    </xf>
    <xf numFmtId="2" fontId="62" fillId="7" borderId="5" xfId="5" applyNumberFormat="1" applyFont="1" applyFill="1" applyBorder="1" applyAlignment="1" applyProtection="1">
      <alignment horizontal="center" vertical="center" wrapText="1"/>
    </xf>
    <xf numFmtId="1" fontId="62" fillId="7" borderId="5" xfId="1" applyNumberFormat="1" applyFont="1" applyFill="1" applyBorder="1" applyAlignment="1" applyProtection="1">
      <alignment horizontal="center" vertical="center" wrapText="1"/>
    </xf>
    <xf numFmtId="0" fontId="0" fillId="0" borderId="3" xfId="0" applyBorder="1"/>
    <xf numFmtId="0" fontId="5" fillId="0" borderId="0" xfId="0" applyFont="1" applyAlignment="1">
      <alignment horizontal="center"/>
    </xf>
    <xf numFmtId="0" fontId="75" fillId="0" borderId="0" xfId="0" applyFont="1" applyAlignment="1">
      <alignment horizontal="center"/>
    </xf>
    <xf numFmtId="0" fontId="0" fillId="9" borderId="5" xfId="0" applyFill="1" applyBorder="1"/>
    <xf numFmtId="0" fontId="35" fillId="9" borderId="5" xfId="0" applyFont="1" applyFill="1" applyBorder="1" applyAlignment="1">
      <alignment horizontal="center"/>
    </xf>
    <xf numFmtId="0" fontId="0" fillId="7" borderId="5" xfId="0" applyFill="1" applyBorder="1"/>
    <xf numFmtId="0" fontId="20" fillId="7" borderId="6" xfId="0" applyFont="1" applyFill="1" applyBorder="1" applyAlignment="1">
      <alignment wrapText="1"/>
    </xf>
    <xf numFmtId="0" fontId="0" fillId="0" borderId="1" xfId="0" applyBorder="1"/>
    <xf numFmtId="0" fontId="0" fillId="0" borderId="5" xfId="0" applyBorder="1" applyAlignment="1">
      <alignment horizontal="left" vertical="top" wrapText="1" indent="1"/>
    </xf>
    <xf numFmtId="0" fontId="0" fillId="0" borderId="5" xfId="0" applyBorder="1" applyAlignment="1">
      <alignment horizontal="left" wrapText="1" indent="1"/>
    </xf>
    <xf numFmtId="0" fontId="20" fillId="7" borderId="15" xfId="0" applyFont="1" applyFill="1" applyBorder="1" applyAlignment="1">
      <alignment wrapText="1"/>
    </xf>
    <xf numFmtId="0" fontId="20" fillId="7" borderId="5" xfId="0" applyFont="1" applyFill="1" applyBorder="1" applyAlignment="1">
      <alignment wrapText="1"/>
    </xf>
    <xf numFmtId="0" fontId="0" fillId="0" borderId="3" xfId="0" applyBorder="1" applyAlignment="1">
      <alignment horizontal="left" wrapText="1" indent="1"/>
    </xf>
    <xf numFmtId="0" fontId="0" fillId="0" borderId="5" xfId="0" applyBorder="1" applyAlignment="1">
      <alignment horizontal="left" wrapText="1" indent="2"/>
    </xf>
    <xf numFmtId="0" fontId="58" fillId="0" borderId="0" xfId="0" applyFont="1" applyAlignment="1" applyProtection="1">
      <alignment wrapText="1"/>
      <protection locked="0"/>
    </xf>
    <xf numFmtId="0" fontId="58" fillId="0" borderId="0" xfId="0" applyFont="1" applyProtection="1">
      <protection locked="0"/>
    </xf>
    <xf numFmtId="1" fontId="76" fillId="7" borderId="5" xfId="1" applyNumberFormat="1" applyFont="1" applyFill="1" applyBorder="1" applyAlignment="1" applyProtection="1">
      <alignment horizontal="center" vertical="center" wrapText="1"/>
    </xf>
    <xf numFmtId="9" fontId="76" fillId="7" borderId="5" xfId="5" applyNumberFormat="1" applyFont="1" applyFill="1" applyBorder="1" applyAlignment="1">
      <alignment horizontal="center" vertical="center" wrapText="1"/>
    </xf>
    <xf numFmtId="0" fontId="22" fillId="0" borderId="0" xfId="0" applyFont="1"/>
    <xf numFmtId="164" fontId="76" fillId="7" borderId="5" xfId="5" applyNumberFormat="1" applyFont="1" applyFill="1" applyBorder="1" applyAlignment="1" applyProtection="1">
      <alignment horizontal="center" vertical="center" wrapText="1"/>
    </xf>
    <xf numFmtId="0" fontId="0" fillId="18" borderId="0" xfId="0" applyFill="1" applyProtection="1">
      <protection locked="0"/>
    </xf>
    <xf numFmtId="0" fontId="67" fillId="0" borderId="0" xfId="0" applyFont="1" applyProtection="1">
      <protection locked="0"/>
    </xf>
    <xf numFmtId="0" fontId="67" fillId="18" borderId="0" xfId="0" applyFont="1" applyFill="1" applyProtection="1">
      <protection locked="0"/>
    </xf>
    <xf numFmtId="0" fontId="0" fillId="19" borderId="0" xfId="0" applyFill="1" applyProtection="1">
      <protection locked="0"/>
    </xf>
    <xf numFmtId="0" fontId="67" fillId="19" borderId="0" xfId="0" applyFont="1" applyFill="1" applyProtection="1">
      <protection locked="0"/>
    </xf>
    <xf numFmtId="0" fontId="0" fillId="11" borderId="0" xfId="0" applyFill="1" applyProtection="1">
      <protection locked="0"/>
    </xf>
    <xf numFmtId="0" fontId="77" fillId="0" borderId="0" xfId="0" applyFont="1"/>
    <xf numFmtId="0" fontId="78" fillId="18" borderId="0" xfId="0" applyFont="1" applyFill="1"/>
    <xf numFmtId="0" fontId="77" fillId="0" borderId="0" xfId="0" applyFont="1" applyAlignment="1" applyProtection="1">
      <alignment horizontal="center"/>
      <protection locked="0"/>
    </xf>
    <xf numFmtId="0" fontId="77" fillId="0" borderId="0" xfId="0" applyFont="1" applyProtection="1">
      <protection locked="0"/>
    </xf>
    <xf numFmtId="0" fontId="78" fillId="18" borderId="0" xfId="0" applyFont="1" applyFill="1" applyProtection="1">
      <protection locked="0"/>
    </xf>
    <xf numFmtId="2" fontId="76" fillId="7" borderId="5" xfId="5" applyNumberFormat="1" applyFont="1" applyFill="1" applyBorder="1" applyAlignment="1" applyProtection="1">
      <alignment horizontal="center" vertical="center" wrapText="1"/>
    </xf>
    <xf numFmtId="0" fontId="22" fillId="0" borderId="0" xfId="0" applyFont="1" applyAlignment="1">
      <alignment horizontal="left" vertical="top"/>
    </xf>
    <xf numFmtId="0" fontId="22" fillId="0" borderId="0" xfId="0" applyFont="1" applyAlignment="1" applyProtection="1">
      <alignment wrapText="1"/>
      <protection locked="0"/>
    </xf>
    <xf numFmtId="0" fontId="22" fillId="0" borderId="0" xfId="0" applyFont="1" applyProtection="1">
      <protection locked="0"/>
    </xf>
    <xf numFmtId="0" fontId="22" fillId="20" borderId="0" xfId="0" applyFont="1" applyFill="1" applyAlignment="1" applyProtection="1">
      <alignment wrapText="1"/>
      <protection locked="0"/>
    </xf>
    <xf numFmtId="1" fontId="76" fillId="21" borderId="5" xfId="1" applyNumberFormat="1" applyFont="1" applyFill="1" applyBorder="1" applyAlignment="1" applyProtection="1">
      <alignment horizontal="center" vertical="center" wrapText="1"/>
    </xf>
    <xf numFmtId="10" fontId="76" fillId="21" borderId="5" xfId="19" applyNumberFormat="1" applyFont="1" applyFill="1" applyBorder="1" applyAlignment="1" applyProtection="1">
      <alignment horizontal="center" vertical="center" wrapText="1"/>
    </xf>
    <xf numFmtId="10" fontId="76" fillId="21" borderId="5" xfId="19" applyNumberFormat="1" applyFont="1" applyFill="1" applyBorder="1" applyAlignment="1" applyProtection="1">
      <alignment horizontal="center" vertical="center"/>
    </xf>
    <xf numFmtId="1" fontId="76" fillId="21" borderId="9" xfId="1" applyNumberFormat="1" applyFont="1" applyFill="1" applyBorder="1" applyAlignment="1" applyProtection="1">
      <alignment horizontal="center" vertical="center" wrapText="1"/>
    </xf>
    <xf numFmtId="9" fontId="76" fillId="7" borderId="9" xfId="5" applyNumberFormat="1" applyFont="1" applyFill="1" applyBorder="1" applyAlignment="1">
      <alignment horizontal="center" vertical="center" wrapText="1"/>
    </xf>
    <xf numFmtId="9" fontId="76" fillId="7" borderId="5" xfId="5" applyNumberFormat="1" applyFont="1" applyFill="1" applyBorder="1" applyAlignment="1">
      <alignment horizontal="center" vertical="top" wrapText="1"/>
    </xf>
    <xf numFmtId="2" fontId="76" fillId="7" borderId="5" xfId="5" applyNumberFormat="1" applyFont="1" applyFill="1" applyBorder="1" applyAlignment="1">
      <alignment horizontal="center" vertical="center" wrapText="1"/>
    </xf>
    <xf numFmtId="0" fontId="76" fillId="21" borderId="5" xfId="19" applyNumberFormat="1" applyFont="1" applyFill="1" applyBorder="1" applyAlignment="1" applyProtection="1">
      <alignment horizontal="center" vertical="center" wrapText="1"/>
    </xf>
    <xf numFmtId="0" fontId="76" fillId="21" borderId="5" xfId="19" applyNumberFormat="1" applyFont="1" applyFill="1" applyBorder="1" applyAlignment="1" applyProtection="1">
      <alignment horizontal="center" vertical="center"/>
    </xf>
    <xf numFmtId="9" fontId="76" fillId="7" borderId="5" xfId="5" applyNumberFormat="1" applyFont="1" applyFill="1" applyBorder="1" applyAlignment="1" applyProtection="1">
      <alignment horizontal="center" vertical="center" wrapText="1"/>
    </xf>
    <xf numFmtId="1" fontId="76" fillId="7" borderId="8" xfId="1" applyNumberFormat="1" applyFont="1" applyFill="1" applyBorder="1" applyAlignment="1" applyProtection="1">
      <alignment horizontal="center" vertical="center" wrapText="1"/>
    </xf>
    <xf numFmtId="1" fontId="76" fillId="7" borderId="4" xfId="1" applyNumberFormat="1" applyFont="1" applyFill="1" applyBorder="1" applyAlignment="1" applyProtection="1">
      <alignment horizontal="center" vertical="center" wrapText="1"/>
    </xf>
    <xf numFmtId="0" fontId="44" fillId="0" borderId="0" xfId="0" applyFont="1" applyAlignment="1">
      <alignment horizontal="center"/>
    </xf>
    <xf numFmtId="0" fontId="18" fillId="0" borderId="7" xfId="10" applyFill="1" applyBorder="1" applyAlignment="1">
      <alignment vertical="center" wrapText="1"/>
    </xf>
    <xf numFmtId="10" fontId="62" fillId="21" borderId="5" xfId="1" applyNumberFormat="1" applyFont="1" applyFill="1" applyBorder="1" applyAlignment="1" applyProtection="1">
      <alignment horizontal="center" vertical="center" wrapText="1"/>
    </xf>
    <xf numFmtId="10" fontId="76" fillId="21" borderId="5" xfId="1" applyNumberFormat="1" applyFont="1" applyFill="1" applyBorder="1" applyAlignment="1" applyProtection="1">
      <alignment horizontal="center" vertical="center" wrapText="1"/>
    </xf>
    <xf numFmtId="0" fontId="34" fillId="0" borderId="1" xfId="1" applyFont="1"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24" fillId="0" borderId="1" xfId="5"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34" fillId="7" borderId="1" xfId="0" applyFont="1" applyFill="1" applyBorder="1" applyAlignment="1">
      <alignment horizontal="left" vertical="center" indent="1"/>
    </xf>
    <xf numFmtId="0" fontId="31" fillId="7" borderId="3" xfId="0" applyFont="1" applyFill="1" applyBorder="1" applyAlignment="1">
      <alignment horizontal="left" vertical="center" indent="1"/>
    </xf>
    <xf numFmtId="0" fontId="31" fillId="7" borderId="4" xfId="0" applyFont="1" applyFill="1" applyBorder="1" applyAlignment="1">
      <alignment horizontal="left" vertical="center" indent="1"/>
    </xf>
    <xf numFmtId="0" fontId="0" fillId="0" borderId="14" xfId="0" applyBorder="1" applyAlignment="1">
      <alignment vertical="top" wrapText="1"/>
    </xf>
    <xf numFmtId="0" fontId="0" fillId="0" borderId="13" xfId="0" applyBorder="1" applyAlignment="1">
      <alignment vertical="top" wrapText="1"/>
    </xf>
    <xf numFmtId="0" fontId="0" fillId="0" borderId="13" xfId="0" applyBorder="1" applyAlignment="1">
      <alignment wrapText="1"/>
    </xf>
    <xf numFmtId="0" fontId="0" fillId="0" borderId="11" xfId="0" applyBorder="1" applyAlignment="1">
      <alignment wrapText="1"/>
    </xf>
    <xf numFmtId="0" fontId="0" fillId="0" borderId="19" xfId="0" applyBorder="1" applyAlignment="1">
      <alignment vertical="top" wrapText="1"/>
    </xf>
    <xf numFmtId="0" fontId="0" fillId="0" borderId="0" xfId="0" applyAlignment="1">
      <alignment vertical="top" wrapText="1"/>
    </xf>
    <xf numFmtId="0" fontId="0" fillId="0" borderId="0" xfId="0" applyAlignment="1">
      <alignment wrapText="1"/>
    </xf>
    <xf numFmtId="0" fontId="0" fillId="0" borderId="10" xfId="0" applyBorder="1" applyAlignment="1">
      <alignment wrapText="1"/>
    </xf>
    <xf numFmtId="0" fontId="0" fillId="0" borderId="19" xfId="0" applyBorder="1" applyAlignment="1">
      <alignment wrapText="1"/>
    </xf>
    <xf numFmtId="0" fontId="0" fillId="0" borderId="2"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1" xfId="0" applyBorder="1" applyAlignment="1" applyProtection="1">
      <alignment horizontal="left" vertical="top" wrapText="1"/>
      <protection locked="0"/>
    </xf>
    <xf numFmtId="0" fontId="20" fillId="7" borderId="1"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4" fillId="0" borderId="1" xfId="1" applyFont="1" applyFill="1" applyBorder="1" applyAlignment="1" applyProtection="1">
      <alignment horizontal="left" vertical="top" wrapText="1"/>
      <protection locked="0"/>
    </xf>
    <xf numFmtId="0" fontId="34" fillId="0" borderId="1" xfId="5" applyFont="1" applyFill="1" applyBorder="1" applyAlignment="1" applyProtection="1">
      <alignment horizontal="left" vertical="top" wrapText="1"/>
      <protection locked="0"/>
    </xf>
    <xf numFmtId="0" fontId="48" fillId="0" borderId="1" xfId="1" applyFont="1" applyFill="1" applyBorder="1" applyAlignment="1" applyProtection="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34" fillId="0" borderId="1" xfId="1" applyFont="1" applyFill="1" applyBorder="1" applyAlignment="1" applyProtection="1">
      <alignment horizontal="left" vertical="top" indent="1" shrinkToFit="1"/>
      <protection locked="0"/>
    </xf>
    <xf numFmtId="0" fontId="0" fillId="0" borderId="4" xfId="0" applyBorder="1" applyAlignment="1" applyProtection="1">
      <alignment horizontal="left" vertical="top" indent="1" shrinkToFit="1"/>
      <protection locked="0"/>
    </xf>
    <xf numFmtId="0" fontId="0" fillId="0" borderId="0" xfId="0" quotePrefix="1" applyAlignment="1">
      <alignment horizontal="left" vertical="center" wrapText="1"/>
    </xf>
    <xf numFmtId="0" fontId="0" fillId="0" borderId="0" xfId="0" applyAlignment="1">
      <alignment horizontal="left" vertical="center"/>
    </xf>
    <xf numFmtId="0" fontId="0" fillId="0" borderId="7" xfId="0" applyBorder="1" applyAlignment="1">
      <alignment vertical="center"/>
    </xf>
    <xf numFmtId="0" fontId="55" fillId="0" borderId="0" xfId="0" applyFont="1" applyAlignment="1">
      <alignment horizontal="left" vertical="center" wrapText="1"/>
    </xf>
    <xf numFmtId="0" fontId="9" fillId="0" borderId="0" xfId="0" applyFont="1" applyAlignment="1">
      <alignment horizontal="center" vertical="center"/>
    </xf>
    <xf numFmtId="0" fontId="31" fillId="0" borderId="0" xfId="0" applyFont="1" applyAlignment="1">
      <alignment horizontal="center" vertical="center"/>
    </xf>
    <xf numFmtId="0" fontId="0" fillId="0" borderId="1" xfId="0" applyBorder="1" applyAlignment="1" applyProtection="1">
      <alignment horizontal="center" vertical="center" wrapText="1"/>
      <protection locked="0"/>
    </xf>
    <xf numFmtId="0" fontId="24" fillId="0" borderId="1" xfId="1" applyFont="1" applyFill="1" applyBorder="1" applyAlignment="1" applyProtection="1">
      <alignment horizontal="left" vertical="top" wrapText="1"/>
      <protection locked="0"/>
    </xf>
    <xf numFmtId="0" fontId="48" fillId="0" borderId="1" xfId="1" applyFont="1" applyFill="1" applyBorder="1" applyAlignment="1" applyProtection="1">
      <alignment horizontal="center" vertical="center" wrapText="1"/>
      <protection locked="0"/>
    </xf>
    <xf numFmtId="0" fontId="49" fillId="0" borderId="3" xfId="0" applyFont="1" applyBorder="1" applyAlignment="1" applyProtection="1">
      <alignment horizontal="center" vertical="center" wrapText="1"/>
      <protection locked="0"/>
    </xf>
    <xf numFmtId="0" fontId="49" fillId="0" borderId="4" xfId="0" applyFont="1" applyBorder="1" applyAlignment="1" applyProtection="1">
      <alignment horizontal="center" vertical="center" wrapText="1"/>
      <protection locked="0"/>
    </xf>
    <xf numFmtId="0" fontId="24" fillId="11" borderId="1" xfId="0"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6" fillId="7" borderId="1" xfId="14" applyFont="1" applyFill="1" applyBorder="1" applyAlignment="1" applyProtection="1">
      <alignment horizontal="center" vertical="center" wrapText="1"/>
    </xf>
    <xf numFmtId="0" fontId="16" fillId="7" borderId="3" xfId="14" applyFont="1" applyFill="1" applyBorder="1" applyAlignment="1" applyProtection="1">
      <alignment horizontal="center" vertical="center" wrapText="1"/>
    </xf>
    <xf numFmtId="0" fontId="16" fillId="7" borderId="4" xfId="14" applyFont="1" applyFill="1" applyBorder="1" applyAlignment="1" applyProtection="1">
      <alignment horizontal="center" vertical="center" wrapText="1"/>
    </xf>
    <xf numFmtId="0" fontId="34" fillId="0" borderId="0" xfId="15" applyFont="1" applyAlignment="1">
      <alignment horizontal="left" vertical="center" wrapText="1"/>
    </xf>
    <xf numFmtId="0" fontId="34" fillId="0" borderId="0" xfId="16" applyFont="1" applyAlignment="1">
      <alignment horizontal="left" vertical="top" wrapText="1"/>
    </xf>
    <xf numFmtId="0" fontId="0" fillId="0" borderId="0" xfId="0" applyAlignment="1" applyProtection="1">
      <alignment vertical="top" wrapText="1"/>
      <protection locked="0"/>
    </xf>
    <xf numFmtId="0" fontId="0" fillId="0" borderId="0" xfId="0" applyAlignment="1" applyProtection="1">
      <alignment vertical="top"/>
      <protection locked="0"/>
    </xf>
    <xf numFmtId="0" fontId="72" fillId="7" borderId="0" xfId="0" applyFont="1" applyFill="1" applyAlignment="1">
      <alignment wrapText="1"/>
    </xf>
    <xf numFmtId="0" fontId="0" fillId="0" borderId="0" xfId="0"/>
    <xf numFmtId="0" fontId="0" fillId="11" borderId="1" xfId="0"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11" borderId="3" xfId="0" applyFill="1" applyBorder="1" applyAlignment="1" applyProtection="1">
      <alignment horizontal="left"/>
      <protection locked="0"/>
    </xf>
    <xf numFmtId="0" fontId="15" fillId="11" borderId="0" xfId="15" applyFill="1" applyAlignment="1">
      <alignment wrapText="1"/>
    </xf>
    <xf numFmtId="0" fontId="0" fillId="11" borderId="0" xfId="0" applyFill="1" applyAlignment="1">
      <alignment wrapText="1"/>
    </xf>
    <xf numFmtId="0" fontId="9" fillId="0" borderId="0" xfId="0" applyFont="1" applyAlignment="1" applyProtection="1">
      <alignment horizontal="center" vertical="center"/>
      <protection locked="0"/>
    </xf>
    <xf numFmtId="0" fontId="31" fillId="0" borderId="0" xfId="0" applyFont="1" applyAlignment="1" applyProtection="1">
      <alignment horizontal="center" vertical="center"/>
      <protection locked="0"/>
    </xf>
    <xf numFmtId="0" fontId="42" fillId="7" borderId="1" xfId="0" applyFont="1" applyFill="1" applyBorder="1" applyAlignment="1" applyProtection="1">
      <alignment horizontal="left" vertical="center" indent="1"/>
      <protection locked="0"/>
    </xf>
    <xf numFmtId="0" fontId="35" fillId="7" borderId="3" xfId="0" applyFont="1" applyFill="1" applyBorder="1" applyAlignment="1" applyProtection="1">
      <alignment horizontal="left" vertical="center" indent="1"/>
      <protection locked="0"/>
    </xf>
    <xf numFmtId="0" fontId="35" fillId="7" borderId="4" xfId="0" applyFont="1" applyFill="1" applyBorder="1" applyAlignment="1" applyProtection="1">
      <alignment horizontal="left" vertical="center" indent="1"/>
      <protection locked="0"/>
    </xf>
    <xf numFmtId="0" fontId="0" fillId="0" borderId="1"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24" fillId="0" borderId="1" xfId="0" applyFont="1" applyBorder="1" applyAlignment="1" applyProtection="1">
      <alignment horizontal="center" vertical="center"/>
      <protection locked="0"/>
    </xf>
    <xf numFmtId="0" fontId="0" fillId="0" borderId="3" xfId="0" applyBorder="1" applyAlignment="1">
      <alignment horizontal="center" vertical="center"/>
    </xf>
    <xf numFmtId="0" fontId="0" fillId="0" borderId="4" xfId="0" applyBorder="1" applyAlignment="1">
      <alignment horizontal="center" vertical="center"/>
    </xf>
    <xf numFmtId="0" fontId="29" fillId="0" borderId="14" xfId="1" applyFont="1" applyFill="1" applyBorder="1" applyAlignment="1" applyProtection="1">
      <alignment horizontal="left" vertical="top" wrapText="1"/>
      <protection locked="0"/>
    </xf>
    <xf numFmtId="0" fontId="27" fillId="0" borderId="13" xfId="0" applyFont="1" applyBorder="1" applyAlignment="1" applyProtection="1">
      <alignment horizontal="left" vertical="top" wrapText="1"/>
      <protection locked="0"/>
    </xf>
    <xf numFmtId="0" fontId="27" fillId="0" borderId="11" xfId="0" applyFont="1" applyBorder="1" applyAlignment="1" applyProtection="1">
      <alignment horizontal="left" vertical="top" wrapText="1"/>
      <protection locked="0"/>
    </xf>
    <xf numFmtId="0" fontId="34" fillId="0" borderId="1" xfId="1" applyFont="1" applyFill="1" applyBorder="1" applyAlignment="1" applyProtection="1">
      <alignment horizontal="left" wrapText="1" indent="1"/>
      <protection locked="0"/>
    </xf>
    <xf numFmtId="0" fontId="0" fillId="0" borderId="4" xfId="0" applyBorder="1" applyAlignment="1" applyProtection="1">
      <alignment horizontal="left" wrapText="1" indent="1"/>
      <protection locked="0"/>
    </xf>
    <xf numFmtId="0" fontId="24" fillId="0" borderId="1" xfId="1" applyFont="1" applyFill="1" applyBorder="1" applyAlignment="1" applyProtection="1">
      <alignment horizontal="center" vertical="center" wrapText="1"/>
      <protection locked="0"/>
    </xf>
    <xf numFmtId="0" fontId="21" fillId="0" borderId="14" xfId="1" applyFont="1" applyFill="1" applyBorder="1" applyAlignment="1" applyProtection="1">
      <alignment horizontal="left" vertical="top" wrapText="1"/>
      <protection locked="0"/>
    </xf>
    <xf numFmtId="0" fontId="21" fillId="0" borderId="13"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4" fillId="0" borderId="1" xfId="5" applyFont="1" applyFill="1" applyBorder="1" applyAlignment="1" applyProtection="1">
      <alignment horizontal="center" vertical="center" wrapText="1"/>
      <protection locked="0"/>
    </xf>
    <xf numFmtId="0" fontId="29" fillId="0" borderId="19" xfId="1"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10" xfId="0" applyBorder="1" applyAlignment="1">
      <alignment horizontal="left" vertical="top" wrapText="1"/>
    </xf>
    <xf numFmtId="0" fontId="27" fillId="0" borderId="2" xfId="1" applyFont="1" applyFill="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34" fillId="7" borderId="1" xfId="0" applyFont="1" applyFill="1" applyBorder="1" applyAlignment="1">
      <alignment horizontal="left" vertical="center"/>
    </xf>
    <xf numFmtId="0" fontId="31" fillId="7" borderId="3" xfId="0" applyFont="1" applyFill="1" applyBorder="1"/>
    <xf numFmtId="0" fontId="31" fillId="0" borderId="4" xfId="0" applyFont="1" applyBorder="1"/>
    <xf numFmtId="0" fontId="31" fillId="7" borderId="3" xfId="0" applyFont="1" applyFill="1" applyBorder="1" applyAlignment="1">
      <alignment vertical="center"/>
    </xf>
    <xf numFmtId="0" fontId="31" fillId="0" borderId="4" xfId="0" applyFont="1" applyBorder="1" applyAlignment="1">
      <alignment vertical="center"/>
    </xf>
    <xf numFmtId="0" fontId="62" fillId="21" borderId="1" xfId="5" applyFont="1" applyFill="1" applyBorder="1" applyAlignment="1" applyProtection="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top" wrapText="1"/>
    </xf>
    <xf numFmtId="0" fontId="58" fillId="0" borderId="5" xfId="5" applyFont="1" applyFill="1" applyBorder="1" applyAlignment="1">
      <alignment horizontal="left" vertical="center" wrapText="1"/>
    </xf>
    <xf numFmtId="0" fontId="22" fillId="0" borderId="5" xfId="5" applyFont="1" applyFill="1" applyBorder="1" applyAlignment="1">
      <alignment horizontal="left" vertical="center" wrapText="1"/>
    </xf>
    <xf numFmtId="1" fontId="35" fillId="7" borderId="5" xfId="1" applyNumberFormat="1" applyFont="1" applyFill="1" applyBorder="1" applyAlignment="1">
      <alignment horizontal="center" vertical="center" wrapText="1"/>
    </xf>
    <xf numFmtId="0" fontId="11" fillId="7" borderId="5" xfId="0" applyFont="1" applyFill="1" applyBorder="1" applyAlignment="1">
      <alignment horizontal="center" vertical="center" wrapText="1"/>
    </xf>
    <xf numFmtId="0" fontId="68" fillId="7" borderId="5" xfId="0" applyFont="1" applyFill="1" applyBorder="1" applyAlignment="1">
      <alignment horizontal="center" vertical="center" wrapText="1"/>
    </xf>
    <xf numFmtId="0" fontId="59" fillId="7" borderId="5" xfId="0" applyFont="1" applyFill="1" applyBorder="1" applyAlignment="1">
      <alignment horizontal="center" vertical="center" wrapText="1"/>
    </xf>
    <xf numFmtId="0" fontId="42" fillId="16" borderId="1" xfId="0" applyFont="1" applyFill="1" applyBorder="1" applyAlignment="1">
      <alignment horizontal="left" vertical="center"/>
    </xf>
    <xf numFmtId="0" fontId="31" fillId="16" borderId="3" xfId="0" applyFont="1" applyFill="1" applyBorder="1"/>
    <xf numFmtId="0" fontId="31" fillId="16" borderId="4" xfId="0" applyFont="1" applyFill="1" applyBorder="1"/>
    <xf numFmtId="0" fontId="31" fillId="0" borderId="20" xfId="0" applyFont="1" applyBorder="1" applyAlignment="1" applyProtection="1">
      <alignment vertical="top"/>
      <protection locked="0"/>
    </xf>
    <xf numFmtId="0" fontId="31" fillId="0" borderId="21" xfId="0" applyFont="1" applyBorder="1" applyAlignment="1" applyProtection="1">
      <alignment vertical="top"/>
      <protection locked="0"/>
    </xf>
    <xf numFmtId="0" fontId="31" fillId="0" borderId="22" xfId="0" applyFont="1" applyBorder="1" applyAlignment="1" applyProtection="1">
      <alignment vertical="top"/>
      <protection locked="0"/>
    </xf>
    <xf numFmtId="1" fontId="62" fillId="21" borderId="5" xfId="1" applyNumberFormat="1" applyFont="1" applyFill="1" applyBorder="1" applyAlignment="1" applyProtection="1">
      <alignment horizontal="left" vertical="center" wrapText="1"/>
    </xf>
    <xf numFmtId="1" fontId="76" fillId="21" borderId="5" xfId="1" applyNumberFormat="1" applyFont="1" applyFill="1" applyBorder="1" applyAlignment="1" applyProtection="1">
      <alignment horizontal="left" vertical="center" wrapText="1"/>
    </xf>
    <xf numFmtId="0" fontId="37" fillId="0" borderId="13" xfId="10" applyFont="1" applyFill="1" applyBorder="1" applyAlignment="1">
      <alignment vertical="center" wrapText="1"/>
    </xf>
    <xf numFmtId="0" fontId="35" fillId="8" borderId="5" xfId="0" applyFont="1" applyFill="1" applyBorder="1" applyAlignment="1">
      <alignment horizontal="center" vertical="center" wrapText="1"/>
    </xf>
    <xf numFmtId="0" fontId="57" fillId="8" borderId="5" xfId="0" applyFont="1" applyFill="1" applyBorder="1" applyAlignment="1">
      <alignment horizontal="center" vertical="center" wrapText="1"/>
    </xf>
    <xf numFmtId="1" fontId="35" fillId="8" borderId="14" xfId="1" applyNumberFormat="1" applyFont="1" applyFill="1" applyBorder="1" applyAlignment="1">
      <alignment horizontal="center" vertical="center" wrapText="1"/>
    </xf>
    <xf numFmtId="1" fontId="35" fillId="8" borderId="13" xfId="1" applyNumberFormat="1" applyFont="1" applyFill="1" applyBorder="1" applyAlignment="1">
      <alignment horizontal="center" vertical="center" wrapText="1"/>
    </xf>
    <xf numFmtId="1" fontId="35" fillId="8" borderId="11" xfId="1" applyNumberFormat="1" applyFont="1" applyFill="1" applyBorder="1" applyAlignment="1">
      <alignment horizontal="center" vertical="center" wrapText="1"/>
    </xf>
    <xf numFmtId="0" fontId="58" fillId="11" borderId="5" xfId="5" applyFont="1" applyFill="1" applyBorder="1" applyAlignment="1">
      <alignment horizontal="left" vertical="center" wrapText="1"/>
    </xf>
    <xf numFmtId="0" fontId="22" fillId="11" borderId="5" xfId="5" applyFont="1" applyFill="1" applyBorder="1" applyAlignment="1">
      <alignment horizontal="left" vertical="center" wrapText="1"/>
    </xf>
    <xf numFmtId="1" fontId="35" fillId="7" borderId="5" xfId="1" applyNumberFormat="1" applyFont="1" applyFill="1" applyBorder="1" applyAlignment="1">
      <alignment horizontal="left" vertical="center" wrapText="1"/>
    </xf>
    <xf numFmtId="1" fontId="29" fillId="8" borderId="5" xfId="1" applyNumberFormat="1" applyFont="1" applyFill="1" applyBorder="1" applyAlignment="1">
      <alignment horizontal="center" vertical="center" wrapText="1"/>
    </xf>
    <xf numFmtId="0" fontId="35" fillId="7" borderId="5" xfId="0" applyFont="1" applyFill="1" applyBorder="1" applyAlignment="1">
      <alignment horizontal="center" vertical="center" wrapText="1"/>
    </xf>
    <xf numFmtId="0" fontId="30" fillId="7" borderId="5"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0" fillId="8" borderId="15" xfId="0" applyFont="1" applyFill="1" applyBorder="1" applyAlignment="1">
      <alignment horizontal="center" vertical="center" wrapText="1"/>
    </xf>
    <xf numFmtId="0" fontId="30" fillId="8" borderId="9" xfId="0" applyFont="1" applyFill="1" applyBorder="1" applyAlignment="1">
      <alignment horizontal="center" vertical="center" wrapText="1"/>
    </xf>
    <xf numFmtId="0" fontId="62" fillId="21" borderId="1" xfId="5" applyFont="1" applyFill="1" applyBorder="1" applyAlignment="1" applyProtection="1">
      <alignment horizontal="left" vertical="center"/>
    </xf>
    <xf numFmtId="0" fontId="0" fillId="7" borderId="3" xfId="0" applyFill="1" applyBorder="1" applyAlignment="1">
      <alignment vertical="center"/>
    </xf>
    <xf numFmtId="0" fontId="0" fillId="0" borderId="4" xfId="0" applyBorder="1" applyAlignment="1">
      <alignment vertical="center"/>
    </xf>
    <xf numFmtId="0" fontId="24" fillId="7" borderId="1" xfId="0" applyFont="1" applyFill="1" applyBorder="1" applyAlignment="1">
      <alignment horizontal="left" vertical="center"/>
    </xf>
    <xf numFmtId="0" fontId="0" fillId="7" borderId="3" xfId="0" applyFill="1" applyBorder="1"/>
    <xf numFmtId="0" fontId="0" fillId="0" borderId="4" xfId="0" applyBorder="1"/>
    <xf numFmtId="0" fontId="40" fillId="16" borderId="1" xfId="0" applyFont="1" applyFill="1" applyBorder="1" applyAlignment="1">
      <alignment horizontal="left" vertical="center"/>
    </xf>
    <xf numFmtId="0" fontId="0" fillId="16" borderId="3" xfId="0" applyFill="1" applyBorder="1"/>
    <xf numFmtId="0" fontId="0" fillId="16" borderId="4" xfId="0" applyFill="1" applyBorder="1"/>
    <xf numFmtId="1" fontId="20" fillId="7" borderId="5" xfId="1" applyNumberFormat="1" applyFont="1" applyFill="1" applyBorder="1" applyAlignment="1">
      <alignment horizontal="center" vertical="center" wrapText="1"/>
    </xf>
    <xf numFmtId="0" fontId="58" fillId="0" borderId="5" xfId="5" applyFont="1" applyFill="1" applyBorder="1" applyAlignment="1">
      <alignment horizontal="left" vertical="top" wrapText="1"/>
    </xf>
    <xf numFmtId="0" fontId="22" fillId="0" borderId="5" xfId="5" applyFont="1" applyFill="1" applyBorder="1" applyAlignment="1">
      <alignment horizontal="left" vertical="top" wrapText="1"/>
    </xf>
    <xf numFmtId="0" fontId="68" fillId="7" borderId="6" xfId="0" applyFont="1" applyFill="1" applyBorder="1" applyAlignment="1">
      <alignment horizontal="center" vertical="center" wrapText="1"/>
    </xf>
    <xf numFmtId="0" fontId="68" fillId="7" borderId="15" xfId="0" applyFont="1" applyFill="1" applyBorder="1" applyAlignment="1">
      <alignment horizontal="center" vertical="center" wrapText="1"/>
    </xf>
    <xf numFmtId="0" fontId="59" fillId="7" borderId="15" xfId="0" applyFont="1" applyFill="1" applyBorder="1" applyAlignment="1">
      <alignment horizontal="center" vertical="center" wrapText="1"/>
    </xf>
    <xf numFmtId="0" fontId="68" fillId="7" borderId="9" xfId="0" applyFont="1" applyFill="1" applyBorder="1" applyAlignment="1">
      <alignment horizontal="center" vertical="center" wrapText="1"/>
    </xf>
    <xf numFmtId="1" fontId="62" fillId="21" borderId="1" xfId="1" applyNumberFormat="1" applyFont="1" applyFill="1" applyBorder="1" applyAlignment="1" applyProtection="1">
      <alignment horizontal="left" vertical="center"/>
    </xf>
    <xf numFmtId="1" fontId="20" fillId="7" borderId="5" xfId="1" applyNumberFormat="1" applyFont="1" applyFill="1" applyBorder="1" applyAlignment="1">
      <alignment horizontal="left" vertical="center" wrapText="1"/>
    </xf>
    <xf numFmtId="0" fontId="62" fillId="21" borderId="5" xfId="5" applyFont="1" applyFill="1" applyBorder="1" applyAlignment="1" applyProtection="1">
      <alignment horizontal="left" vertical="center" wrapText="1"/>
    </xf>
    <xf numFmtId="0" fontId="76" fillId="21" borderId="5" xfId="5" applyFont="1" applyFill="1" applyBorder="1" applyAlignment="1" applyProtection="1">
      <alignment horizontal="left" vertical="center" wrapText="1"/>
    </xf>
    <xf numFmtId="0" fontId="30" fillId="8" borderId="5" xfId="0" applyFont="1" applyFill="1" applyBorder="1" applyAlignment="1">
      <alignment horizontal="center" vertical="center" wrapText="1"/>
    </xf>
    <xf numFmtId="1" fontId="25" fillId="8" borderId="5" xfId="1" applyNumberFormat="1" applyFont="1" applyFill="1" applyBorder="1" applyAlignment="1">
      <alignment horizontal="center" vertical="center" wrapText="1"/>
    </xf>
    <xf numFmtId="0" fontId="0" fillId="0" borderId="20" xfId="0" applyBorder="1" applyAlignment="1" applyProtection="1">
      <alignment vertical="top"/>
      <protection locked="0"/>
    </xf>
    <xf numFmtId="0" fontId="0" fillId="0" borderId="21" xfId="0" applyBorder="1" applyAlignment="1" applyProtection="1">
      <alignment vertical="top"/>
      <protection locked="0"/>
    </xf>
    <xf numFmtId="0" fontId="0" fillId="0" borderId="22" xfId="0" applyBorder="1" applyAlignment="1" applyProtection="1">
      <alignment vertical="top"/>
      <protection locked="0"/>
    </xf>
    <xf numFmtId="0" fontId="30" fillId="8" borderId="6" xfId="0" applyFont="1" applyFill="1" applyBorder="1" applyAlignment="1">
      <alignment horizontal="center" vertical="center" wrapText="1"/>
    </xf>
    <xf numFmtId="0" fontId="57" fillId="8" borderId="15" xfId="0" applyFont="1" applyFill="1" applyBorder="1" applyAlignment="1">
      <alignment horizontal="center" vertical="center" wrapText="1"/>
    </xf>
    <xf numFmtId="1" fontId="20" fillId="8" borderId="14" xfId="1" applyNumberFormat="1" applyFont="1" applyFill="1" applyBorder="1" applyAlignment="1">
      <alignment horizontal="center" vertical="center" wrapText="1"/>
    </xf>
    <xf numFmtId="1" fontId="20" fillId="8" borderId="13" xfId="1" applyNumberFormat="1" applyFont="1" applyFill="1" applyBorder="1" applyAlignment="1">
      <alignment horizontal="center" vertical="center" wrapText="1"/>
    </xf>
    <xf numFmtId="1" fontId="20" fillId="8" borderId="11" xfId="1" applyNumberFormat="1" applyFont="1" applyFill="1" applyBorder="1" applyAlignment="1">
      <alignment horizontal="center" vertical="center" wrapText="1"/>
    </xf>
    <xf numFmtId="0" fontId="61" fillId="0" borderId="1" xfId="0" applyFont="1" applyBorder="1" applyAlignment="1">
      <alignment horizontal="left" vertical="center" wrapText="1"/>
    </xf>
    <xf numFmtId="0" fontId="22" fillId="0" borderId="3" xfId="0" applyFont="1" applyBorder="1" applyAlignment="1">
      <alignment wrapText="1"/>
    </xf>
    <xf numFmtId="0" fontId="22" fillId="0" borderId="4" xfId="0" applyFont="1" applyBorder="1" applyAlignment="1">
      <alignment wrapText="1"/>
    </xf>
    <xf numFmtId="0" fontId="43" fillId="0" borderId="0" xfId="10" applyFont="1" applyFill="1" applyAlignment="1">
      <alignment horizontal="center" vertical="center" wrapText="1"/>
    </xf>
    <xf numFmtId="1" fontId="20" fillId="7" borderId="1" xfId="1" applyNumberFormat="1" applyFont="1" applyFill="1" applyBorder="1" applyAlignment="1">
      <alignment horizontal="center" vertical="center" wrapText="1"/>
    </xf>
    <xf numFmtId="1" fontId="20" fillId="7" borderId="3" xfId="1" applyNumberFormat="1" applyFont="1" applyFill="1" applyBorder="1" applyAlignment="1">
      <alignment horizontal="center" vertical="center" wrapText="1"/>
    </xf>
    <xf numFmtId="1" fontId="20" fillId="7" borderId="4" xfId="1" applyNumberFormat="1" applyFont="1" applyFill="1" applyBorder="1" applyAlignment="1">
      <alignment horizontal="center" vertical="center" wrapText="1"/>
    </xf>
    <xf numFmtId="0" fontId="31" fillId="7" borderId="1" xfId="5" applyFont="1" applyFill="1" applyBorder="1" applyAlignment="1">
      <alignment horizontal="left" vertical="top" wrapText="1"/>
    </xf>
    <xf numFmtId="0" fontId="31" fillId="7" borderId="3" xfId="5" applyFont="1" applyFill="1" applyBorder="1" applyAlignment="1">
      <alignment horizontal="left" vertical="top" wrapText="1"/>
    </xf>
    <xf numFmtId="0" fontId="31" fillId="7" borderId="4" xfId="5" applyFont="1" applyFill="1" applyBorder="1" applyAlignment="1">
      <alignment horizontal="left" vertical="top" wrapText="1"/>
    </xf>
    <xf numFmtId="0" fontId="28" fillId="7" borderId="6" xfId="0" applyFont="1" applyFill="1" applyBorder="1" applyAlignment="1">
      <alignment horizontal="center" vertical="center" wrapText="1"/>
    </xf>
    <xf numFmtId="0" fontId="28" fillId="7" borderId="15" xfId="0" applyFont="1" applyFill="1" applyBorder="1" applyAlignment="1">
      <alignment horizontal="center" vertical="center" wrapText="1"/>
    </xf>
    <xf numFmtId="0" fontId="31" fillId="7" borderId="1" xfId="5" applyFont="1" applyFill="1" applyBorder="1" applyAlignment="1">
      <alignment horizontal="left" wrapText="1"/>
    </xf>
    <xf numFmtId="0" fontId="31" fillId="7" borderId="3" xfId="5" applyFont="1" applyFill="1" applyBorder="1" applyAlignment="1">
      <alignment horizontal="left" wrapText="1"/>
    </xf>
    <xf numFmtId="0" fontId="31" fillId="7" borderId="4" xfId="5" applyFont="1" applyFill="1" applyBorder="1" applyAlignment="1">
      <alignment horizontal="left" wrapText="1"/>
    </xf>
    <xf numFmtId="0" fontId="22" fillId="0" borderId="3" xfId="0" applyFont="1" applyBorder="1" applyAlignment="1">
      <alignment horizontal="left" wrapText="1"/>
    </xf>
    <xf numFmtId="0" fontId="22" fillId="0" borderId="4" xfId="0" applyFont="1" applyBorder="1" applyAlignment="1">
      <alignment horizontal="left" wrapText="1"/>
    </xf>
    <xf numFmtId="0" fontId="58" fillId="11" borderId="5" xfId="5" applyFont="1" applyFill="1" applyBorder="1" applyAlignment="1">
      <alignment horizontal="left" vertical="top" wrapText="1"/>
    </xf>
    <xf numFmtId="0" fontId="22" fillId="11" borderId="5" xfId="5" applyFont="1" applyFill="1" applyBorder="1" applyAlignment="1">
      <alignment horizontal="left" vertical="top" wrapText="1"/>
    </xf>
    <xf numFmtId="1" fontId="20" fillId="8" borderId="5" xfId="1" applyNumberFormat="1" applyFont="1" applyFill="1" applyBorder="1" applyAlignment="1">
      <alignment horizontal="center" vertical="center" wrapText="1"/>
    </xf>
    <xf numFmtId="0" fontId="20" fillId="8" borderId="5"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58" fillId="0" borderId="1" xfId="5" applyFont="1" applyFill="1" applyBorder="1" applyAlignment="1">
      <alignment horizontal="left" vertical="center" wrapText="1"/>
    </xf>
    <xf numFmtId="0" fontId="58" fillId="0" borderId="3" xfId="5" applyFont="1" applyFill="1" applyBorder="1" applyAlignment="1">
      <alignment horizontal="left" vertical="center" wrapText="1"/>
    </xf>
    <xf numFmtId="0" fontId="58" fillId="0" borderId="4" xfId="5" applyFont="1" applyFill="1" applyBorder="1" applyAlignment="1">
      <alignment horizontal="left" vertical="center" wrapText="1"/>
    </xf>
    <xf numFmtId="0" fontId="35" fillId="8" borderId="15" xfId="0" applyFont="1" applyFill="1" applyBorder="1" applyAlignment="1">
      <alignment horizontal="center" vertical="center" wrapText="1"/>
    </xf>
    <xf numFmtId="0" fontId="0" fillId="0" borderId="20" xfId="0" applyBorder="1" applyAlignment="1" applyProtection="1">
      <alignment horizontal="left" vertical="top"/>
      <protection locked="0"/>
    </xf>
    <xf numFmtId="0" fontId="0" fillId="0" borderId="21" xfId="0" applyBorder="1" applyAlignment="1" applyProtection="1">
      <alignment horizontal="left" vertical="top"/>
      <protection locked="0"/>
    </xf>
    <xf numFmtId="0" fontId="0" fillId="0" borderId="22" xfId="0" applyBorder="1" applyAlignment="1" applyProtection="1">
      <alignment horizontal="left" vertical="top"/>
      <protection locked="0"/>
    </xf>
    <xf numFmtId="0" fontId="11" fillId="7" borderId="6"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62" fillId="0" borderId="5" xfId="5" applyFont="1" applyFill="1" applyBorder="1" applyAlignment="1">
      <alignment horizontal="left" vertical="center" wrapText="1"/>
    </xf>
    <xf numFmtId="0" fontId="76" fillId="0" borderId="5" xfId="5" applyFont="1" applyFill="1" applyBorder="1" applyAlignment="1">
      <alignment horizontal="left" vertical="center" wrapText="1"/>
    </xf>
    <xf numFmtId="0" fontId="62" fillId="11" borderId="5" xfId="5" applyFont="1" applyFill="1" applyBorder="1" applyAlignment="1">
      <alignment horizontal="left" vertical="center" wrapText="1"/>
    </xf>
    <xf numFmtId="0" fontId="76" fillId="11" borderId="5" xfId="5" applyFont="1" applyFill="1" applyBorder="1" applyAlignment="1">
      <alignment horizontal="left" vertical="center" wrapText="1"/>
    </xf>
    <xf numFmtId="0" fontId="62" fillId="0" borderId="1" xfId="5" applyFont="1" applyFill="1" applyBorder="1" applyAlignment="1">
      <alignment horizontal="left" vertical="center" wrapText="1"/>
    </xf>
    <xf numFmtId="0" fontId="76" fillId="0" borderId="3" xfId="5" applyFont="1" applyFill="1" applyBorder="1" applyAlignment="1">
      <alignment horizontal="left" vertical="center" wrapText="1"/>
    </xf>
    <xf numFmtId="0" fontId="76" fillId="0" borderId="4" xfId="5" applyFont="1" applyFill="1" applyBorder="1" applyAlignment="1">
      <alignment horizontal="left" vertical="center" wrapText="1"/>
    </xf>
    <xf numFmtId="0" fontId="35" fillId="8" borderId="9" xfId="0" applyFont="1" applyFill="1" applyBorder="1" applyAlignment="1">
      <alignment horizontal="center" vertical="center" wrapText="1"/>
    </xf>
    <xf numFmtId="1" fontId="25" fillId="8" borderId="19" xfId="1" applyNumberFormat="1" applyFont="1" applyFill="1" applyBorder="1" applyAlignment="1">
      <alignment horizontal="center" vertical="center" wrapText="1"/>
    </xf>
    <xf numFmtId="1" fontId="25" fillId="8" borderId="0" xfId="1" applyNumberFormat="1" applyFont="1" applyFill="1" applyBorder="1" applyAlignment="1">
      <alignment horizontal="center" vertical="center" wrapText="1"/>
    </xf>
    <xf numFmtId="0" fontId="0" fillId="0" borderId="10" xfId="0" applyBorder="1"/>
    <xf numFmtId="1" fontId="62" fillId="21" borderId="1" xfId="1" applyNumberFormat="1" applyFont="1" applyFill="1" applyBorder="1" applyAlignment="1" applyProtection="1">
      <alignment horizontal="left" vertical="center" wrapText="1"/>
    </xf>
    <xf numFmtId="1" fontId="76" fillId="21" borderId="3" xfId="1" applyNumberFormat="1" applyFont="1" applyFill="1" applyBorder="1" applyAlignment="1" applyProtection="1">
      <alignment horizontal="left" vertical="center" wrapText="1"/>
    </xf>
    <xf numFmtId="0" fontId="22" fillId="21" borderId="3" xfId="0" applyFont="1" applyFill="1" applyBorder="1"/>
    <xf numFmtId="0" fontId="22" fillId="21" borderId="4" xfId="0" applyFont="1" applyFill="1" applyBorder="1"/>
    <xf numFmtId="1" fontId="20" fillId="8" borderId="1" xfId="1" applyNumberFormat="1" applyFont="1" applyFill="1" applyBorder="1" applyAlignment="1">
      <alignment horizontal="center" vertical="center" wrapText="1"/>
    </xf>
    <xf numFmtId="1" fontId="20" fillId="8" borderId="3" xfId="1" applyNumberFormat="1" applyFont="1" applyFill="1"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wrapText="1"/>
    </xf>
    <xf numFmtId="0" fontId="22" fillId="21" borderId="3" xfId="0" applyFont="1" applyFill="1" applyBorder="1" applyAlignment="1" applyProtection="1">
      <alignment horizontal="left" vertical="center"/>
    </xf>
    <xf numFmtId="0" fontId="22" fillId="21" borderId="4" xfId="0" applyFont="1" applyFill="1" applyBorder="1" applyAlignment="1" applyProtection="1">
      <alignment horizontal="left" vertical="center"/>
    </xf>
    <xf numFmtId="0" fontId="22" fillId="21" borderId="3" xfId="0" applyFont="1" applyFill="1" applyBorder="1" applyAlignment="1" applyProtection="1">
      <alignment horizontal="left" vertical="center" wrapText="1"/>
    </xf>
    <xf numFmtId="0" fontId="22" fillId="21" borderId="4" xfId="0" applyFont="1" applyFill="1" applyBorder="1" applyAlignment="1" applyProtection="1">
      <alignment horizontal="left" vertical="center" wrapText="1"/>
    </xf>
    <xf numFmtId="0" fontId="76" fillId="21" borderId="3" xfId="0" applyFont="1" applyFill="1" applyBorder="1" applyAlignment="1" applyProtection="1">
      <alignment horizontal="left" vertical="center"/>
    </xf>
    <xf numFmtId="0" fontId="76" fillId="21" borderId="4" xfId="0" applyFont="1" applyFill="1" applyBorder="1" applyAlignment="1" applyProtection="1">
      <alignment horizontal="left" vertical="center"/>
    </xf>
    <xf numFmtId="0" fontId="62" fillId="21" borderId="5" xfId="0" applyFont="1" applyFill="1" applyBorder="1" applyAlignment="1" applyProtection="1">
      <alignment horizontal="left"/>
    </xf>
    <xf numFmtId="0" fontId="76" fillId="21" borderId="5" xfId="0" applyFont="1" applyFill="1" applyBorder="1" applyAlignment="1" applyProtection="1">
      <alignment horizontal="left"/>
    </xf>
    <xf numFmtId="0" fontId="62" fillId="21" borderId="5" xfId="0" applyFont="1" applyFill="1" applyBorder="1" applyAlignment="1" applyProtection="1">
      <alignment horizontal="left" vertical="center" wrapText="1"/>
    </xf>
    <xf numFmtId="0" fontId="76" fillId="21" borderId="5" xfId="0" applyFont="1" applyFill="1" applyBorder="1" applyAlignment="1" applyProtection="1">
      <alignment horizontal="left"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cellXfs>
  <cellStyles count="45">
    <cellStyle name="20% - Accent1" xfId="1" builtinId="30"/>
    <cellStyle name="20% - Accent1 2" xfId="2" xr:uid="{00000000-0005-0000-0000-000001000000}"/>
    <cellStyle name="20% - Accent1 2 2" xfId="3" xr:uid="{00000000-0005-0000-0000-000002000000}"/>
    <cellStyle name="20% - Accent1 2 2 2" xfId="32" xr:uid="{00000000-0005-0000-0000-000003000000}"/>
    <cellStyle name="20% - Accent1 2 3" xfId="30" xr:uid="{00000000-0005-0000-0000-000004000000}"/>
    <cellStyle name="20% - Accent1 3" xfId="4" xr:uid="{00000000-0005-0000-0000-000005000000}"/>
    <cellStyle name="20% - Accent1 3 2" xfId="38" xr:uid="{00000000-0005-0000-0000-000006000000}"/>
    <cellStyle name="20% - Accent1 4" xfId="26" xr:uid="{00000000-0005-0000-0000-000007000000}"/>
    <cellStyle name="40% - Accent1" xfId="5" builtinId="31"/>
    <cellStyle name="40% - Accent1 2" xfId="6" xr:uid="{00000000-0005-0000-0000-000009000000}"/>
    <cellStyle name="40% - Accent1 2 2" xfId="7" xr:uid="{00000000-0005-0000-0000-00000A000000}"/>
    <cellStyle name="40% - Accent1 2 2 2" xfId="33" xr:uid="{00000000-0005-0000-0000-00000B000000}"/>
    <cellStyle name="40% - Accent1 2 3" xfId="31" xr:uid="{00000000-0005-0000-0000-00000C000000}"/>
    <cellStyle name="40% - Accent1 3" xfId="27" xr:uid="{00000000-0005-0000-0000-00000D000000}"/>
    <cellStyle name="40% - Accent3 2" xfId="8" xr:uid="{00000000-0005-0000-0000-00000E000000}"/>
    <cellStyle name="40% - Accent3 2 2" xfId="36" xr:uid="{00000000-0005-0000-0000-00000F000000}"/>
    <cellStyle name="40% - Accent4 2" xfId="9" xr:uid="{00000000-0005-0000-0000-000010000000}"/>
    <cellStyle name="40% - Accent4 2 2" xfId="37" xr:uid="{00000000-0005-0000-0000-000011000000}"/>
    <cellStyle name="40% - Accent6" xfId="10" builtinId="51"/>
    <cellStyle name="60% - Accent1 2" xfId="21" xr:uid="{00000000-0005-0000-0000-000013000000}"/>
    <cellStyle name="Currency 2" xfId="11" xr:uid="{00000000-0005-0000-0000-000014000000}"/>
    <cellStyle name="Currency 3" xfId="12" xr:uid="{00000000-0005-0000-0000-000015000000}"/>
    <cellStyle name="Currency 3 2" xfId="13" xr:uid="{00000000-0005-0000-0000-000016000000}"/>
    <cellStyle name="Currency 3 2 2" xfId="35" xr:uid="{00000000-0005-0000-0000-000017000000}"/>
    <cellStyle name="Currency 3 3" xfId="29" xr:uid="{00000000-0005-0000-0000-000018000000}"/>
    <cellStyle name="Heading 1" xfId="14" builtinId="16"/>
    <cellStyle name="Normal" xfId="0" builtinId="0"/>
    <cellStyle name="Normal 2" xfId="15" xr:uid="{00000000-0005-0000-0000-00001B000000}"/>
    <cellStyle name="Normal 2 2" xfId="16" xr:uid="{00000000-0005-0000-0000-00001C000000}"/>
    <cellStyle name="Normal 2 2 2" xfId="34" xr:uid="{00000000-0005-0000-0000-00001D000000}"/>
    <cellStyle name="Normal 2 3" xfId="17" xr:uid="{00000000-0005-0000-0000-00001E000000}"/>
    <cellStyle name="Normal 2 3 2" xfId="39" xr:uid="{00000000-0005-0000-0000-00001F000000}"/>
    <cellStyle name="Normal 2 4" xfId="23" xr:uid="{00000000-0005-0000-0000-000020000000}"/>
    <cellStyle name="Normal 2 4 2" xfId="41" xr:uid="{00000000-0005-0000-0000-000021000000}"/>
    <cellStyle name="Normal 2 5" xfId="44" xr:uid="{00000000-0005-0000-0000-000022000000}"/>
    <cellStyle name="Normal 2 6" xfId="28" xr:uid="{00000000-0005-0000-0000-000023000000}"/>
    <cellStyle name="Normal 3" xfId="18" xr:uid="{00000000-0005-0000-0000-000024000000}"/>
    <cellStyle name="Normal 4" xfId="22" xr:uid="{00000000-0005-0000-0000-000025000000}"/>
    <cellStyle name="Normal 4 2" xfId="40" xr:uid="{00000000-0005-0000-0000-000026000000}"/>
    <cellStyle name="Normal 5" xfId="24" xr:uid="{00000000-0005-0000-0000-000027000000}"/>
    <cellStyle name="Normal 5 2" xfId="42" xr:uid="{00000000-0005-0000-0000-000028000000}"/>
    <cellStyle name="Normal 6" xfId="25" xr:uid="{00000000-0005-0000-0000-000029000000}"/>
    <cellStyle name="Normal 6 2" xfId="43" xr:uid="{00000000-0005-0000-0000-00002A000000}"/>
    <cellStyle name="Normal 7" xfId="20" xr:uid="{00000000-0005-0000-0000-00002B000000}"/>
    <cellStyle name="Percent" xfId="19" builtinId="5"/>
  </cellStyles>
  <dxfs count="6">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1" defaultTableStyle="TableStyleMedium2" defaultPivotStyle="PivotStyleLight16">
    <tableStyle name="Invisible" pivot="0" table="0" count="0" xr9:uid="{538AF2F4-A545-4C37-9805-D95B0426A6F3}"/>
  </tableStyles>
  <colors>
    <mruColors>
      <color rgb="FF5B9BD5"/>
      <color rgb="FF26B3CA"/>
      <color rgb="FF00B450"/>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CheckBox" fmlaLink="cbEMP" lockText="1" noThreeD="1"/>
</file>

<file path=xl/ctrlProps/ctrlProp10.xml><?xml version="1.0" encoding="utf-8"?>
<formControlPr xmlns="http://schemas.microsoft.com/office/spreadsheetml/2009/9/main" objectType="CheckBox" fmlaLink="cbINF" lockText="1" noThreeD="1"/>
</file>

<file path=xl/ctrlProps/ctrlProp11.xml><?xml version="1.0" encoding="utf-8"?>
<formControlPr xmlns="http://schemas.microsoft.com/office/spreadsheetml/2009/9/main" objectType="CheckBox" fmlaLink="cbHLTH" lockText="1" noThreeD="1"/>
</file>

<file path=xl/ctrlProps/ctrlProp12.xml><?xml version="1.0" encoding="utf-8"?>
<formControlPr xmlns="http://schemas.microsoft.com/office/spreadsheetml/2009/9/main" objectType="CheckBox" fmlaLink="cbCIVG" lockText="1" noThreeD="1"/>
</file>

<file path=xl/ctrlProps/ctrlProp2.xml><?xml version="1.0" encoding="utf-8"?>
<formControlPr xmlns="http://schemas.microsoft.com/office/spreadsheetml/2009/9/main" objectType="CheckBox" fmlaLink="cbHOU" lockText="1" noThreeD="1"/>
</file>

<file path=xl/ctrlProps/ctrlProp3.xml><?xml version="1.0" encoding="utf-8"?>
<formControlPr xmlns="http://schemas.microsoft.com/office/spreadsheetml/2009/9/main" objectType="CheckBox" fmlaLink="cbEDU" lockText="1" noThreeD="1"/>
</file>

<file path=xl/ctrlProps/ctrlProp4.xml><?xml version="1.0" encoding="utf-8"?>
<formControlPr xmlns="http://schemas.microsoft.com/office/spreadsheetml/2009/9/main" objectType="CheckBox" fmlaLink="cbINF" lockText="1" noThreeD="1"/>
</file>

<file path=xl/ctrlProps/ctrlProp5.xml><?xml version="1.0" encoding="utf-8"?>
<formControlPr xmlns="http://schemas.microsoft.com/office/spreadsheetml/2009/9/main" objectType="CheckBox" fmlaLink="cbHLTH" lockText="1" noThreeD="1"/>
</file>

<file path=xl/ctrlProps/ctrlProp6.xml><?xml version="1.0" encoding="utf-8"?>
<formControlPr xmlns="http://schemas.microsoft.com/office/spreadsheetml/2009/9/main" objectType="CheckBox" fmlaLink="cbCIVG" lockText="1" noThreeD="1"/>
</file>

<file path=xl/ctrlProps/ctrlProp7.xml><?xml version="1.0" encoding="utf-8"?>
<formControlPr xmlns="http://schemas.microsoft.com/office/spreadsheetml/2009/9/main" objectType="CheckBox" fmlaLink="cbEMP" lockText="1" noThreeD="1"/>
</file>

<file path=xl/ctrlProps/ctrlProp8.xml><?xml version="1.0" encoding="utf-8"?>
<formControlPr xmlns="http://schemas.microsoft.com/office/spreadsheetml/2009/9/main" objectType="CheckBox" fmlaLink="cbHOU" lockText="1" noThreeD="1"/>
</file>

<file path=xl/ctrlProps/ctrlProp9.xml><?xml version="1.0" encoding="utf-8"?>
<formControlPr xmlns="http://schemas.microsoft.com/office/spreadsheetml/2009/9/main" objectType="CheckBox" fmlaLink="cbEDU"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114300</xdr:rowOff>
    </xdr:from>
    <xdr:to>
      <xdr:col>12</xdr:col>
      <xdr:colOff>66731</xdr:colOff>
      <xdr:row>29</xdr:row>
      <xdr:rowOff>104814</xdr:rowOff>
    </xdr:to>
    <xdr:pic>
      <xdr:nvPicPr>
        <xdr:cNvPr id="2" name="Picture 1">
          <a:extLst>
            <a:ext uri="{FF2B5EF4-FFF2-40B4-BE49-F238E27FC236}">
              <a16:creationId xmlns:a16="http://schemas.microsoft.com/office/drawing/2014/main" id="{B35E78A3-4160-CB9E-2C00-A4C397862C38}"/>
            </a:ext>
          </a:extLst>
        </xdr:cNvPr>
        <xdr:cNvPicPr>
          <a:picLocks noChangeAspect="1"/>
        </xdr:cNvPicPr>
      </xdr:nvPicPr>
      <xdr:blipFill>
        <a:blip xmlns:r="http://schemas.openxmlformats.org/officeDocument/2006/relationships" r:embed="rId1"/>
        <a:stretch>
          <a:fillRect/>
        </a:stretch>
      </xdr:blipFill>
      <xdr:spPr>
        <a:xfrm>
          <a:off x="161925" y="114300"/>
          <a:ext cx="7677206" cy="5238789"/>
        </a:xfrm>
        <a:prstGeom prst="rect">
          <a:avLst/>
        </a:prstGeom>
      </xdr:spPr>
    </xdr:pic>
    <xdr:clientData/>
  </xdr:twoCellAnchor>
  <xdr:twoCellAnchor>
    <xdr:from>
      <xdr:col>12</xdr:col>
      <xdr:colOff>390525</xdr:colOff>
      <xdr:row>0</xdr:row>
      <xdr:rowOff>123825</xdr:rowOff>
    </xdr:from>
    <xdr:to>
      <xdr:col>14</xdr:col>
      <xdr:colOff>295275</xdr:colOff>
      <xdr:row>2</xdr:row>
      <xdr:rowOff>36195</xdr:rowOff>
    </xdr:to>
    <xdr:sp macro="[0]!exitForm" textlink="">
      <xdr:nvSpPr>
        <xdr:cNvPr id="4" name="cmdSave">
          <a:extLst>
            <a:ext uri="{FF2B5EF4-FFF2-40B4-BE49-F238E27FC236}">
              <a16:creationId xmlns:a16="http://schemas.microsoft.com/office/drawing/2014/main" id="{E674752E-FDEA-4F5E-8895-B9A09F13162E}"/>
            </a:ext>
          </a:extLst>
        </xdr:cNvPr>
        <xdr:cNvSpPr/>
      </xdr:nvSpPr>
      <xdr:spPr>
        <a:xfrm>
          <a:off x="8162925" y="123825"/>
          <a:ext cx="1200150" cy="27432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Exit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123816</xdr:colOff>
      <xdr:row>0</xdr:row>
      <xdr:rowOff>95250</xdr:rowOff>
    </xdr:from>
    <xdr:to>
      <xdr:col>6</xdr:col>
      <xdr:colOff>28566</xdr:colOff>
      <xdr:row>0</xdr:row>
      <xdr:rowOff>406146</xdr:rowOff>
    </xdr:to>
    <xdr:sp macro="[0]!exitForm" textlink="">
      <xdr:nvSpPr>
        <xdr:cNvPr id="2" name="cmdSave">
          <a:extLst>
            <a:ext uri="{FF2B5EF4-FFF2-40B4-BE49-F238E27FC236}">
              <a16:creationId xmlns:a16="http://schemas.microsoft.com/office/drawing/2014/main" id="{17962008-20DB-4E18-9A26-31D09C291306}"/>
            </a:ext>
          </a:extLst>
        </xdr:cNvPr>
        <xdr:cNvSpPr/>
      </xdr:nvSpPr>
      <xdr:spPr>
        <a:xfrm>
          <a:off x="2371716" y="95250"/>
          <a:ext cx="1200150" cy="31089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Save &amp; Exit</a:t>
          </a:r>
        </a:p>
      </xdr:txBody>
    </xdr:sp>
    <xdr:clientData/>
  </xdr:twoCellAnchor>
  <xdr:twoCellAnchor>
    <xdr:from>
      <xdr:col>17</xdr:col>
      <xdr:colOff>390525</xdr:colOff>
      <xdr:row>0</xdr:row>
      <xdr:rowOff>95250</xdr:rowOff>
    </xdr:from>
    <xdr:to>
      <xdr:col>19</xdr:col>
      <xdr:colOff>295275</xdr:colOff>
      <xdr:row>0</xdr:row>
      <xdr:rowOff>406146</xdr:rowOff>
    </xdr:to>
    <xdr:sp macro="[0]!cancelForm_Edit" textlink="">
      <xdr:nvSpPr>
        <xdr:cNvPr id="3" name="cmdSave">
          <a:extLst>
            <a:ext uri="{FF2B5EF4-FFF2-40B4-BE49-F238E27FC236}">
              <a16:creationId xmlns:a16="http://schemas.microsoft.com/office/drawing/2014/main" id="{389FB53B-E74B-41AF-95BC-90A59B60EB80}"/>
            </a:ext>
          </a:extLst>
        </xdr:cNvPr>
        <xdr:cNvSpPr/>
      </xdr:nvSpPr>
      <xdr:spPr>
        <a:xfrm>
          <a:off x="11058525" y="95250"/>
          <a:ext cx="1200150" cy="31089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Cancel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104775</xdr:rowOff>
    </xdr:from>
    <xdr:to>
      <xdr:col>2</xdr:col>
      <xdr:colOff>561975</xdr:colOff>
      <xdr:row>3</xdr:row>
      <xdr:rowOff>108585</xdr:rowOff>
    </xdr:to>
    <xdr:sp macro="[0]!exitForm" textlink="">
      <xdr:nvSpPr>
        <xdr:cNvPr id="2" name="cmdSave">
          <a:extLst>
            <a:ext uri="{FF2B5EF4-FFF2-40B4-BE49-F238E27FC236}">
              <a16:creationId xmlns:a16="http://schemas.microsoft.com/office/drawing/2014/main" id="{BC2F9E41-13F2-4523-9845-A5AE5427648E}"/>
            </a:ext>
          </a:extLst>
        </xdr:cNvPr>
        <xdr:cNvSpPr/>
      </xdr:nvSpPr>
      <xdr:spPr>
        <a:xfrm>
          <a:off x="249721" y="411232"/>
          <a:ext cx="1198493" cy="368244"/>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Save &amp; Exit</a:t>
          </a:r>
        </a:p>
      </xdr:txBody>
    </xdr:sp>
    <xdr:clientData/>
  </xdr:twoCellAnchor>
  <xdr:twoCellAnchor>
    <xdr:from>
      <xdr:col>14</xdr:col>
      <xdr:colOff>142017</xdr:colOff>
      <xdr:row>1</xdr:row>
      <xdr:rowOff>104775</xdr:rowOff>
    </xdr:from>
    <xdr:to>
      <xdr:col>16</xdr:col>
      <xdr:colOff>46767</xdr:colOff>
      <xdr:row>3</xdr:row>
      <xdr:rowOff>108585</xdr:rowOff>
    </xdr:to>
    <xdr:sp macro="[0]!processCmd" textlink="">
      <xdr:nvSpPr>
        <xdr:cNvPr id="9" name="cmdCIVG">
          <a:extLst>
            <a:ext uri="{FF2B5EF4-FFF2-40B4-BE49-F238E27FC236}">
              <a16:creationId xmlns:a16="http://schemas.microsoft.com/office/drawing/2014/main" id="{FBE3A7BE-975C-4AFC-B5F6-0D5D5E62E0A5}"/>
            </a:ext>
          </a:extLst>
        </xdr:cNvPr>
        <xdr:cNvSpPr/>
      </xdr:nvSpPr>
      <xdr:spPr>
        <a:xfrm>
          <a:off x="8780778" y="411232"/>
          <a:ext cx="1196837"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Civic - Goal</a:t>
          </a:r>
          <a:r>
            <a:rPr lang="en-US" sz="1100" baseline="0"/>
            <a:t>s</a:t>
          </a:r>
          <a:endParaRPr lang="en-US" sz="1100"/>
        </a:p>
      </xdr:txBody>
    </xdr:sp>
    <xdr:clientData fLocksWithSheet="0"/>
  </xdr:twoCellAnchor>
  <xdr:twoCellAnchor>
    <xdr:from>
      <xdr:col>3</xdr:col>
      <xdr:colOff>214411</xdr:colOff>
      <xdr:row>1</xdr:row>
      <xdr:rowOff>104775</xdr:rowOff>
    </xdr:from>
    <xdr:to>
      <xdr:col>5</xdr:col>
      <xdr:colOff>119161</xdr:colOff>
      <xdr:row>3</xdr:row>
      <xdr:rowOff>108585</xdr:rowOff>
    </xdr:to>
    <xdr:sp macro="[0]!processCmd" textlink="">
      <xdr:nvSpPr>
        <xdr:cNvPr id="10" name="cmdEMP">
          <a:extLst>
            <a:ext uri="{FF2B5EF4-FFF2-40B4-BE49-F238E27FC236}">
              <a16:creationId xmlns:a16="http://schemas.microsoft.com/office/drawing/2014/main" id="{12230F56-E6E4-40BF-A2BF-6CAD42ECE205}"/>
            </a:ext>
          </a:extLst>
        </xdr:cNvPr>
        <xdr:cNvSpPr/>
      </xdr:nvSpPr>
      <xdr:spPr>
        <a:xfrm>
          <a:off x="1746694" y="411232"/>
          <a:ext cx="1196837"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Employment</a:t>
          </a:r>
        </a:p>
      </xdr:txBody>
    </xdr:sp>
    <xdr:clientData fLocksWithSheet="0"/>
  </xdr:twoCellAnchor>
  <xdr:twoCellAnchor>
    <xdr:from>
      <xdr:col>12</xdr:col>
      <xdr:colOff>27287</xdr:colOff>
      <xdr:row>1</xdr:row>
      <xdr:rowOff>104775</xdr:rowOff>
    </xdr:from>
    <xdr:to>
      <xdr:col>13</xdr:col>
      <xdr:colOff>578081</xdr:colOff>
      <xdr:row>3</xdr:row>
      <xdr:rowOff>108585</xdr:rowOff>
    </xdr:to>
    <xdr:sp macro="[0]!processCmd" textlink="">
      <xdr:nvSpPr>
        <xdr:cNvPr id="11" name="cmdHLTH">
          <a:extLst>
            <a:ext uri="{FF2B5EF4-FFF2-40B4-BE49-F238E27FC236}">
              <a16:creationId xmlns:a16="http://schemas.microsoft.com/office/drawing/2014/main" id="{119F1709-EE98-4736-B3D4-949E54AE279D}"/>
            </a:ext>
          </a:extLst>
        </xdr:cNvPr>
        <xdr:cNvSpPr/>
      </xdr:nvSpPr>
      <xdr:spPr>
        <a:xfrm>
          <a:off x="7373961" y="411232"/>
          <a:ext cx="1196837"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Health</a:t>
          </a:r>
        </a:p>
      </xdr:txBody>
    </xdr:sp>
    <xdr:clientData fLocksWithSheet="0"/>
  </xdr:twoCellAnchor>
  <xdr:twoCellAnchor>
    <xdr:from>
      <xdr:col>9</xdr:col>
      <xdr:colOff>558601</xdr:colOff>
      <xdr:row>1</xdr:row>
      <xdr:rowOff>104775</xdr:rowOff>
    </xdr:from>
    <xdr:to>
      <xdr:col>11</xdr:col>
      <xdr:colOff>463351</xdr:colOff>
      <xdr:row>3</xdr:row>
      <xdr:rowOff>108585</xdr:rowOff>
    </xdr:to>
    <xdr:sp macro="[0]!processCmd" textlink="">
      <xdr:nvSpPr>
        <xdr:cNvPr id="12" name="cmdHou">
          <a:extLst>
            <a:ext uri="{FF2B5EF4-FFF2-40B4-BE49-F238E27FC236}">
              <a16:creationId xmlns:a16="http://schemas.microsoft.com/office/drawing/2014/main" id="{66A787B1-8C18-46DB-8B13-97EFC08EA1CA}"/>
            </a:ext>
          </a:extLst>
        </xdr:cNvPr>
        <xdr:cNvSpPr/>
      </xdr:nvSpPr>
      <xdr:spPr>
        <a:xfrm>
          <a:off x="5967144" y="411232"/>
          <a:ext cx="1196837"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Housing</a:t>
          </a:r>
        </a:p>
      </xdr:txBody>
    </xdr:sp>
    <xdr:clientData fLocksWithSheet="0"/>
  </xdr:twoCellAnchor>
  <xdr:twoCellAnchor>
    <xdr:from>
      <xdr:col>7</xdr:col>
      <xdr:colOff>443871</xdr:colOff>
      <xdr:row>1</xdr:row>
      <xdr:rowOff>104775</xdr:rowOff>
    </xdr:from>
    <xdr:to>
      <xdr:col>9</xdr:col>
      <xdr:colOff>348621</xdr:colOff>
      <xdr:row>3</xdr:row>
      <xdr:rowOff>108585</xdr:rowOff>
    </xdr:to>
    <xdr:sp macro="[0]!processCmd" textlink="">
      <xdr:nvSpPr>
        <xdr:cNvPr id="13" name="cmdINF">
          <a:extLst>
            <a:ext uri="{FF2B5EF4-FFF2-40B4-BE49-F238E27FC236}">
              <a16:creationId xmlns:a16="http://schemas.microsoft.com/office/drawing/2014/main" id="{D27158E8-5164-4D46-B883-6845FF519053}"/>
            </a:ext>
          </a:extLst>
        </xdr:cNvPr>
        <xdr:cNvSpPr/>
      </xdr:nvSpPr>
      <xdr:spPr>
        <a:xfrm>
          <a:off x="4560328" y="411232"/>
          <a:ext cx="1196836"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Infastructure</a:t>
          </a:r>
        </a:p>
      </xdr:txBody>
    </xdr:sp>
    <xdr:clientData fLocksWithSheet="0"/>
  </xdr:twoCellAnchor>
  <xdr:twoCellAnchor>
    <xdr:from>
      <xdr:col>5</xdr:col>
      <xdr:colOff>329141</xdr:colOff>
      <xdr:row>1</xdr:row>
      <xdr:rowOff>104775</xdr:rowOff>
    </xdr:from>
    <xdr:to>
      <xdr:col>7</xdr:col>
      <xdr:colOff>233891</xdr:colOff>
      <xdr:row>3</xdr:row>
      <xdr:rowOff>108585</xdr:rowOff>
    </xdr:to>
    <xdr:sp macro="[0]!processCmd" textlink="">
      <xdr:nvSpPr>
        <xdr:cNvPr id="14" name="cmdEDU">
          <a:extLst>
            <a:ext uri="{FF2B5EF4-FFF2-40B4-BE49-F238E27FC236}">
              <a16:creationId xmlns:a16="http://schemas.microsoft.com/office/drawing/2014/main" id="{6BE8E2B6-1CAE-42C3-A66E-0B3A30A803FC}"/>
            </a:ext>
          </a:extLst>
        </xdr:cNvPr>
        <xdr:cNvSpPr/>
      </xdr:nvSpPr>
      <xdr:spPr>
        <a:xfrm>
          <a:off x="3153511" y="411232"/>
          <a:ext cx="1196837"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Education</a:t>
          </a:r>
        </a:p>
      </xdr:txBody>
    </xdr:sp>
    <xdr:clientData fLocksWithSheet="0"/>
  </xdr:twoCellAnchor>
  <xdr:twoCellAnchor>
    <xdr:from>
      <xdr:col>16</xdr:col>
      <xdr:colOff>256747</xdr:colOff>
      <xdr:row>1</xdr:row>
      <xdr:rowOff>104775</xdr:rowOff>
    </xdr:from>
    <xdr:to>
      <xdr:col>18</xdr:col>
      <xdr:colOff>161497</xdr:colOff>
      <xdr:row>3</xdr:row>
      <xdr:rowOff>108585</xdr:rowOff>
    </xdr:to>
    <xdr:sp macro="[0]!processCmd" textlink="">
      <xdr:nvSpPr>
        <xdr:cNvPr id="15" name="cmdCOM">
          <a:extLst>
            <a:ext uri="{FF2B5EF4-FFF2-40B4-BE49-F238E27FC236}">
              <a16:creationId xmlns:a16="http://schemas.microsoft.com/office/drawing/2014/main" id="{CB99C94F-6B8A-4D6C-8928-513194F8E3F8}"/>
            </a:ext>
          </a:extLst>
        </xdr:cNvPr>
        <xdr:cNvSpPr/>
      </xdr:nvSpPr>
      <xdr:spPr>
        <a:xfrm>
          <a:off x="10187595" y="411232"/>
          <a:ext cx="1196837"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Community</a:t>
          </a:r>
        </a:p>
      </xdr:txBody>
    </xdr:sp>
    <xdr:clientData fLocksWithSheet="0"/>
  </xdr:twoCellAnchor>
  <xdr:twoCellAnchor>
    <xdr:from>
      <xdr:col>18</xdr:col>
      <xdr:colOff>371475</xdr:colOff>
      <xdr:row>1</xdr:row>
      <xdr:rowOff>104775</xdr:rowOff>
    </xdr:from>
    <xdr:to>
      <xdr:col>20</xdr:col>
      <xdr:colOff>276225</xdr:colOff>
      <xdr:row>3</xdr:row>
      <xdr:rowOff>108585</xdr:rowOff>
    </xdr:to>
    <xdr:sp macro="[0]!processCmd" textlink="">
      <xdr:nvSpPr>
        <xdr:cNvPr id="16" name="cmdEM">
          <a:extLst>
            <a:ext uri="{FF2B5EF4-FFF2-40B4-BE49-F238E27FC236}">
              <a16:creationId xmlns:a16="http://schemas.microsoft.com/office/drawing/2014/main" id="{57FE2286-FFA9-437B-B833-90471A3A8F76}"/>
            </a:ext>
          </a:extLst>
        </xdr:cNvPr>
        <xdr:cNvSpPr/>
      </xdr:nvSpPr>
      <xdr:spPr>
        <a:xfrm>
          <a:off x="11594410" y="411232"/>
          <a:ext cx="1196837" cy="368244"/>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Emergency</a:t>
          </a:r>
        </a:p>
      </xdr:txBody>
    </xdr:sp>
    <xdr:clientData fLocksWithSheet="0"/>
  </xdr:twoCellAnchor>
  <xdr:twoCellAnchor>
    <xdr:from>
      <xdr:col>21</xdr:col>
      <xdr:colOff>219075</xdr:colOff>
      <xdr:row>1</xdr:row>
      <xdr:rowOff>104775</xdr:rowOff>
    </xdr:from>
    <xdr:to>
      <xdr:col>21</xdr:col>
      <xdr:colOff>1419225</xdr:colOff>
      <xdr:row>3</xdr:row>
      <xdr:rowOff>108585</xdr:rowOff>
    </xdr:to>
    <xdr:sp macro="[0]!cancelForm" textlink="">
      <xdr:nvSpPr>
        <xdr:cNvPr id="3" name="cmdCancel">
          <a:extLst>
            <a:ext uri="{FF2B5EF4-FFF2-40B4-BE49-F238E27FC236}">
              <a16:creationId xmlns:a16="http://schemas.microsoft.com/office/drawing/2014/main" id="{FC8203F7-00FE-46C7-BBEE-1527A8BCDA2F}"/>
            </a:ext>
          </a:extLst>
        </xdr:cNvPr>
        <xdr:cNvSpPr/>
      </xdr:nvSpPr>
      <xdr:spPr>
        <a:xfrm>
          <a:off x="13380140" y="411232"/>
          <a:ext cx="1200150" cy="368244"/>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Cancel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504829</xdr:colOff>
      <xdr:row>1</xdr:row>
      <xdr:rowOff>76200</xdr:rowOff>
    </xdr:from>
    <xdr:to>
      <xdr:col>16</xdr:col>
      <xdr:colOff>409579</xdr:colOff>
      <xdr:row>3</xdr:row>
      <xdr:rowOff>80010</xdr:rowOff>
    </xdr:to>
    <xdr:sp macro="[0]!processCmd" textlink="">
      <xdr:nvSpPr>
        <xdr:cNvPr id="8" name="cmdCIVG">
          <a:extLst>
            <a:ext uri="{FF2B5EF4-FFF2-40B4-BE49-F238E27FC236}">
              <a16:creationId xmlns:a16="http://schemas.microsoft.com/office/drawing/2014/main" id="{336FCC54-A7AB-42FE-A5C9-B8D72EC3CC02}"/>
            </a:ext>
          </a:extLst>
        </xdr:cNvPr>
        <xdr:cNvSpPr/>
      </xdr:nvSpPr>
      <xdr:spPr>
        <a:xfrm>
          <a:off x="9172579" y="381000"/>
          <a:ext cx="1200150" cy="36576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Civic - Goal</a:t>
          </a:r>
          <a:r>
            <a:rPr lang="en-US" sz="1100" baseline="0"/>
            <a:t>s</a:t>
          </a:r>
          <a:endParaRPr lang="en-US" sz="1100"/>
        </a:p>
      </xdr:txBody>
    </xdr:sp>
    <xdr:clientData fLocksWithSheet="0"/>
  </xdr:twoCellAnchor>
  <xdr:twoCellAnchor>
    <xdr:from>
      <xdr:col>3</xdr:col>
      <xdr:colOff>338935</xdr:colOff>
      <xdr:row>1</xdr:row>
      <xdr:rowOff>76200</xdr:rowOff>
    </xdr:from>
    <xdr:to>
      <xdr:col>5</xdr:col>
      <xdr:colOff>243685</xdr:colOff>
      <xdr:row>3</xdr:row>
      <xdr:rowOff>80010</xdr:rowOff>
    </xdr:to>
    <xdr:sp macro="[0]!processCmd" textlink="">
      <xdr:nvSpPr>
        <xdr:cNvPr id="10" name="cmdEMP">
          <a:extLst>
            <a:ext uri="{FF2B5EF4-FFF2-40B4-BE49-F238E27FC236}">
              <a16:creationId xmlns:a16="http://schemas.microsoft.com/office/drawing/2014/main" id="{17D4CDA0-0E71-4793-A6CC-359ED292EEF5}"/>
            </a:ext>
          </a:extLst>
        </xdr:cNvPr>
        <xdr:cNvSpPr/>
      </xdr:nvSpPr>
      <xdr:spPr>
        <a:xfrm>
          <a:off x="1881985" y="381000"/>
          <a:ext cx="1200150" cy="36576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Employment</a:t>
          </a:r>
        </a:p>
      </xdr:txBody>
    </xdr:sp>
    <xdr:clientData fLocksWithSheet="0"/>
  </xdr:twoCellAnchor>
  <xdr:twoCellAnchor>
    <xdr:from>
      <xdr:col>12</xdr:col>
      <xdr:colOff>342111</xdr:colOff>
      <xdr:row>1</xdr:row>
      <xdr:rowOff>76200</xdr:rowOff>
    </xdr:from>
    <xdr:to>
      <xdr:col>14</xdr:col>
      <xdr:colOff>246861</xdr:colOff>
      <xdr:row>3</xdr:row>
      <xdr:rowOff>80010</xdr:rowOff>
    </xdr:to>
    <xdr:sp macro="[0]!processCmd" textlink="">
      <xdr:nvSpPr>
        <xdr:cNvPr id="12" name="cmdHLTH">
          <a:extLst>
            <a:ext uri="{FF2B5EF4-FFF2-40B4-BE49-F238E27FC236}">
              <a16:creationId xmlns:a16="http://schemas.microsoft.com/office/drawing/2014/main" id="{C9F860EF-A6EE-4A60-8E7A-5492B1DD8715}"/>
            </a:ext>
          </a:extLst>
        </xdr:cNvPr>
        <xdr:cNvSpPr/>
      </xdr:nvSpPr>
      <xdr:spPr>
        <a:xfrm>
          <a:off x="7714461" y="381000"/>
          <a:ext cx="1200150" cy="36576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Health</a:t>
          </a:r>
        </a:p>
      </xdr:txBody>
    </xdr:sp>
    <xdr:clientData fLocksWithSheet="0"/>
  </xdr:twoCellAnchor>
  <xdr:twoCellAnchor>
    <xdr:from>
      <xdr:col>10</xdr:col>
      <xdr:colOff>179392</xdr:colOff>
      <xdr:row>1</xdr:row>
      <xdr:rowOff>76200</xdr:rowOff>
    </xdr:from>
    <xdr:to>
      <xdr:col>12</xdr:col>
      <xdr:colOff>84142</xdr:colOff>
      <xdr:row>3</xdr:row>
      <xdr:rowOff>80010</xdr:rowOff>
    </xdr:to>
    <xdr:sp macro="[0]!processCmd" textlink="">
      <xdr:nvSpPr>
        <xdr:cNvPr id="14" name="cmdHou">
          <a:extLst>
            <a:ext uri="{FF2B5EF4-FFF2-40B4-BE49-F238E27FC236}">
              <a16:creationId xmlns:a16="http://schemas.microsoft.com/office/drawing/2014/main" id="{A56FB0F0-BEF2-4374-ABBF-F5E9279DAD8C}"/>
            </a:ext>
          </a:extLst>
        </xdr:cNvPr>
        <xdr:cNvSpPr/>
      </xdr:nvSpPr>
      <xdr:spPr>
        <a:xfrm>
          <a:off x="6256342" y="381000"/>
          <a:ext cx="1200150" cy="36576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Housing</a:t>
          </a:r>
        </a:p>
      </xdr:txBody>
    </xdr:sp>
    <xdr:clientData fLocksWithSheet="0"/>
  </xdr:twoCellAnchor>
  <xdr:twoCellAnchor>
    <xdr:from>
      <xdr:col>8</xdr:col>
      <xdr:colOff>16673</xdr:colOff>
      <xdr:row>1</xdr:row>
      <xdr:rowOff>76200</xdr:rowOff>
    </xdr:from>
    <xdr:to>
      <xdr:col>9</xdr:col>
      <xdr:colOff>569123</xdr:colOff>
      <xdr:row>3</xdr:row>
      <xdr:rowOff>80010</xdr:rowOff>
    </xdr:to>
    <xdr:sp macro="[0]!processCmd" textlink="">
      <xdr:nvSpPr>
        <xdr:cNvPr id="16" name="cmdINF">
          <a:extLst>
            <a:ext uri="{FF2B5EF4-FFF2-40B4-BE49-F238E27FC236}">
              <a16:creationId xmlns:a16="http://schemas.microsoft.com/office/drawing/2014/main" id="{D2291801-B563-4439-B6C3-371A450880FB}"/>
            </a:ext>
          </a:extLst>
        </xdr:cNvPr>
        <xdr:cNvSpPr/>
      </xdr:nvSpPr>
      <xdr:spPr>
        <a:xfrm>
          <a:off x="4798223" y="381000"/>
          <a:ext cx="1200150" cy="36576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Infastructure</a:t>
          </a:r>
        </a:p>
      </xdr:txBody>
    </xdr:sp>
    <xdr:clientData fLocksWithSheet="0"/>
  </xdr:twoCellAnchor>
  <xdr:twoCellAnchor>
    <xdr:from>
      <xdr:col>5</xdr:col>
      <xdr:colOff>501654</xdr:colOff>
      <xdr:row>1</xdr:row>
      <xdr:rowOff>76200</xdr:rowOff>
    </xdr:from>
    <xdr:to>
      <xdr:col>7</xdr:col>
      <xdr:colOff>406404</xdr:colOff>
      <xdr:row>3</xdr:row>
      <xdr:rowOff>80010</xdr:rowOff>
    </xdr:to>
    <xdr:sp macro="[0]!processCmd" textlink="">
      <xdr:nvSpPr>
        <xdr:cNvPr id="18" name="cmdEDU">
          <a:extLst>
            <a:ext uri="{FF2B5EF4-FFF2-40B4-BE49-F238E27FC236}">
              <a16:creationId xmlns:a16="http://schemas.microsoft.com/office/drawing/2014/main" id="{565F96A8-DE95-4634-A47D-80FF2714945B}"/>
            </a:ext>
          </a:extLst>
        </xdr:cNvPr>
        <xdr:cNvSpPr/>
      </xdr:nvSpPr>
      <xdr:spPr>
        <a:xfrm>
          <a:off x="3340104" y="381000"/>
          <a:ext cx="1200150" cy="36576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Education</a:t>
          </a:r>
        </a:p>
      </xdr:txBody>
    </xdr:sp>
    <xdr:clientData fLocksWithSheet="0"/>
  </xdr:twoCellAnchor>
  <xdr:twoCellAnchor>
    <xdr:from>
      <xdr:col>1</xdr:col>
      <xdr:colOff>47625</xdr:colOff>
      <xdr:row>1</xdr:row>
      <xdr:rowOff>76200</xdr:rowOff>
    </xdr:from>
    <xdr:to>
      <xdr:col>2</xdr:col>
      <xdr:colOff>600075</xdr:colOff>
      <xdr:row>3</xdr:row>
      <xdr:rowOff>80010</xdr:rowOff>
    </xdr:to>
    <xdr:sp macro="[0]!exitForm" textlink="">
      <xdr:nvSpPr>
        <xdr:cNvPr id="25" name="cmdSave">
          <a:extLst>
            <a:ext uri="{FF2B5EF4-FFF2-40B4-BE49-F238E27FC236}">
              <a16:creationId xmlns:a16="http://schemas.microsoft.com/office/drawing/2014/main" id="{5D4CA5F2-77A4-4965-ACE2-5996E7CA0E31}"/>
            </a:ext>
          </a:extLst>
        </xdr:cNvPr>
        <xdr:cNvSpPr/>
      </xdr:nvSpPr>
      <xdr:spPr>
        <a:xfrm>
          <a:off x="295275" y="381000"/>
          <a:ext cx="1200150" cy="36576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Save &amp; Exit</a:t>
          </a:r>
        </a:p>
      </xdr:txBody>
    </xdr:sp>
    <xdr:clientData/>
  </xdr:twoCellAnchor>
  <xdr:twoCellAnchor>
    <xdr:from>
      <xdr:col>20</xdr:col>
      <xdr:colOff>123825</xdr:colOff>
      <xdr:row>1</xdr:row>
      <xdr:rowOff>76200</xdr:rowOff>
    </xdr:from>
    <xdr:to>
      <xdr:col>22</xdr:col>
      <xdr:colOff>28575</xdr:colOff>
      <xdr:row>3</xdr:row>
      <xdr:rowOff>80010</xdr:rowOff>
    </xdr:to>
    <xdr:sp macro="[0]!cancelForm" textlink="">
      <xdr:nvSpPr>
        <xdr:cNvPr id="3" name="cmdCancel">
          <a:extLst>
            <a:ext uri="{FF2B5EF4-FFF2-40B4-BE49-F238E27FC236}">
              <a16:creationId xmlns:a16="http://schemas.microsoft.com/office/drawing/2014/main" id="{62C9A625-94EF-40C0-B7F6-C3C09944B16E}"/>
            </a:ext>
          </a:extLst>
        </xdr:cNvPr>
        <xdr:cNvSpPr/>
      </xdr:nvSpPr>
      <xdr:spPr>
        <a:xfrm>
          <a:off x="12677775" y="381000"/>
          <a:ext cx="1200150" cy="36576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Cancel</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209550</xdr:colOff>
          <xdr:row>10</xdr:row>
          <xdr:rowOff>47625</xdr:rowOff>
        </xdr:from>
        <xdr:to>
          <xdr:col>2</xdr:col>
          <xdr:colOff>1085850</xdr:colOff>
          <xdr:row>10</xdr:row>
          <xdr:rowOff>285750</xdr:rowOff>
        </xdr:to>
        <xdr:sp macro="" textlink="">
          <xdr:nvSpPr>
            <xdr:cNvPr id="16404" name="cbA5_EMP" hidden="1">
              <a:extLst>
                <a:ext uri="{63B3BB69-23CF-44E3-9099-C40C66FF867C}">
                  <a14:compatExt spid="_x0000_s16404"/>
                </a:ext>
                <a:ext uri="{FF2B5EF4-FFF2-40B4-BE49-F238E27FC236}">
                  <a16:creationId xmlns:a16="http://schemas.microsoft.com/office/drawing/2014/main" id="{00000000-0008-0000-05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Employment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xdr:row>
          <xdr:rowOff>333375</xdr:rowOff>
        </xdr:from>
        <xdr:to>
          <xdr:col>2</xdr:col>
          <xdr:colOff>1104900</xdr:colOff>
          <xdr:row>10</xdr:row>
          <xdr:rowOff>571500</xdr:rowOff>
        </xdr:to>
        <xdr:sp macro="" textlink="">
          <xdr:nvSpPr>
            <xdr:cNvPr id="16405" name="cbA5_HOU" hidden="1">
              <a:extLst>
                <a:ext uri="{63B3BB69-23CF-44E3-9099-C40C66FF867C}">
                  <a14:compatExt spid="_x0000_s16405"/>
                </a:ext>
                <a:ext uri="{FF2B5EF4-FFF2-40B4-BE49-F238E27FC236}">
                  <a16:creationId xmlns:a16="http://schemas.microsoft.com/office/drawing/2014/main" id="{00000000-0008-0000-05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1190625</xdr:colOff>
          <xdr:row>10</xdr:row>
          <xdr:rowOff>57150</xdr:rowOff>
        </xdr:from>
        <xdr:to>
          <xdr:col>4</xdr:col>
          <xdr:colOff>495300</xdr:colOff>
          <xdr:row>10</xdr:row>
          <xdr:rowOff>295275</xdr:rowOff>
        </xdr:to>
        <xdr:sp macro="" textlink="">
          <xdr:nvSpPr>
            <xdr:cNvPr id="16406" name="cbA5_EDU" hidden="1">
              <a:extLst>
                <a:ext uri="{63B3BB69-23CF-44E3-9099-C40C66FF867C}">
                  <a14:compatExt spid="_x0000_s16406"/>
                </a:ext>
                <a:ext uri="{FF2B5EF4-FFF2-40B4-BE49-F238E27FC236}">
                  <a16:creationId xmlns:a16="http://schemas.microsoft.com/office/drawing/2014/main" id="{00000000-0008-0000-05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Education and Cognitive Development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10</xdr:row>
          <xdr:rowOff>333375</xdr:rowOff>
        </xdr:from>
        <xdr:to>
          <xdr:col>4</xdr:col>
          <xdr:colOff>485775</xdr:colOff>
          <xdr:row>10</xdr:row>
          <xdr:rowOff>571500</xdr:rowOff>
        </xdr:to>
        <xdr:sp macro="" textlink="">
          <xdr:nvSpPr>
            <xdr:cNvPr id="16407" name="cbA5_INF" hidden="1">
              <a:extLst>
                <a:ext uri="{63B3BB69-23CF-44E3-9099-C40C66FF867C}">
                  <a14:compatExt spid="_x0000_s16407"/>
                </a:ext>
                <a:ext uri="{FF2B5EF4-FFF2-40B4-BE49-F238E27FC236}">
                  <a16:creationId xmlns:a16="http://schemas.microsoft.com/office/drawing/2014/main" id="{00000000-0008-0000-05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Infrastructure, and Asset Building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10</xdr:row>
          <xdr:rowOff>76200</xdr:rowOff>
        </xdr:from>
        <xdr:to>
          <xdr:col>4</xdr:col>
          <xdr:colOff>3171825</xdr:colOff>
          <xdr:row>10</xdr:row>
          <xdr:rowOff>314325</xdr:rowOff>
        </xdr:to>
        <xdr:sp macro="" textlink="">
          <xdr:nvSpPr>
            <xdr:cNvPr id="16408" name="cbA5_HLTH" hidden="1">
              <a:extLst>
                <a:ext uri="{63B3BB69-23CF-44E3-9099-C40C66FF867C}">
                  <a14:compatExt spid="_x0000_s16408"/>
                </a:ext>
                <a:ext uri="{FF2B5EF4-FFF2-40B4-BE49-F238E27FC236}">
                  <a16:creationId xmlns:a16="http://schemas.microsoft.com/office/drawing/2014/main" id="{00000000-0008-0000-05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Health and Social/Behavioral Development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10</xdr:row>
          <xdr:rowOff>333375</xdr:rowOff>
        </xdr:from>
        <xdr:to>
          <xdr:col>4</xdr:col>
          <xdr:colOff>3733800</xdr:colOff>
          <xdr:row>10</xdr:row>
          <xdr:rowOff>571500</xdr:rowOff>
        </xdr:to>
        <xdr:sp macro="" textlink="">
          <xdr:nvSpPr>
            <xdr:cNvPr id="16409" name="cbA5_CIVG" hidden="1">
              <a:extLst>
                <a:ext uri="{63B3BB69-23CF-44E3-9099-C40C66FF867C}">
                  <a14:compatExt spid="_x0000_s16409"/>
                </a:ext>
                <a:ext uri="{FF2B5EF4-FFF2-40B4-BE49-F238E27FC236}">
                  <a16:creationId xmlns:a16="http://schemas.microsoft.com/office/drawing/2014/main" id="{00000000-0008-0000-05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Civic Engagement and Community Involvement</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190500</xdr:colOff>
          <xdr:row>13</xdr:row>
          <xdr:rowOff>133350</xdr:rowOff>
        </xdr:from>
        <xdr:to>
          <xdr:col>4</xdr:col>
          <xdr:colOff>3709988</xdr:colOff>
          <xdr:row>13</xdr:row>
          <xdr:rowOff>633413</xdr:rowOff>
        </xdr:to>
        <xdr:grpSp>
          <xdr:nvGrpSpPr>
            <xdr:cNvPr id="3" name="Group 2">
              <a:extLst>
                <a:ext uri="{FF2B5EF4-FFF2-40B4-BE49-F238E27FC236}">
                  <a16:creationId xmlns:a16="http://schemas.microsoft.com/office/drawing/2014/main" id="{635C00CB-90BC-0EE4-0A6C-3D7F9E465FEF}"/>
                </a:ext>
              </a:extLst>
            </xdr:cNvPr>
            <xdr:cNvGrpSpPr/>
          </xdr:nvGrpSpPr>
          <xdr:grpSpPr>
            <a:xfrm>
              <a:off x="2733675" y="3352800"/>
              <a:ext cx="6148388" cy="500063"/>
              <a:chOff x="2924175" y="3352800"/>
              <a:chExt cx="6367463" cy="500063"/>
            </a:xfrm>
          </xdr:grpSpPr>
          <xdr:sp macro="" textlink="">
            <xdr:nvSpPr>
              <xdr:cNvPr id="15395" name="cbA5_EMP" hidden="1">
                <a:extLst>
                  <a:ext uri="{63B3BB69-23CF-44E3-9099-C40C66FF867C}">
                    <a14:compatExt spid="_x0000_s15395"/>
                  </a:ext>
                  <a:ext uri="{FF2B5EF4-FFF2-40B4-BE49-F238E27FC236}">
                    <a16:creationId xmlns:a16="http://schemas.microsoft.com/office/drawing/2014/main" id="{00000000-0008-0000-0600-0000233C0000}"/>
                  </a:ext>
                </a:extLst>
              </xdr:cNvPr>
              <xdr:cNvSpPr/>
            </xdr:nvSpPr>
            <xdr:spPr bwMode="auto">
              <a:xfrm>
                <a:off x="2924175" y="3352800"/>
                <a:ext cx="871538" cy="2333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Employment</a:t>
                </a:r>
              </a:p>
            </xdr:txBody>
          </xdr:sp>
          <xdr:sp macro="" textlink="">
            <xdr:nvSpPr>
              <xdr:cNvPr id="15397" name="cbA5_HOU" hidden="1">
                <a:extLst>
                  <a:ext uri="{63B3BB69-23CF-44E3-9099-C40C66FF867C}">
                    <a14:compatExt spid="_x0000_s15397"/>
                  </a:ext>
                  <a:ext uri="{FF2B5EF4-FFF2-40B4-BE49-F238E27FC236}">
                    <a16:creationId xmlns:a16="http://schemas.microsoft.com/office/drawing/2014/main" id="{00000000-0008-0000-0600-0000253C0000}"/>
                  </a:ext>
                </a:extLst>
              </xdr:cNvPr>
              <xdr:cNvSpPr/>
            </xdr:nvSpPr>
            <xdr:spPr bwMode="auto">
              <a:xfrm>
                <a:off x="2924175" y="3619500"/>
                <a:ext cx="871538" cy="2333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Housing</a:t>
                </a:r>
              </a:p>
            </xdr:txBody>
          </xdr:sp>
          <xdr:sp macro="" textlink="">
            <xdr:nvSpPr>
              <xdr:cNvPr id="15398" name="cbA5_EDU" hidden="1">
                <a:extLst>
                  <a:ext uri="{63B3BB69-23CF-44E3-9099-C40C66FF867C}">
                    <a14:compatExt spid="_x0000_s15398"/>
                  </a:ext>
                  <a:ext uri="{FF2B5EF4-FFF2-40B4-BE49-F238E27FC236}">
                    <a16:creationId xmlns:a16="http://schemas.microsoft.com/office/drawing/2014/main" id="{00000000-0008-0000-0600-0000263C0000}"/>
                  </a:ext>
                </a:extLst>
              </xdr:cNvPr>
              <xdr:cNvSpPr/>
            </xdr:nvSpPr>
            <xdr:spPr bwMode="auto">
              <a:xfrm>
                <a:off x="4048125" y="3352800"/>
                <a:ext cx="2147888" cy="2333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Education and Cognitive Development</a:t>
                </a:r>
              </a:p>
            </xdr:txBody>
          </xdr:sp>
          <xdr:sp macro="" textlink="">
            <xdr:nvSpPr>
              <xdr:cNvPr id="15400" name="cbA5_INF" hidden="1">
                <a:extLst>
                  <a:ext uri="{63B3BB69-23CF-44E3-9099-C40C66FF867C}">
                    <a14:compatExt spid="_x0000_s15400"/>
                  </a:ext>
                  <a:ext uri="{FF2B5EF4-FFF2-40B4-BE49-F238E27FC236}">
                    <a16:creationId xmlns:a16="http://schemas.microsoft.com/office/drawing/2014/main" id="{00000000-0008-0000-0600-0000283C0000}"/>
                  </a:ext>
                </a:extLst>
              </xdr:cNvPr>
              <xdr:cNvSpPr/>
            </xdr:nvSpPr>
            <xdr:spPr bwMode="auto">
              <a:xfrm>
                <a:off x="4038600" y="3619500"/>
                <a:ext cx="2147888" cy="2333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Infrastructure, and Asset Building</a:t>
                </a:r>
              </a:p>
            </xdr:txBody>
          </xdr:sp>
          <xdr:sp macro="" textlink="">
            <xdr:nvSpPr>
              <xdr:cNvPr id="15401" name="cbA5_HLTH" hidden="1">
                <a:extLst>
                  <a:ext uri="{63B3BB69-23CF-44E3-9099-C40C66FF867C}">
                    <a14:compatExt spid="_x0000_s15401"/>
                  </a:ext>
                  <a:ext uri="{FF2B5EF4-FFF2-40B4-BE49-F238E27FC236}">
                    <a16:creationId xmlns:a16="http://schemas.microsoft.com/office/drawing/2014/main" id="{00000000-0008-0000-0600-0000293C0000}"/>
                  </a:ext>
                </a:extLst>
              </xdr:cNvPr>
              <xdr:cNvSpPr/>
            </xdr:nvSpPr>
            <xdr:spPr bwMode="auto">
              <a:xfrm>
                <a:off x="6581775" y="3352800"/>
                <a:ext cx="2147888" cy="2333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Health and Social/Behavioral Development</a:t>
                </a:r>
              </a:p>
            </xdr:txBody>
          </xdr:sp>
          <xdr:sp macro="" textlink="">
            <xdr:nvSpPr>
              <xdr:cNvPr id="15402" name="cbA5_CIVG" hidden="1">
                <a:extLst>
                  <a:ext uri="{63B3BB69-23CF-44E3-9099-C40C66FF867C}">
                    <a14:compatExt spid="_x0000_s15402"/>
                  </a:ext>
                  <a:ext uri="{FF2B5EF4-FFF2-40B4-BE49-F238E27FC236}">
                    <a16:creationId xmlns:a16="http://schemas.microsoft.com/office/drawing/2014/main" id="{00000000-0008-0000-0600-00002A3C0000}"/>
                  </a:ext>
                </a:extLst>
              </xdr:cNvPr>
              <xdr:cNvSpPr/>
            </xdr:nvSpPr>
            <xdr:spPr bwMode="auto">
              <a:xfrm>
                <a:off x="6591300" y="3619500"/>
                <a:ext cx="2700338" cy="2333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Civic Engagement and Community Involvement</a:t>
                </a:r>
              </a:p>
            </xdr:txBody>
          </xdr:sp>
        </xdr:grpSp>
        <xdr:clientData fLocksWithSheet="0"/>
      </xdr:twoCellAnchor>
    </mc:Choice>
    <mc:Fallback/>
  </mc:AlternateContent>
  <xdr:twoCellAnchor>
    <xdr:from>
      <xdr:col>4</xdr:col>
      <xdr:colOff>2747963</xdr:colOff>
      <xdr:row>0</xdr:row>
      <xdr:rowOff>104775</xdr:rowOff>
    </xdr:from>
    <xdr:to>
      <xdr:col>4</xdr:col>
      <xdr:colOff>3936683</xdr:colOff>
      <xdr:row>1</xdr:row>
      <xdr:rowOff>93345</xdr:rowOff>
    </xdr:to>
    <xdr:sp macro="[0]!cmdPrintStatusForm" textlink="">
      <xdr:nvSpPr>
        <xdr:cNvPr id="2" name="cmdStatusForm_Print">
          <a:extLst>
            <a:ext uri="{FF2B5EF4-FFF2-40B4-BE49-F238E27FC236}">
              <a16:creationId xmlns:a16="http://schemas.microsoft.com/office/drawing/2014/main" id="{25ECEC07-39C1-B976-74A3-9B5DA7EA8B1F}"/>
            </a:ext>
          </a:extLst>
        </xdr:cNvPr>
        <xdr:cNvSpPr/>
      </xdr:nvSpPr>
      <xdr:spPr>
        <a:xfrm>
          <a:off x="7977188" y="104775"/>
          <a:ext cx="1188720" cy="27432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Print</a:t>
          </a:r>
        </a:p>
      </xdr:txBody>
    </xdr:sp>
    <xdr:clientData/>
  </xdr:twoCellAnchor>
  <xdr:twoCellAnchor>
    <xdr:from>
      <xdr:col>6</xdr:col>
      <xdr:colOff>19050</xdr:colOff>
      <xdr:row>6</xdr:row>
      <xdr:rowOff>42862</xdr:rowOff>
    </xdr:from>
    <xdr:to>
      <xdr:col>7</xdr:col>
      <xdr:colOff>579120</xdr:colOff>
      <xdr:row>7</xdr:row>
      <xdr:rowOff>126682</xdr:rowOff>
    </xdr:to>
    <xdr:sp macro="[0]!cmdStatusForm_Edit" textlink="">
      <xdr:nvSpPr>
        <xdr:cNvPr id="4" name="cmdStatusForm_Edit">
          <a:extLst>
            <a:ext uri="{FF2B5EF4-FFF2-40B4-BE49-F238E27FC236}">
              <a16:creationId xmlns:a16="http://schemas.microsoft.com/office/drawing/2014/main" id="{2AE230CB-B232-424B-90C2-EAD67FB25DCC}"/>
            </a:ext>
          </a:extLst>
        </xdr:cNvPr>
        <xdr:cNvSpPr/>
      </xdr:nvSpPr>
      <xdr:spPr>
        <a:xfrm>
          <a:off x="9753600" y="1143000"/>
          <a:ext cx="1188720" cy="274320"/>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Edit</a:t>
          </a:r>
        </a:p>
      </xdr:txBody>
    </xdr:sp>
    <xdr:clientData fLocksWithSheet="0"/>
  </xdr:twoCellAnchor>
  <xdr:twoCellAnchor>
    <xdr:from>
      <xdr:col>5</xdr:col>
      <xdr:colOff>42863</xdr:colOff>
      <xdr:row>22</xdr:row>
      <xdr:rowOff>0</xdr:rowOff>
    </xdr:from>
    <xdr:to>
      <xdr:col>5</xdr:col>
      <xdr:colOff>495300</xdr:colOff>
      <xdr:row>22</xdr:row>
      <xdr:rowOff>238125</xdr:rowOff>
    </xdr:to>
    <xdr:sp macro="[0]!cmdStatusForm_Edit" textlink="">
      <xdr:nvSpPr>
        <xdr:cNvPr id="5" name="cmdStatusForm_EditFloat">
          <a:extLst>
            <a:ext uri="{FF2B5EF4-FFF2-40B4-BE49-F238E27FC236}">
              <a16:creationId xmlns:a16="http://schemas.microsoft.com/office/drawing/2014/main" id="{5D02E8B0-8B44-474B-915E-7A2502613999}"/>
            </a:ext>
          </a:extLst>
        </xdr:cNvPr>
        <xdr:cNvSpPr/>
      </xdr:nvSpPr>
      <xdr:spPr>
        <a:xfrm>
          <a:off x="8929688" y="7105650"/>
          <a:ext cx="452437" cy="238125"/>
        </a:xfrm>
        <a:prstGeom prst="roundRect">
          <a:avLst/>
        </a:prstGeom>
        <a:solidFill>
          <a:srgbClr val="00B4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Edit</a:t>
          </a:r>
        </a:p>
      </xdr:txBody>
    </xdr:sp>
    <xdr:clientData/>
  </xdr:twoCellAnchor>
  <xdr:twoCellAnchor>
    <xdr:from>
      <xdr:col>2</xdr:col>
      <xdr:colOff>100013</xdr:colOff>
      <xdr:row>14</xdr:row>
      <xdr:rowOff>38100</xdr:rowOff>
    </xdr:from>
    <xdr:to>
      <xdr:col>4</xdr:col>
      <xdr:colOff>3824288</xdr:colOff>
      <xdr:row>14</xdr:row>
      <xdr:rowOff>504825</xdr:rowOff>
    </xdr:to>
    <xdr:sp macro="[0]!cmdStatusForm_NPIs" textlink="">
      <xdr:nvSpPr>
        <xdr:cNvPr id="15406" name="cmdStatusForm_NPIs">
          <a:extLst>
            <a:ext uri="{FF2B5EF4-FFF2-40B4-BE49-F238E27FC236}">
              <a16:creationId xmlns:a16="http://schemas.microsoft.com/office/drawing/2014/main" id="{0DC44FA6-0A3F-05B3-A45A-05B815934C60}"/>
            </a:ext>
          </a:extLst>
        </xdr:cNvPr>
        <xdr:cNvSpPr txBox="1">
          <a:spLocks noChangeArrowheads="1"/>
        </xdr:cNvSpPr>
      </xdr:nvSpPr>
      <xdr:spPr bwMode="auto">
        <a:xfrm>
          <a:off x="2833688" y="4086225"/>
          <a:ext cx="6572250" cy="466725"/>
        </a:xfrm>
        <a:prstGeom prst="rect">
          <a:avLst/>
        </a:prstGeom>
        <a:solidFill>
          <a:srgbClr val="FFFFFF"/>
        </a:solidFill>
        <a:ln w="9525">
          <a:noFill/>
          <a:miter lim="800000"/>
          <a:headEnd/>
          <a:tailEnd/>
        </a:ln>
      </xdr:spPr>
      <xdr:txBody>
        <a:bodyPr vertOverflow="clip" wrap="square" lIns="45720" tIns="45720" rIns="0" bIns="0" anchor="ctr" upright="1"/>
        <a:lstStyle/>
        <a:p>
          <a:pPr algn="ctr" rtl="0">
            <a:defRPr sz="1000"/>
          </a:pPr>
          <a:r>
            <a:rPr lang="en-US" sz="1200" b="0" i="0" u="sng" strike="noStrike" baseline="0">
              <a:solidFill>
                <a:srgbClr val="5B9BD5"/>
              </a:solidFill>
              <a:latin typeface="Calibri"/>
              <a:ea typeface="Calibri"/>
              <a:cs typeface="Calibri"/>
            </a:rPr>
            <a:t>Module 3, Section B: Community National Performance Indicators (CNPIs) - Data Entry Form</a:t>
          </a:r>
        </a:p>
      </xdr:txBody>
    </xdr:sp>
    <xdr:clientData/>
  </xdr:twoCellAnchor>
  <xdr:twoCellAnchor>
    <xdr:from>
      <xdr:col>2</xdr:col>
      <xdr:colOff>185738</xdr:colOff>
      <xdr:row>20</xdr:row>
      <xdr:rowOff>71438</xdr:rowOff>
    </xdr:from>
    <xdr:to>
      <xdr:col>4</xdr:col>
      <xdr:colOff>3910013</xdr:colOff>
      <xdr:row>20</xdr:row>
      <xdr:rowOff>347662</xdr:rowOff>
    </xdr:to>
    <xdr:sp macro="[0]!cmdStatusForm_STRs" textlink="">
      <xdr:nvSpPr>
        <xdr:cNvPr id="8" name="cmdStatusForm_STRs">
          <a:extLst>
            <a:ext uri="{FF2B5EF4-FFF2-40B4-BE49-F238E27FC236}">
              <a16:creationId xmlns:a16="http://schemas.microsoft.com/office/drawing/2014/main" id="{55AD4A1B-99E1-4524-ACF2-CDEBADEF0F42}"/>
            </a:ext>
          </a:extLst>
        </xdr:cNvPr>
        <xdr:cNvSpPr txBox="1">
          <a:spLocks noChangeArrowheads="1"/>
        </xdr:cNvSpPr>
      </xdr:nvSpPr>
      <xdr:spPr bwMode="auto">
        <a:xfrm>
          <a:off x="2919413" y="6276976"/>
          <a:ext cx="6572250" cy="276224"/>
        </a:xfrm>
        <a:prstGeom prst="rect">
          <a:avLst/>
        </a:prstGeom>
        <a:solidFill>
          <a:srgbClr val="FFFFFF"/>
        </a:solidFill>
        <a:ln w="9525">
          <a:noFill/>
          <a:miter lim="800000"/>
          <a:headEnd/>
          <a:tailEnd/>
        </a:ln>
      </xdr:spPr>
      <xdr:txBody>
        <a:bodyPr vertOverflow="clip" wrap="square" lIns="45720" tIns="45720" rIns="0" bIns="0" anchor="t" upright="1"/>
        <a:lstStyle/>
        <a:p>
          <a:pPr algn="ctr" rtl="0">
            <a:defRPr sz="1000"/>
          </a:pPr>
          <a:r>
            <a:rPr lang="en-US" sz="1200" b="0" i="0" u="sng" strike="noStrike" baseline="0">
              <a:solidFill>
                <a:srgbClr val="5B9BD5"/>
              </a:solidFill>
              <a:latin typeface="+mn-lt"/>
              <a:ea typeface="Calibri"/>
              <a:cs typeface="Calibri"/>
            </a:rPr>
            <a:t>Module 3, Section C: Community Strategies List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6.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Instructions"/>
  <dimension ref="B1:J60"/>
  <sheetViews>
    <sheetView showGridLines="0" tabSelected="1" topLeftCell="A11" zoomScaleNormal="100" zoomScalePageLayoutView="90" workbookViewId="0"/>
  </sheetViews>
  <sheetFormatPr defaultColWidth="8.85546875" defaultRowHeight="15" x14ac:dyDescent="0.25"/>
  <cols>
    <col min="1" max="1" width="3" style="12" customWidth="1"/>
    <col min="2" max="2" width="5" style="12" customWidth="1"/>
    <col min="3" max="3" width="89.28515625" style="12" customWidth="1"/>
    <col min="4" max="4" width="5" style="12" customWidth="1"/>
    <col min="5" max="5" width="3" style="12" customWidth="1"/>
    <col min="6" max="16384" width="8.85546875" style="12"/>
  </cols>
  <sheetData>
    <row r="1" spans="2:10" ht="9" customHeight="1" x14ac:dyDescent="0.25"/>
    <row r="2" spans="2:10" ht="21" customHeight="1" x14ac:dyDescent="0.25">
      <c r="C2" s="123" t="s">
        <v>126</v>
      </c>
    </row>
    <row r="3" spans="2:10" ht="32.25" customHeight="1" thickBot="1" x14ac:dyDescent="0.3">
      <c r="B3" s="21"/>
      <c r="C3" s="124" t="s">
        <v>125</v>
      </c>
      <c r="D3" s="21"/>
    </row>
    <row r="4" spans="2:10" ht="18.75" x14ac:dyDescent="0.25">
      <c r="C4" s="125"/>
    </row>
    <row r="5" spans="2:10" ht="35.25" customHeight="1" x14ac:dyDescent="0.25">
      <c r="B5" s="286" t="s">
        <v>127</v>
      </c>
      <c r="C5" s="287"/>
      <c r="D5" s="288"/>
      <c r="E5" s="20"/>
    </row>
    <row r="6" spans="2:10" s="13" customFormat="1" ht="9" customHeight="1" x14ac:dyDescent="0.2"/>
    <row r="7" spans="2:10" ht="75.75" customHeight="1" x14ac:dyDescent="0.25">
      <c r="B7" s="289" t="s">
        <v>1564</v>
      </c>
      <c r="C7" s="289"/>
      <c r="D7" s="289"/>
      <c r="E7" s="17"/>
      <c r="G7" s="19"/>
    </row>
    <row r="8" spans="2:10" ht="11.25" customHeight="1" x14ac:dyDescent="0.25">
      <c r="C8" s="18"/>
      <c r="D8" s="18"/>
      <c r="E8" s="17"/>
    </row>
    <row r="9" spans="2:10" ht="35.25" customHeight="1" x14ac:dyDescent="0.25">
      <c r="B9" s="286" t="s">
        <v>1544</v>
      </c>
      <c r="C9" s="287"/>
      <c r="D9" s="288"/>
      <c r="E9" s="16"/>
    </row>
    <row r="10" spans="2:10" s="13" customFormat="1" ht="10.5" customHeight="1" x14ac:dyDescent="0.2"/>
    <row r="11" spans="2:10" ht="91.15" customHeight="1" x14ac:dyDescent="0.25">
      <c r="B11" s="289" t="s">
        <v>1563</v>
      </c>
      <c r="C11" s="289"/>
      <c r="D11" s="289"/>
      <c r="E11" s="16"/>
    </row>
    <row r="12" spans="2:10" ht="56.25" customHeight="1" x14ac:dyDescent="0.25">
      <c r="B12" s="289" t="s">
        <v>1545</v>
      </c>
      <c r="C12" s="289"/>
      <c r="D12" s="289"/>
      <c r="E12" s="16"/>
    </row>
    <row r="13" spans="2:10" ht="45.75" customHeight="1" x14ac:dyDescent="0.25">
      <c r="B13" s="289" t="s">
        <v>1546</v>
      </c>
      <c r="C13" s="289"/>
      <c r="D13" s="289"/>
      <c r="E13" s="16"/>
    </row>
    <row r="14" spans="2:10" s="13" customFormat="1" ht="15" customHeight="1" x14ac:dyDescent="0.2">
      <c r="B14" s="122"/>
      <c r="C14" s="122"/>
      <c r="D14" s="122"/>
    </row>
    <row r="15" spans="2:10" s="14" customFormat="1" ht="35.25" customHeight="1" x14ac:dyDescent="0.3">
      <c r="B15" s="286" t="s">
        <v>124</v>
      </c>
      <c r="C15" s="287"/>
      <c r="D15" s="288"/>
      <c r="E15" s="126"/>
      <c r="F15" s="126"/>
      <c r="G15" s="126"/>
      <c r="H15" s="126"/>
      <c r="I15" s="126"/>
      <c r="J15" s="126"/>
    </row>
    <row r="16" spans="2:10" s="13" customFormat="1" ht="12" customHeight="1" x14ac:dyDescent="0.2"/>
    <row r="17" spans="2:10" s="14" customFormat="1" ht="51.75" customHeight="1" x14ac:dyDescent="0.25">
      <c r="B17" s="290" t="s">
        <v>1562</v>
      </c>
      <c r="C17" s="290"/>
      <c r="D17" s="290"/>
      <c r="E17" s="15"/>
      <c r="F17" s="15"/>
      <c r="G17" s="15"/>
      <c r="H17" s="15"/>
      <c r="I17" s="15"/>
      <c r="J17" s="15"/>
    </row>
    <row r="18" spans="2:10" s="13" customFormat="1" ht="12.75" x14ac:dyDescent="0.2"/>
    <row r="19" spans="2:10" s="13" customFormat="1" ht="28.5" customHeight="1" x14ac:dyDescent="0.2"/>
    <row r="20" spans="2:10" s="13" customFormat="1" ht="16.5" customHeight="1" x14ac:dyDescent="0.2"/>
    <row r="21" spans="2:10" s="13" customFormat="1" ht="12.75" customHeight="1" x14ac:dyDescent="0.2"/>
    <row r="22" spans="2:10" s="13" customFormat="1" ht="12.75" customHeight="1" x14ac:dyDescent="0.2"/>
    <row r="23" spans="2:10" s="13" customFormat="1" ht="12.75" customHeight="1" x14ac:dyDescent="0.2"/>
    <row r="24" spans="2:10" s="13" customFormat="1" ht="12.75" customHeight="1" x14ac:dyDescent="0.2"/>
    <row r="25" spans="2:10" s="13" customFormat="1" ht="12.75" customHeight="1" x14ac:dyDescent="0.2"/>
    <row r="26" spans="2:10" s="13" customFormat="1" ht="12.75" customHeight="1" x14ac:dyDescent="0.2"/>
    <row r="27" spans="2:10" s="13" customFormat="1" ht="12.75" customHeight="1" x14ac:dyDescent="0.2"/>
    <row r="28" spans="2:10" s="13" customFormat="1" ht="12.75" customHeight="1" x14ac:dyDescent="0.2"/>
    <row r="29" spans="2:10" s="13" customFormat="1" ht="12.75" customHeight="1" x14ac:dyDescent="0.2"/>
    <row r="30" spans="2:10" s="13" customFormat="1" ht="12.75" customHeight="1" x14ac:dyDescent="0.2"/>
    <row r="31" spans="2:10" s="13" customFormat="1" ht="12.75" x14ac:dyDescent="0.2"/>
    <row r="32" spans="2:10" s="13" customFormat="1" ht="9" customHeight="1" x14ac:dyDescent="0.2"/>
    <row r="33" s="13" customFormat="1" ht="33.75" customHeight="1" x14ac:dyDescent="0.2"/>
    <row r="34" s="13" customFormat="1" ht="15.75" customHeight="1" x14ac:dyDescent="0.2"/>
    <row r="35" s="13" customFormat="1" ht="12.75" x14ac:dyDescent="0.2"/>
    <row r="36" s="13" customFormat="1" ht="29.25" customHeight="1" x14ac:dyDescent="0.2"/>
    <row r="37" s="13" customFormat="1" ht="12.75" x14ac:dyDescent="0.2"/>
    <row r="38" s="13" customFormat="1" ht="12.75" x14ac:dyDescent="0.2"/>
    <row r="39" s="13" customFormat="1" ht="12.75" x14ac:dyDescent="0.2"/>
    <row r="40" s="13" customFormat="1" ht="12.75" x14ac:dyDescent="0.2"/>
    <row r="41" s="13" customFormat="1" ht="56.25" customHeight="1" x14ac:dyDescent="0.2"/>
    <row r="42" s="13" customFormat="1" ht="12.75" x14ac:dyDescent="0.2"/>
    <row r="43" s="13" customFormat="1" ht="12.75" x14ac:dyDescent="0.2"/>
    <row r="44" s="13" customFormat="1" ht="12.75" x14ac:dyDescent="0.2"/>
    <row r="45" s="13" customFormat="1" ht="12.75" x14ac:dyDescent="0.2"/>
    <row r="46" s="13" customFormat="1" ht="12.75" x14ac:dyDescent="0.2"/>
    <row r="47" s="13" customFormat="1" ht="12.75" x14ac:dyDescent="0.2"/>
    <row r="48" s="13" customFormat="1" ht="12.75" x14ac:dyDescent="0.2"/>
    <row r="49" s="13" customFormat="1" ht="12.75" x14ac:dyDescent="0.2"/>
    <row r="50" s="13" customFormat="1" ht="12.75" x14ac:dyDescent="0.2"/>
    <row r="51" s="13" customFormat="1" ht="12.75" x14ac:dyDescent="0.2"/>
    <row r="52" s="13" customFormat="1" ht="12.75" x14ac:dyDescent="0.2"/>
    <row r="53" s="13" customFormat="1" ht="12.75" x14ac:dyDescent="0.2"/>
    <row r="54" s="13" customFormat="1" ht="12.75" x14ac:dyDescent="0.2"/>
    <row r="55" s="13" customFormat="1" ht="12.75" x14ac:dyDescent="0.2"/>
    <row r="56" s="13" customFormat="1" ht="12.75" x14ac:dyDescent="0.2"/>
    <row r="57" s="13" customFormat="1" ht="12.75" x14ac:dyDescent="0.2"/>
    <row r="58" s="13" customFormat="1" ht="12.75" x14ac:dyDescent="0.2"/>
    <row r="59" s="13" customFormat="1" ht="12.75" x14ac:dyDescent="0.2"/>
    <row r="60" s="13" customFormat="1" ht="12.75" x14ac:dyDescent="0.2"/>
  </sheetData>
  <sheetProtection algorithmName="SHA-512" hashValue="q7eF4/F/eW/67VXyYgUyKnBvRkt1yE6Nm3Bp1uUj3DgK9XiVYjCS+IKAw9ibtbhERGwyqDuxH9ojiYUSeVv3EQ==" saltValue="ePv44Ir+095pj3XoX9hqvw==" spinCount="100000" sheet="1" objects="1" scenarios="1" formatCells="0"/>
  <mergeCells count="8">
    <mergeCell ref="B5:D5"/>
    <mergeCell ref="B7:D7"/>
    <mergeCell ref="B15:D15"/>
    <mergeCell ref="B17:D17"/>
    <mergeCell ref="B9:D9"/>
    <mergeCell ref="B11:D11"/>
    <mergeCell ref="B12:D12"/>
    <mergeCell ref="B13:D13"/>
  </mergeCells>
  <pageMargins left="0.7" right="0.7" top="0.75" bottom="0.75" header="0.3" footer="0.3"/>
  <pageSetup scale="86" orientation="portrait" r:id="rId1"/>
  <headerFooter>
    <oddFooter>&amp;LAugust 2017&amp;C
Module 3, Instructional Notes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Infrastructure_Asset">
    <tabColor rgb="FF92D050"/>
    <pageSetUpPr fitToPage="1"/>
  </sheetPr>
  <dimension ref="A1:W43"/>
  <sheetViews>
    <sheetView showGridLines="0" topLeftCell="A29" zoomScaleNormal="100" zoomScalePageLayoutView="90" workbookViewId="0"/>
  </sheetViews>
  <sheetFormatPr defaultColWidth="0" defaultRowHeight="15" customHeight="1" zeroHeight="1" x14ac:dyDescent="0.25"/>
  <cols>
    <col min="1" max="1" width="2.28515625" customWidth="1"/>
    <col min="2" max="2" width="8.85546875" customWidth="1"/>
    <col min="3" max="3" width="2" customWidth="1"/>
    <col min="4" max="4" width="9" customWidth="1"/>
    <col min="5" max="5" width="11.85546875" customWidth="1"/>
    <col min="6" max="6" width="26.85546875" customWidth="1"/>
    <col min="7" max="8" width="14.28515625" customWidth="1"/>
    <col min="9" max="9" width="11.7109375" customWidth="1"/>
    <col min="10" max="10" width="15" customWidth="1"/>
    <col min="11" max="11" width="12.85546875" customWidth="1"/>
    <col min="12" max="12" width="14" customWidth="1"/>
    <col min="13" max="13" width="11.7109375" customWidth="1"/>
    <col min="14" max="14" width="8.85546875" customWidth="1"/>
    <col min="15" max="23" width="0" hidden="1" customWidth="1"/>
    <col min="24" max="16384" width="8.85546875" hidden="1"/>
  </cols>
  <sheetData>
    <row r="1" spans="1:23" ht="15" customHeight="1" x14ac:dyDescent="0.25">
      <c r="A1" s="4"/>
    </row>
    <row r="2" spans="1:23" ht="17.649999999999999" customHeight="1" x14ac:dyDescent="0.25">
      <c r="A2" s="334" t="s">
        <v>1516</v>
      </c>
      <c r="B2" s="334"/>
      <c r="C2" s="334"/>
      <c r="D2" s="334"/>
      <c r="E2" s="334"/>
      <c r="F2" s="334"/>
      <c r="G2" s="334"/>
      <c r="H2" s="334"/>
      <c r="I2" s="334"/>
      <c r="J2" s="334"/>
      <c r="K2" s="334"/>
      <c r="L2" s="334"/>
      <c r="M2" s="334"/>
    </row>
    <row r="3" spans="1:23" ht="17.649999999999999" customHeight="1" x14ac:dyDescent="0.25">
      <c r="A3" s="334" t="s">
        <v>97</v>
      </c>
      <c r="B3" s="334"/>
      <c r="C3" s="334"/>
      <c r="D3" s="334"/>
      <c r="E3" s="334"/>
      <c r="F3" s="334"/>
      <c r="G3" s="334"/>
      <c r="H3" s="334"/>
      <c r="I3" s="334"/>
      <c r="J3" s="334"/>
      <c r="K3" s="334"/>
      <c r="L3" s="334"/>
      <c r="M3" s="334"/>
    </row>
    <row r="4" spans="1:23" ht="24" customHeight="1" x14ac:dyDescent="0.25">
      <c r="A4" s="335" t="s">
        <v>34</v>
      </c>
      <c r="B4" s="335"/>
      <c r="C4" s="335"/>
      <c r="D4" s="335"/>
      <c r="E4" s="335"/>
      <c r="F4" s="335"/>
      <c r="G4" s="335"/>
      <c r="H4" s="335"/>
      <c r="I4" s="335"/>
      <c r="J4" s="335"/>
      <c r="K4" s="335"/>
      <c r="L4" s="335"/>
      <c r="M4" s="335"/>
    </row>
    <row r="5" spans="1:23" ht="15" customHeight="1" x14ac:dyDescent="0.25">
      <c r="B5" s="371" t="s">
        <v>1512</v>
      </c>
      <c r="C5" s="372"/>
      <c r="D5" s="373"/>
      <c r="E5" s="328" t="str">
        <f>IF(M3AgencyName="","",M3AgencyName)</f>
        <v>Alabama Council on Human Relations, Inc.</v>
      </c>
      <c r="F5" s="366"/>
      <c r="G5" s="366"/>
      <c r="H5" s="366"/>
      <c r="I5" s="366"/>
      <c r="J5" s="367"/>
    </row>
    <row r="6" spans="1:23" ht="15" customHeight="1" x14ac:dyDescent="0.25">
      <c r="B6" s="371" t="s">
        <v>1138</v>
      </c>
      <c r="C6" s="372"/>
      <c r="D6" s="373"/>
      <c r="E6" s="368" t="str">
        <f>IF(M3StateName="","",M3StateName)</f>
        <v>Alabama</v>
      </c>
      <c r="F6" s="369"/>
      <c r="G6" s="369"/>
      <c r="H6" s="370"/>
      <c r="I6" s="117" t="s">
        <v>1606</v>
      </c>
      <c r="J6" s="118" t="str" cm="1">
        <f t="array" ref="J6">IF(M3UEI="","",M3UEI)</f>
        <v>183860386</v>
      </c>
    </row>
    <row r="7" spans="1:23" ht="15" customHeight="1" x14ac:dyDescent="0.25">
      <c r="H7" s="67"/>
      <c r="I7" s="67"/>
      <c r="J7" s="67"/>
    </row>
    <row r="8" spans="1:23" ht="39.75" customHeight="1" x14ac:dyDescent="0.25">
      <c r="B8" s="405" t="s">
        <v>22</v>
      </c>
      <c r="C8" s="399" t="s">
        <v>137</v>
      </c>
      <c r="D8" s="400"/>
      <c r="E8" s="400"/>
      <c r="F8" s="401"/>
      <c r="G8" s="69" t="s">
        <v>96</v>
      </c>
      <c r="H8" s="69" t="s">
        <v>23</v>
      </c>
      <c r="I8" s="69" t="s">
        <v>24</v>
      </c>
      <c r="J8" s="69" t="s">
        <v>25</v>
      </c>
    </row>
    <row r="9" spans="1:23" s="3" customFormat="1" ht="14.65" customHeight="1" x14ac:dyDescent="0.25">
      <c r="B9" s="406"/>
      <c r="C9" s="402" t="s">
        <v>138</v>
      </c>
      <c r="D9" s="403"/>
      <c r="E9" s="403"/>
      <c r="F9" s="403"/>
      <c r="G9" s="403"/>
      <c r="H9" s="403"/>
      <c r="I9" s="403"/>
      <c r="J9" s="404"/>
      <c r="L9"/>
    </row>
    <row r="10" spans="1:23" s="3" customFormat="1" ht="15" customHeight="1" x14ac:dyDescent="0.25">
      <c r="A10" s="223"/>
      <c r="B10" s="378"/>
      <c r="C10" s="395" t="s">
        <v>532</v>
      </c>
      <c r="D10" s="410"/>
      <c r="E10" s="410"/>
      <c r="F10" s="411"/>
      <c r="G10" s="234"/>
      <c r="H10" s="227"/>
      <c r="I10" s="224"/>
      <c r="J10" s="228" t="str">
        <f t="shared" ref="J10:J15" si="0">IFERROR(ROUND(I10/H10,2),"")</f>
        <v/>
      </c>
      <c r="K10" s="8"/>
      <c r="L10" s="206"/>
      <c r="M10" s="8"/>
      <c r="N10" s="8"/>
      <c r="O10" s="8"/>
      <c r="P10" s="8"/>
      <c r="Q10" s="8"/>
      <c r="R10" s="8"/>
      <c r="S10" s="8"/>
      <c r="T10" s="8"/>
      <c r="U10" s="8"/>
      <c r="V10" s="8"/>
      <c r="W10" s="8"/>
    </row>
    <row r="11" spans="1:23" s="3" customFormat="1" ht="15" customHeight="1" x14ac:dyDescent="0.25">
      <c r="A11" s="223"/>
      <c r="B11" s="378"/>
      <c r="C11" s="395" t="s">
        <v>533</v>
      </c>
      <c r="D11" s="396"/>
      <c r="E11" s="396"/>
      <c r="F11" s="397"/>
      <c r="G11" s="235"/>
      <c r="H11" s="227"/>
      <c r="I11" s="224"/>
      <c r="J11" s="228" t="str">
        <f t="shared" si="0"/>
        <v/>
      </c>
      <c r="K11" s="8"/>
      <c r="L11" s="206"/>
      <c r="M11" s="8"/>
      <c r="N11" s="8"/>
      <c r="O11" s="8"/>
      <c r="P11" s="8"/>
      <c r="Q11" s="8"/>
      <c r="R11" s="8"/>
      <c r="S11" s="8"/>
      <c r="T11" s="8"/>
      <c r="U11" s="8"/>
      <c r="V11" s="8"/>
      <c r="W11" s="8"/>
    </row>
    <row r="12" spans="1:23" s="3" customFormat="1" ht="25.5" customHeight="1" x14ac:dyDescent="0.25">
      <c r="A12" s="223"/>
      <c r="B12" s="378"/>
      <c r="C12" s="395" t="s">
        <v>534</v>
      </c>
      <c r="D12" s="396"/>
      <c r="E12" s="396"/>
      <c r="F12" s="397"/>
      <c r="G12" s="235"/>
      <c r="H12" s="227"/>
      <c r="I12" s="224"/>
      <c r="J12" s="228" t="str">
        <f t="shared" si="0"/>
        <v/>
      </c>
      <c r="K12" s="8"/>
      <c r="L12" s="206"/>
      <c r="M12" s="8"/>
      <c r="N12" s="8"/>
      <c r="O12" s="8"/>
      <c r="P12" s="8"/>
      <c r="Q12" s="8"/>
      <c r="R12" s="8"/>
      <c r="S12" s="8"/>
      <c r="T12" s="8"/>
      <c r="U12" s="8"/>
      <c r="V12" s="8"/>
      <c r="W12" s="8"/>
    </row>
    <row r="13" spans="1:23" s="3" customFormat="1" ht="14.65" customHeight="1" x14ac:dyDescent="0.25">
      <c r="A13" s="223"/>
      <c r="B13" s="378"/>
      <c r="C13" s="395" t="s">
        <v>535</v>
      </c>
      <c r="D13" s="396"/>
      <c r="E13" s="396"/>
      <c r="F13" s="397"/>
      <c r="G13" s="235"/>
      <c r="H13" s="227"/>
      <c r="I13" s="224"/>
      <c r="J13" s="228" t="str">
        <f t="shared" si="0"/>
        <v/>
      </c>
      <c r="K13" s="8"/>
      <c r="L13" s="206"/>
      <c r="M13" s="8"/>
      <c r="N13" s="8"/>
      <c r="O13" s="8"/>
      <c r="P13" s="8"/>
      <c r="Q13" s="8"/>
      <c r="R13" s="8"/>
      <c r="S13" s="8"/>
      <c r="T13" s="8"/>
      <c r="U13" s="8"/>
      <c r="V13" s="8"/>
      <c r="W13" s="8"/>
    </row>
    <row r="14" spans="1:23" s="3" customFormat="1" ht="14.65" customHeight="1" x14ac:dyDescent="0.25">
      <c r="A14" s="223"/>
      <c r="B14" s="378"/>
      <c r="C14" s="395" t="s">
        <v>536</v>
      </c>
      <c r="D14" s="396"/>
      <c r="E14" s="396"/>
      <c r="F14" s="397"/>
      <c r="G14" s="235"/>
      <c r="H14" s="227"/>
      <c r="I14" s="224"/>
      <c r="J14" s="228" t="str">
        <f t="shared" si="0"/>
        <v/>
      </c>
      <c r="K14" s="8"/>
      <c r="L14" s="206"/>
      <c r="M14" s="8"/>
      <c r="N14" s="8"/>
      <c r="O14" s="8"/>
      <c r="P14" s="8"/>
      <c r="Q14" s="8"/>
      <c r="R14" s="8"/>
      <c r="S14" s="8"/>
      <c r="T14" s="8"/>
      <c r="U14" s="8"/>
      <c r="V14" s="8"/>
      <c r="W14" s="8"/>
    </row>
    <row r="15" spans="1:23" s="3" customFormat="1" ht="14.65" customHeight="1" x14ac:dyDescent="0.25">
      <c r="A15" s="223"/>
      <c r="B15" s="378"/>
      <c r="C15" s="395" t="s">
        <v>537</v>
      </c>
      <c r="D15" s="396"/>
      <c r="E15" s="396"/>
      <c r="F15" s="397"/>
      <c r="G15" s="235"/>
      <c r="H15" s="227"/>
      <c r="I15" s="224"/>
      <c r="J15" s="228" t="str">
        <f t="shared" si="0"/>
        <v/>
      </c>
      <c r="K15" s="8"/>
      <c r="L15" s="206"/>
      <c r="M15" s="8"/>
      <c r="N15" s="8"/>
      <c r="O15" s="8"/>
      <c r="P15" s="8"/>
      <c r="Q15" s="8"/>
      <c r="R15" s="8"/>
      <c r="S15" s="8"/>
      <c r="T15" s="8"/>
      <c r="U15" s="8"/>
      <c r="V15" s="8"/>
      <c r="W15" s="8"/>
    </row>
    <row r="16" spans="1:23" s="3" customFormat="1" ht="16.5" customHeight="1" x14ac:dyDescent="0.25">
      <c r="B16" s="406"/>
      <c r="C16" s="407" t="s">
        <v>139</v>
      </c>
      <c r="D16" s="408"/>
      <c r="E16" s="408"/>
      <c r="F16" s="408"/>
      <c r="G16" s="408"/>
      <c r="H16" s="408"/>
      <c r="I16" s="408"/>
      <c r="J16" s="409"/>
    </row>
    <row r="17" spans="1:23" s="3" customFormat="1" ht="15" customHeight="1" x14ac:dyDescent="0.25">
      <c r="A17" s="223"/>
      <c r="B17" s="378"/>
      <c r="C17" s="395" t="s">
        <v>538</v>
      </c>
      <c r="D17" s="396"/>
      <c r="E17" s="396"/>
      <c r="F17" s="397"/>
      <c r="G17" s="234"/>
      <c r="H17" s="227"/>
      <c r="I17" s="224"/>
      <c r="J17" s="228" t="str">
        <f t="shared" ref="J17:J22" si="1">IFERROR(ROUND(I17/H17,2),"")</f>
        <v/>
      </c>
      <c r="K17" s="8"/>
      <c r="L17" s="206"/>
      <c r="M17" s="8"/>
      <c r="N17" s="8"/>
      <c r="O17" s="8"/>
      <c r="P17" s="8"/>
      <c r="Q17" s="8"/>
      <c r="R17" s="8"/>
      <c r="S17" s="8"/>
      <c r="T17" s="8"/>
      <c r="U17" s="8"/>
      <c r="V17" s="8"/>
      <c r="W17" s="8"/>
    </row>
    <row r="18" spans="1:23" s="3" customFormat="1" ht="15" customHeight="1" x14ac:dyDescent="0.25">
      <c r="A18" s="223"/>
      <c r="B18" s="378"/>
      <c r="C18" s="395" t="s">
        <v>539</v>
      </c>
      <c r="D18" s="396"/>
      <c r="E18" s="396"/>
      <c r="F18" s="397"/>
      <c r="G18" s="235"/>
      <c r="H18" s="227"/>
      <c r="I18" s="224"/>
      <c r="J18" s="228" t="str">
        <f t="shared" si="1"/>
        <v/>
      </c>
      <c r="K18" s="8"/>
      <c r="L18" s="206"/>
      <c r="M18" s="8"/>
      <c r="N18" s="8"/>
      <c r="O18" s="8"/>
      <c r="P18" s="8"/>
      <c r="Q18" s="8"/>
      <c r="R18" s="8"/>
      <c r="S18" s="8"/>
      <c r="T18" s="8"/>
      <c r="U18" s="8"/>
      <c r="V18" s="8"/>
      <c r="W18" s="8"/>
    </row>
    <row r="19" spans="1:23" s="3" customFormat="1" ht="29.25" customHeight="1" x14ac:dyDescent="0.25">
      <c r="A19" s="223"/>
      <c r="B19" s="378"/>
      <c r="C19" s="395" t="s">
        <v>540</v>
      </c>
      <c r="D19" s="396"/>
      <c r="E19" s="396"/>
      <c r="F19" s="397"/>
      <c r="G19" s="235"/>
      <c r="H19" s="227"/>
      <c r="I19" s="224"/>
      <c r="J19" s="228" t="str">
        <f t="shared" si="1"/>
        <v/>
      </c>
      <c r="K19" s="8"/>
      <c r="L19" s="206"/>
      <c r="M19" s="8"/>
      <c r="N19" s="8"/>
      <c r="O19" s="8"/>
      <c r="P19" s="8"/>
      <c r="Q19" s="8"/>
      <c r="R19" s="8"/>
      <c r="S19" s="8"/>
      <c r="T19" s="8"/>
      <c r="U19" s="8"/>
      <c r="V19" s="8"/>
      <c r="W19" s="8"/>
    </row>
    <row r="20" spans="1:23" s="3" customFormat="1" ht="14.65" customHeight="1" x14ac:dyDescent="0.25">
      <c r="A20" s="223"/>
      <c r="B20" s="378"/>
      <c r="C20" s="395" t="s">
        <v>541</v>
      </c>
      <c r="D20" s="396"/>
      <c r="E20" s="396"/>
      <c r="F20" s="397"/>
      <c r="G20" s="235"/>
      <c r="H20" s="227"/>
      <c r="I20" s="224"/>
      <c r="J20" s="228" t="str">
        <f t="shared" si="1"/>
        <v/>
      </c>
      <c r="K20" s="8"/>
      <c r="L20" s="206"/>
      <c r="M20" s="8"/>
      <c r="N20" s="8"/>
      <c r="O20" s="8"/>
      <c r="P20" s="8"/>
      <c r="Q20" s="8"/>
      <c r="R20" s="8"/>
      <c r="S20" s="8"/>
      <c r="T20" s="8"/>
      <c r="U20" s="8"/>
      <c r="V20" s="8"/>
      <c r="W20" s="8"/>
    </row>
    <row r="21" spans="1:23" s="3" customFormat="1" ht="14.65" customHeight="1" x14ac:dyDescent="0.25">
      <c r="A21" s="223"/>
      <c r="B21" s="378"/>
      <c r="C21" s="395" t="s">
        <v>542</v>
      </c>
      <c r="D21" s="396"/>
      <c r="E21" s="396"/>
      <c r="F21" s="397"/>
      <c r="G21" s="235"/>
      <c r="H21" s="227"/>
      <c r="I21" s="224"/>
      <c r="J21" s="228" t="str">
        <f t="shared" si="1"/>
        <v/>
      </c>
      <c r="K21" s="8"/>
      <c r="L21" s="206"/>
      <c r="M21" s="8"/>
      <c r="N21" s="8"/>
      <c r="O21" s="8"/>
      <c r="P21" s="8"/>
      <c r="Q21" s="8"/>
      <c r="R21" s="8"/>
      <c r="S21" s="8"/>
      <c r="T21" s="8"/>
      <c r="U21" s="8"/>
      <c r="V21" s="8"/>
      <c r="W21" s="8"/>
    </row>
    <row r="22" spans="1:23" s="3" customFormat="1" ht="14.65" customHeight="1" x14ac:dyDescent="0.25">
      <c r="A22" s="223"/>
      <c r="B22" s="380"/>
      <c r="C22" s="395" t="s">
        <v>543</v>
      </c>
      <c r="D22" s="396"/>
      <c r="E22" s="396"/>
      <c r="F22" s="397"/>
      <c r="G22" s="235"/>
      <c r="H22" s="227"/>
      <c r="I22" s="224"/>
      <c r="J22" s="228" t="str">
        <f t="shared" si="1"/>
        <v/>
      </c>
      <c r="K22" s="8"/>
      <c r="L22" s="206"/>
      <c r="M22" s="8"/>
      <c r="N22" s="8"/>
      <c r="O22" s="8"/>
      <c r="P22" s="8"/>
      <c r="Q22" s="8"/>
      <c r="R22" s="8"/>
      <c r="S22" s="8"/>
      <c r="T22" s="8"/>
      <c r="U22" s="8"/>
      <c r="V22" s="8"/>
      <c r="W22" s="8"/>
    </row>
    <row r="23" spans="1:23" ht="15" customHeight="1" x14ac:dyDescent="0.25">
      <c r="B23" s="398"/>
      <c r="C23" s="398"/>
      <c r="D23" s="398"/>
      <c r="E23" s="398"/>
      <c r="F23" s="398"/>
      <c r="G23" s="398"/>
    </row>
    <row r="24" spans="1:23" ht="39.75" customHeight="1" x14ac:dyDescent="0.25">
      <c r="B24" s="360" t="s">
        <v>21</v>
      </c>
      <c r="C24" s="374" t="s">
        <v>140</v>
      </c>
      <c r="D24" s="374"/>
      <c r="E24" s="374"/>
      <c r="F24" s="374"/>
      <c r="G24" s="69" t="s">
        <v>32</v>
      </c>
      <c r="H24" s="69" t="s">
        <v>23</v>
      </c>
      <c r="I24" s="69" t="s">
        <v>24</v>
      </c>
      <c r="J24" s="69" t="s">
        <v>25</v>
      </c>
      <c r="K24" s="146"/>
    </row>
    <row r="25" spans="1:23" ht="15" customHeight="1" x14ac:dyDescent="0.25">
      <c r="A25" s="206"/>
      <c r="B25" s="360"/>
      <c r="C25" s="454"/>
      <c r="D25" s="455"/>
      <c r="E25" s="455"/>
      <c r="F25" s="455"/>
      <c r="G25" s="207"/>
      <c r="H25" s="227"/>
      <c r="I25" s="224"/>
      <c r="J25" s="228" t="str">
        <f>IFERROR(ROUND(I25/H25,2),"")</f>
        <v/>
      </c>
      <c r="K25" s="146"/>
      <c r="L25" s="206"/>
      <c r="M25" s="206"/>
      <c r="N25" s="206"/>
      <c r="O25" s="206"/>
      <c r="P25" s="206"/>
      <c r="Q25" s="206"/>
      <c r="R25" s="206"/>
      <c r="S25" s="206"/>
      <c r="T25" s="206"/>
      <c r="U25" s="206"/>
      <c r="V25" s="206"/>
      <c r="W25" s="206"/>
    </row>
    <row r="26" spans="1:23" ht="15" customHeight="1" x14ac:dyDescent="0.25">
      <c r="A26" s="206"/>
      <c r="B26" s="360"/>
      <c r="C26" s="454"/>
      <c r="D26" s="455"/>
      <c r="E26" s="455"/>
      <c r="F26" s="455"/>
      <c r="G26" s="207"/>
      <c r="H26" s="227"/>
      <c r="I26" s="224"/>
      <c r="J26" s="228" t="str">
        <f>IFERROR(ROUND(I26/H26,2),"")</f>
        <v/>
      </c>
      <c r="K26" s="146"/>
      <c r="L26" s="206"/>
      <c r="M26" s="206"/>
      <c r="N26" s="206"/>
      <c r="O26" s="206"/>
      <c r="P26" s="206"/>
      <c r="Q26" s="206"/>
      <c r="R26" s="206"/>
      <c r="S26" s="206"/>
      <c r="T26" s="206"/>
      <c r="U26" s="206"/>
      <c r="V26" s="206"/>
      <c r="W26" s="206"/>
    </row>
    <row r="27" spans="1:23" ht="15" customHeight="1" x14ac:dyDescent="0.25">
      <c r="A27" s="206"/>
      <c r="B27" s="360"/>
      <c r="C27" s="454"/>
      <c r="D27" s="455"/>
      <c r="E27" s="455"/>
      <c r="F27" s="455"/>
      <c r="G27" s="207"/>
      <c r="H27" s="227"/>
      <c r="I27" s="224"/>
      <c r="J27" s="228" t="str">
        <f>IFERROR(ROUND(I27/H27,2),"")</f>
        <v/>
      </c>
      <c r="K27" s="146"/>
      <c r="L27" s="206"/>
      <c r="M27" s="206"/>
      <c r="N27" s="206"/>
      <c r="O27" s="206"/>
      <c r="P27" s="206"/>
      <c r="Q27" s="206"/>
      <c r="R27" s="206"/>
      <c r="S27" s="206"/>
      <c r="T27" s="206"/>
      <c r="U27" s="206"/>
      <c r="V27" s="206"/>
      <c r="W27" s="206"/>
    </row>
    <row r="28" spans="1:23" ht="15" customHeight="1" x14ac:dyDescent="0.25">
      <c r="K28" s="146"/>
    </row>
    <row r="29" spans="1:23" ht="82.5" customHeight="1" x14ac:dyDescent="0.25">
      <c r="B29" s="415" t="s">
        <v>29</v>
      </c>
      <c r="C29" s="414" t="s">
        <v>141</v>
      </c>
      <c r="D29" s="414"/>
      <c r="E29" s="414"/>
      <c r="F29" s="414"/>
      <c r="G29" s="75" t="s">
        <v>96</v>
      </c>
      <c r="H29" s="72" t="s">
        <v>132</v>
      </c>
      <c r="I29" s="75" t="s">
        <v>128</v>
      </c>
      <c r="J29" s="75" t="s">
        <v>26</v>
      </c>
      <c r="K29" s="75" t="s">
        <v>133</v>
      </c>
      <c r="L29" s="75" t="s">
        <v>27</v>
      </c>
      <c r="M29" s="75" t="s">
        <v>28</v>
      </c>
    </row>
    <row r="30" spans="1:23" s="77" customFormat="1" ht="48" customHeight="1" x14ac:dyDescent="0.25">
      <c r="A30" s="220"/>
      <c r="B30" s="385"/>
      <c r="C30" s="375" t="s">
        <v>2005</v>
      </c>
      <c r="D30" s="376"/>
      <c r="E30" s="376"/>
      <c r="F30" s="376"/>
      <c r="G30" s="219"/>
      <c r="H30" s="225"/>
      <c r="I30" s="226"/>
      <c r="J30" s="205" t="str">
        <f>IFERROR(ROUND((I30-H30)/H30,2),"")</f>
        <v/>
      </c>
      <c r="K30" s="226"/>
      <c r="L30" s="205" t="str">
        <f>IFERROR(ROUND((K30-H30)/H30,2),"")</f>
        <v/>
      </c>
      <c r="M30" s="205" t="str">
        <f>IFERROR(ROUND((K30-H30)/(I30-H30),2),"")</f>
        <v/>
      </c>
      <c r="N30" s="220"/>
      <c r="O30" s="220"/>
      <c r="P30" s="220"/>
      <c r="Q30" s="220"/>
      <c r="R30" s="220"/>
      <c r="S30" s="220"/>
      <c r="T30" s="220"/>
      <c r="U30" s="220"/>
      <c r="V30" s="220"/>
      <c r="W30" s="220"/>
    </row>
    <row r="31" spans="1:23" s="77" customFormat="1" ht="48" customHeight="1" x14ac:dyDescent="0.25">
      <c r="A31" s="220"/>
      <c r="B31" s="385"/>
      <c r="C31" s="412" t="s">
        <v>2006</v>
      </c>
      <c r="D31" s="413"/>
      <c r="E31" s="413"/>
      <c r="F31" s="413"/>
      <c r="G31" s="219"/>
      <c r="H31" s="225"/>
      <c r="I31" s="226"/>
      <c r="J31" s="205" t="str">
        <f>IFERROR(ROUND((I31-H31)/H31,2),"")</f>
        <v/>
      </c>
      <c r="K31" s="226"/>
      <c r="L31" s="205" t="str">
        <f>IFERROR(ROUND((K31-H31)/H31,2),"")</f>
        <v/>
      </c>
      <c r="M31" s="205" t="str">
        <f>IFERROR(ROUND((K31-H31)/(I31-H31),2),"")</f>
        <v/>
      </c>
      <c r="N31" s="220"/>
      <c r="O31" s="220"/>
      <c r="P31" s="220"/>
      <c r="Q31" s="220"/>
      <c r="R31" s="220"/>
      <c r="S31" s="220"/>
      <c r="T31" s="220"/>
      <c r="U31" s="220"/>
      <c r="V31" s="220"/>
      <c r="W31" s="220"/>
    </row>
    <row r="32" spans="1:23" s="77" customFormat="1" ht="45.75" customHeight="1" x14ac:dyDescent="0.25">
      <c r="A32" s="220"/>
      <c r="B32" s="385"/>
      <c r="C32" s="412" t="s">
        <v>2007</v>
      </c>
      <c r="D32" s="413"/>
      <c r="E32" s="413"/>
      <c r="F32" s="413"/>
      <c r="G32" s="219"/>
      <c r="H32" s="225"/>
      <c r="I32" s="226"/>
      <c r="J32" s="205" t="str">
        <f>IFERROR(ROUND((I32-H32)/H32,2),"")</f>
        <v/>
      </c>
      <c r="K32" s="226"/>
      <c r="L32" s="205" t="str">
        <f>IFERROR(ROUND((K32-H32)/H32,2),"")</f>
        <v/>
      </c>
      <c r="M32" s="205" t="str">
        <f>IFERROR(ROUND((K32-H32)/(I32-H32),2),"")</f>
        <v/>
      </c>
      <c r="N32" s="220"/>
      <c r="O32" s="220"/>
      <c r="P32" s="220"/>
      <c r="Q32" s="220"/>
      <c r="R32" s="220"/>
      <c r="S32" s="220"/>
      <c r="T32" s="220"/>
      <c r="U32" s="220"/>
      <c r="V32" s="220"/>
      <c r="W32" s="220"/>
    </row>
    <row r="33" spans="1:23" s="77" customFormat="1" ht="48.75" customHeight="1" x14ac:dyDescent="0.25">
      <c r="A33" s="220"/>
      <c r="B33" s="385"/>
      <c r="C33" s="412" t="s">
        <v>2008</v>
      </c>
      <c r="D33" s="413"/>
      <c r="E33" s="413"/>
      <c r="F33" s="413"/>
      <c r="G33" s="219"/>
      <c r="H33" s="225"/>
      <c r="I33" s="226"/>
      <c r="J33" s="205" t="str">
        <f>IFERROR(ROUND((I33-H33)/H33,2),"")</f>
        <v/>
      </c>
      <c r="K33" s="226"/>
      <c r="L33" s="205" t="str">
        <f>IFERROR(ROUND((K33-H33)/H33,2),"")</f>
        <v/>
      </c>
      <c r="M33" s="205" t="str">
        <f>IFERROR(ROUND((K33-H33)/(I33-H33),2),"")</f>
        <v/>
      </c>
      <c r="N33" s="220"/>
      <c r="O33" s="220"/>
      <c r="P33" s="220"/>
      <c r="Q33" s="220"/>
      <c r="R33" s="220"/>
      <c r="S33" s="220"/>
      <c r="T33" s="220"/>
      <c r="U33" s="220"/>
      <c r="V33" s="220"/>
      <c r="W33" s="220"/>
    </row>
    <row r="34" spans="1:23" s="77" customFormat="1" ht="47.25" customHeight="1" x14ac:dyDescent="0.25">
      <c r="A34" s="220"/>
      <c r="B34" s="385"/>
      <c r="C34" s="412" t="s">
        <v>2009</v>
      </c>
      <c r="D34" s="413"/>
      <c r="E34" s="413"/>
      <c r="F34" s="413"/>
      <c r="G34" s="219"/>
      <c r="H34" s="225"/>
      <c r="I34" s="226"/>
      <c r="J34" s="205" t="str">
        <f>IFERROR(ROUND((I34-H34)/H34,2),"")</f>
        <v/>
      </c>
      <c r="K34" s="226"/>
      <c r="L34" s="205" t="str">
        <f>IFERROR(ROUND((K34-H34)/H34,2),"")</f>
        <v/>
      </c>
      <c r="M34" s="205" t="str">
        <f>IFERROR(ROUND((K34-H34)/(I34-H34),2),"")</f>
        <v/>
      </c>
      <c r="N34" s="220"/>
      <c r="O34" s="220"/>
      <c r="P34" s="220"/>
      <c r="Q34" s="220"/>
      <c r="R34" s="220"/>
      <c r="S34" s="220"/>
      <c r="T34" s="220"/>
      <c r="U34" s="220"/>
      <c r="V34" s="220"/>
      <c r="W34" s="220"/>
    </row>
    <row r="35" spans="1:23" ht="9.75" customHeight="1" x14ac:dyDescent="0.25">
      <c r="M35" s="78"/>
    </row>
    <row r="36" spans="1:23" ht="79.5" customHeight="1" x14ac:dyDescent="0.25">
      <c r="B36" s="351" t="s">
        <v>30</v>
      </c>
      <c r="C36" s="386" t="s">
        <v>142</v>
      </c>
      <c r="D36" s="386"/>
      <c r="E36" s="386"/>
      <c r="F36" s="386"/>
      <c r="G36" s="75" t="s">
        <v>96</v>
      </c>
      <c r="H36" s="72" t="s">
        <v>132</v>
      </c>
      <c r="I36" s="75" t="s">
        <v>128</v>
      </c>
      <c r="J36" s="75" t="s">
        <v>26</v>
      </c>
      <c r="K36" s="75" t="s">
        <v>133</v>
      </c>
      <c r="L36" s="75" t="s">
        <v>27</v>
      </c>
      <c r="M36" s="75" t="s">
        <v>28</v>
      </c>
    </row>
    <row r="37" spans="1:23" ht="17.25" customHeight="1" x14ac:dyDescent="0.25">
      <c r="A37" s="206"/>
      <c r="B37" s="351"/>
      <c r="C37" s="348"/>
      <c r="D37" s="349"/>
      <c r="E37" s="349"/>
      <c r="F37" s="349"/>
      <c r="G37" s="219"/>
      <c r="H37" s="225"/>
      <c r="I37" s="226"/>
      <c r="J37" s="229" t="str">
        <f>IFERROR(ROUND((I37-H37)/H37,2),"")</f>
        <v/>
      </c>
      <c r="K37" s="226"/>
      <c r="L37" s="229" t="str">
        <f>IFERROR(ROUND((K37-H37)/H37,2),"")</f>
        <v/>
      </c>
      <c r="M37" s="205" t="str">
        <f>IFERROR(ROUND((K37-H37)/(I37-H37),2),"")</f>
        <v/>
      </c>
      <c r="N37" s="206"/>
      <c r="O37" s="206"/>
      <c r="P37" s="206"/>
      <c r="Q37" s="206"/>
      <c r="R37" s="206"/>
      <c r="S37" s="206"/>
      <c r="T37" s="206"/>
      <c r="U37" s="206"/>
      <c r="V37" s="206"/>
      <c r="W37" s="206"/>
    </row>
    <row r="38" spans="1:23" ht="17.25" customHeight="1" x14ac:dyDescent="0.25">
      <c r="A38" s="206"/>
      <c r="B38" s="351"/>
      <c r="C38" s="348"/>
      <c r="D38" s="349"/>
      <c r="E38" s="349"/>
      <c r="F38" s="349"/>
      <c r="G38" s="219"/>
      <c r="H38" s="225"/>
      <c r="I38" s="226"/>
      <c r="J38" s="229" t="str">
        <f>IFERROR(ROUND((I38-H38)/H38,2),"")</f>
        <v/>
      </c>
      <c r="K38" s="226"/>
      <c r="L38" s="229" t="str">
        <f>IFERROR(ROUND((K38-H38)/H38,2),"")</f>
        <v/>
      </c>
      <c r="M38" s="205" t="str">
        <f>IFERROR(ROUND((K38-H38)/(I38-H38),2),"")</f>
        <v/>
      </c>
      <c r="N38" s="206"/>
      <c r="O38" s="206"/>
      <c r="P38" s="206"/>
      <c r="Q38" s="206"/>
      <c r="R38" s="206"/>
      <c r="S38" s="206"/>
      <c r="T38" s="206"/>
      <c r="U38" s="206"/>
      <c r="V38" s="206"/>
      <c r="W38" s="206"/>
    </row>
    <row r="39" spans="1:23" ht="18" customHeight="1" x14ac:dyDescent="0.25">
      <c r="A39" s="206"/>
      <c r="B39" s="351"/>
      <c r="C39" s="348"/>
      <c r="D39" s="349"/>
      <c r="E39" s="349"/>
      <c r="F39" s="349"/>
      <c r="G39" s="219"/>
      <c r="H39" s="225"/>
      <c r="I39" s="226"/>
      <c r="J39" s="229" t="str">
        <f>IFERROR(ROUND((I39-H39)/H39,2),"")</f>
        <v/>
      </c>
      <c r="K39" s="226"/>
      <c r="L39" s="229" t="str">
        <f>IFERROR(ROUND((K39-H39)/H39,2),"")</f>
        <v/>
      </c>
      <c r="M39" s="205" t="str">
        <f>IFERROR(ROUND((K39-H39)/(I39-H39),2),"")</f>
        <v/>
      </c>
      <c r="N39" s="206"/>
      <c r="O39" s="206"/>
      <c r="P39" s="206"/>
      <c r="Q39" s="206"/>
      <c r="R39" s="206"/>
      <c r="S39" s="206"/>
      <c r="T39" s="206"/>
      <c r="U39" s="206"/>
      <c r="V39" s="206"/>
      <c r="W39" s="206"/>
    </row>
    <row r="40" spans="1:23" ht="8.25" customHeight="1" x14ac:dyDescent="0.25"/>
    <row r="41" spans="1:23" ht="15" customHeight="1" x14ac:dyDescent="0.25">
      <c r="B41" s="76" t="s">
        <v>107</v>
      </c>
      <c r="C41" s="76"/>
      <c r="D41" s="76"/>
    </row>
    <row r="42" spans="1:23" ht="72" customHeight="1" x14ac:dyDescent="0.25">
      <c r="B42" s="387"/>
      <c r="C42" s="388"/>
      <c r="D42" s="388"/>
      <c r="E42" s="388"/>
      <c r="F42" s="388"/>
      <c r="G42" s="388"/>
      <c r="H42" s="388"/>
      <c r="I42" s="388"/>
      <c r="J42" s="388"/>
      <c r="K42" s="388"/>
      <c r="L42" s="388"/>
      <c r="M42" s="389"/>
    </row>
    <row r="43" spans="1:23" ht="15" customHeight="1" x14ac:dyDescent="0.25"/>
  </sheetData>
  <sheetProtection algorithmName="SHA-512" hashValue="0S/e3qtWv+SPpSMEI2kkyrrsx3T7JrSr/Oq5TiMsftUikja2eXfL6TWrvC704m9g8ikVvN59BC0hHiWSjyxmIw==" saltValue="93dSLbh8o3E5GSryP0EB9Q==" spinCount="100000" sheet="1" objects="1" scenarios="1" formatCells="0" selectLockedCells="1"/>
  <mergeCells count="42">
    <mergeCell ref="B42:M42"/>
    <mergeCell ref="C33:F33"/>
    <mergeCell ref="C36:F36"/>
    <mergeCell ref="C37:F37"/>
    <mergeCell ref="C29:F29"/>
    <mergeCell ref="C30:F30"/>
    <mergeCell ref="C31:F31"/>
    <mergeCell ref="C38:F38"/>
    <mergeCell ref="B36:B39"/>
    <mergeCell ref="C39:F39"/>
    <mergeCell ref="B29:B34"/>
    <mergeCell ref="C32:F32"/>
    <mergeCell ref="C34:F34"/>
    <mergeCell ref="C27:F27"/>
    <mergeCell ref="C26:F26"/>
    <mergeCell ref="B23:G23"/>
    <mergeCell ref="B24:B27"/>
    <mergeCell ref="A2:M2"/>
    <mergeCell ref="A3:M3"/>
    <mergeCell ref="C8:F8"/>
    <mergeCell ref="C9:J9"/>
    <mergeCell ref="B8:B22"/>
    <mergeCell ref="A4:M4"/>
    <mergeCell ref="C16:J16"/>
    <mergeCell ref="C10:F10"/>
    <mergeCell ref="C11:F11"/>
    <mergeCell ref="C12:F12"/>
    <mergeCell ref="C13:F13"/>
    <mergeCell ref="C14:F14"/>
    <mergeCell ref="C18:F18"/>
    <mergeCell ref="C19:F19"/>
    <mergeCell ref="C20:F20"/>
    <mergeCell ref="C24:F24"/>
    <mergeCell ref="C25:F25"/>
    <mergeCell ref="C21:F21"/>
    <mergeCell ref="C22:F22"/>
    <mergeCell ref="B5:D5"/>
    <mergeCell ref="B6:D6"/>
    <mergeCell ref="E5:J5"/>
    <mergeCell ref="E6:H6"/>
    <mergeCell ref="C17:F17"/>
    <mergeCell ref="C15:F15"/>
  </mergeCells>
  <dataValidations count="4">
    <dataValidation type="whole" allowBlank="1" showInputMessage="1" showErrorMessage="1" error="Please enter a number between 0 and 99999999." sqref="H25:I27 H10:I15 H17:I22" xr:uid="{00000000-0002-0000-0600-000000000000}">
      <formula1>0</formula1>
      <formula2>99999999</formula2>
    </dataValidation>
    <dataValidation type="textLength" operator="lessThanOrEqual" allowBlank="1" showInputMessage="1" showErrorMessage="1" error="Entry exceeds maximum length (1000)." sqref="C25:F27 C37:F39" xr:uid="{00000000-0002-0000-0600-000002000000}">
      <formula1>1000</formula1>
    </dataValidation>
    <dataValidation type="textLength" operator="lessThanOrEqual" allowBlank="1" showInputMessage="1" showErrorMessage="1" error="Entry exceeds maximum length (5000)." sqref="B42:M42" xr:uid="{00000000-0002-0000-0600-000003000000}">
      <formula1>5000</formula1>
    </dataValidation>
    <dataValidation type="decimal" allowBlank="1" showInputMessage="1" showErrorMessage="1" error="Please enter a number between 0.0 and 100.0." sqref="K37:K39 K30:K34 H30:I34 H37:I39" xr:uid="{2A1F5256-97E8-47A5-BD97-F6EFA0F602DE}">
      <formula1>0</formula1>
      <formula2>100</formula2>
    </dataValidation>
  </dataValidations>
  <pageMargins left="0.7" right="0.7" top="0.75" bottom="0.75" header="0.3" footer="0.3"/>
  <pageSetup scale="79" fitToHeight="0" orientation="landscape" r:id="rId1"/>
  <headerFooter>
    <oddFooter xml:space="preserve">&amp;LAugust 2017&amp;C
Module 3, Section B: Community NPIs - Infrastructure and Asset Building </oddFooter>
  </headerFooter>
  <rowBreaks count="1" manualBreakCount="1">
    <brk id="2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using">
    <tabColor rgb="FF00B050"/>
    <pageSetUpPr fitToPage="1"/>
  </sheetPr>
  <dimension ref="A1:O33"/>
  <sheetViews>
    <sheetView showGridLines="0" topLeftCell="A18" zoomScaleNormal="100" zoomScalePageLayoutView="90" workbookViewId="0"/>
  </sheetViews>
  <sheetFormatPr defaultColWidth="0" defaultRowHeight="15" customHeight="1" zeroHeight="1" x14ac:dyDescent="0.25"/>
  <cols>
    <col min="1" max="1" width="2.28515625" customWidth="1"/>
    <col min="2" max="3" width="8.85546875" customWidth="1"/>
    <col min="4" max="4" width="11.85546875" customWidth="1"/>
    <col min="5" max="5" width="32.7109375" customWidth="1"/>
    <col min="6" max="6" width="14" customWidth="1"/>
    <col min="7" max="8" width="12.85546875" customWidth="1"/>
    <col min="9" max="10" width="14.28515625" customWidth="1"/>
    <col min="11" max="11" width="11.28515625" customWidth="1"/>
    <col min="12" max="12" width="15" customWidth="1"/>
    <col min="13" max="13" width="3.28515625" customWidth="1"/>
    <col min="14" max="15" width="0" hidden="1" customWidth="1"/>
    <col min="16" max="16384" width="8.85546875" hidden="1"/>
  </cols>
  <sheetData>
    <row r="1" spans="1:15" ht="9" customHeight="1" x14ac:dyDescent="0.25">
      <c r="A1" s="4"/>
    </row>
    <row r="2" spans="1:15" ht="17.649999999999999" customHeight="1" x14ac:dyDescent="0.25">
      <c r="B2" s="334" t="s">
        <v>1516</v>
      </c>
      <c r="C2" s="334"/>
      <c r="D2" s="334"/>
      <c r="E2" s="334"/>
      <c r="F2" s="334"/>
      <c r="G2" s="334"/>
      <c r="H2" s="334"/>
      <c r="I2" s="334"/>
      <c r="J2" s="334"/>
      <c r="K2" s="334"/>
      <c r="L2" s="334"/>
    </row>
    <row r="3" spans="1:15" ht="17.649999999999999" customHeight="1" x14ac:dyDescent="0.25">
      <c r="B3" s="334" t="s">
        <v>97</v>
      </c>
      <c r="C3" s="334"/>
      <c r="D3" s="334"/>
      <c r="E3" s="334"/>
      <c r="F3" s="334"/>
      <c r="G3" s="334"/>
      <c r="H3" s="334"/>
      <c r="I3" s="334"/>
      <c r="J3" s="334"/>
      <c r="K3" s="334"/>
      <c r="L3" s="334"/>
    </row>
    <row r="4" spans="1:15" ht="24" customHeight="1" x14ac:dyDescent="0.25">
      <c r="B4" s="335" t="s">
        <v>35</v>
      </c>
      <c r="C4" s="335"/>
      <c r="D4" s="335"/>
      <c r="E4" s="335"/>
      <c r="F4" s="335"/>
      <c r="G4" s="335"/>
      <c r="H4" s="335"/>
      <c r="I4" s="335"/>
      <c r="J4" s="335"/>
      <c r="K4" s="335"/>
      <c r="L4" s="335"/>
    </row>
    <row r="5" spans="1:15" ht="15" customHeight="1" x14ac:dyDescent="0.25">
      <c r="B5" s="371" t="s">
        <v>1512</v>
      </c>
      <c r="C5" s="372"/>
      <c r="D5" s="373"/>
      <c r="E5" s="328" t="str">
        <f>IF(M3AgencyName="","",M3AgencyName)</f>
        <v>Alabama Council on Human Relations, Inc.</v>
      </c>
      <c r="F5" s="366"/>
      <c r="G5" s="366"/>
      <c r="H5" s="366"/>
      <c r="I5" s="366"/>
      <c r="J5" s="367"/>
      <c r="K5" s="66"/>
      <c r="L5" s="66"/>
    </row>
    <row r="6" spans="1:15" ht="15" customHeight="1" x14ac:dyDescent="0.25">
      <c r="B6" s="371" t="s">
        <v>1138</v>
      </c>
      <c r="C6" s="372"/>
      <c r="D6" s="373"/>
      <c r="E6" s="368" t="str">
        <f>IF(M3StateName="","",M3StateName)</f>
        <v>Alabama</v>
      </c>
      <c r="F6" s="369"/>
      <c r="G6" s="369"/>
      <c r="H6" s="370"/>
      <c r="I6" s="117" t="s">
        <v>1606</v>
      </c>
      <c r="J6" s="118" t="str" cm="1">
        <f t="array" ref="J6">IF(M3UEI="","",M3UEI)</f>
        <v>183860386</v>
      </c>
    </row>
    <row r="7" spans="1:15" ht="6.75" customHeight="1" x14ac:dyDescent="0.25">
      <c r="J7" s="67"/>
      <c r="K7" s="67"/>
      <c r="L7" s="67"/>
    </row>
    <row r="8" spans="1:15" ht="40.5" customHeight="1" x14ac:dyDescent="0.25">
      <c r="B8" s="405" t="s">
        <v>22</v>
      </c>
      <c r="C8" s="374" t="s">
        <v>143</v>
      </c>
      <c r="D8" s="374"/>
      <c r="E8" s="374"/>
      <c r="F8" s="374"/>
      <c r="G8" s="374"/>
      <c r="H8" s="374"/>
      <c r="I8" s="69" t="s">
        <v>96</v>
      </c>
      <c r="J8" s="69" t="s">
        <v>23</v>
      </c>
      <c r="K8" s="69" t="s">
        <v>24</v>
      </c>
      <c r="L8" s="69" t="s">
        <v>25</v>
      </c>
    </row>
    <row r="9" spans="1:15" s="3" customFormat="1" ht="29.25" customHeight="1" x14ac:dyDescent="0.25">
      <c r="A9" s="8"/>
      <c r="B9" s="378"/>
      <c r="C9" s="336" t="s">
        <v>2010</v>
      </c>
      <c r="D9" s="336"/>
      <c r="E9" s="336"/>
      <c r="F9" s="336"/>
      <c r="G9" s="336"/>
      <c r="H9" s="336"/>
      <c r="I9" s="187"/>
      <c r="J9" s="183"/>
      <c r="K9" s="183"/>
      <c r="L9" s="156" t="str">
        <f>IFERROR(ROUND(K9/J9,2),"")</f>
        <v/>
      </c>
      <c r="M9" s="8"/>
      <c r="N9" s="8"/>
      <c r="O9" s="8"/>
    </row>
    <row r="10" spans="1:15" s="3" customFormat="1" ht="29.25" customHeight="1" x14ac:dyDescent="0.25">
      <c r="A10" s="8"/>
      <c r="B10" s="378"/>
      <c r="C10" s="336" t="s">
        <v>2011</v>
      </c>
      <c r="D10" s="336"/>
      <c r="E10" s="336"/>
      <c r="F10" s="336"/>
      <c r="G10" s="336"/>
      <c r="H10" s="336"/>
      <c r="I10" s="187"/>
      <c r="J10" s="183"/>
      <c r="K10" s="183"/>
      <c r="L10" s="156" t="str">
        <f>IFERROR(ROUND(K10/J10,2),"")</f>
        <v/>
      </c>
      <c r="M10" s="8"/>
      <c r="N10" s="8"/>
      <c r="O10" s="8"/>
    </row>
    <row r="11" spans="1:15" s="3" customFormat="1" ht="27" customHeight="1" x14ac:dyDescent="0.25">
      <c r="A11" s="8"/>
      <c r="B11" s="378"/>
      <c r="C11" s="336" t="s">
        <v>2012</v>
      </c>
      <c r="D11" s="336"/>
      <c r="E11" s="336"/>
      <c r="F11" s="336"/>
      <c r="G11" s="336"/>
      <c r="H11" s="336"/>
      <c r="I11" s="187"/>
      <c r="J11" s="183"/>
      <c r="K11" s="183"/>
      <c r="L11" s="156" t="str">
        <f>IFERROR(ROUND(K11/J11,2),"")</f>
        <v/>
      </c>
      <c r="M11" s="8"/>
      <c r="N11" s="8"/>
      <c r="O11" s="8"/>
    </row>
    <row r="12" spans="1:15" s="3" customFormat="1" ht="30" customHeight="1" x14ac:dyDescent="0.25">
      <c r="A12" s="8"/>
      <c r="B12" s="380"/>
      <c r="C12" s="336" t="s">
        <v>2013</v>
      </c>
      <c r="D12" s="336"/>
      <c r="E12" s="336"/>
      <c r="F12" s="336"/>
      <c r="G12" s="336"/>
      <c r="H12" s="336"/>
      <c r="I12" s="187"/>
      <c r="J12" s="183"/>
      <c r="K12" s="183"/>
      <c r="L12" s="156" t="str">
        <f>IFERROR(ROUND(K12/J12,2),"")</f>
        <v/>
      </c>
      <c r="M12" s="8"/>
      <c r="N12" s="8"/>
      <c r="O12" s="8"/>
    </row>
    <row r="13" spans="1:15" ht="6" customHeight="1" x14ac:dyDescent="0.25">
      <c r="D13" s="71"/>
      <c r="E13" s="71"/>
      <c r="F13" s="71"/>
      <c r="G13" s="71"/>
      <c r="H13" s="71"/>
      <c r="I13" s="71"/>
    </row>
    <row r="14" spans="1:15" ht="41.25" customHeight="1" x14ac:dyDescent="0.25">
      <c r="B14" s="424" t="s">
        <v>21</v>
      </c>
      <c r="C14" s="374" t="s">
        <v>144</v>
      </c>
      <c r="D14" s="374"/>
      <c r="E14" s="374"/>
      <c r="F14" s="374"/>
      <c r="G14" s="374"/>
      <c r="H14" s="374"/>
      <c r="I14" s="69" t="s">
        <v>96</v>
      </c>
      <c r="J14" s="69" t="s">
        <v>23</v>
      </c>
      <c r="K14" s="69" t="s">
        <v>24</v>
      </c>
      <c r="L14" s="69" t="s">
        <v>25</v>
      </c>
      <c r="M14" s="146"/>
    </row>
    <row r="15" spans="1:15" ht="18" customHeight="1" x14ac:dyDescent="0.25">
      <c r="A15" s="206"/>
      <c r="B15" s="425"/>
      <c r="C15" s="383"/>
      <c r="D15" s="384"/>
      <c r="E15" s="384"/>
      <c r="F15" s="384"/>
      <c r="G15" s="384"/>
      <c r="H15" s="384"/>
      <c r="I15" s="207"/>
      <c r="J15" s="224"/>
      <c r="K15" s="224"/>
      <c r="L15" s="205" t="str">
        <f>IFERROR(ROUND(K15/J15,2),"")</f>
        <v/>
      </c>
      <c r="M15" s="146"/>
      <c r="N15" s="206"/>
      <c r="O15" s="206"/>
    </row>
    <row r="16" spans="1:15" ht="18" customHeight="1" x14ac:dyDescent="0.25">
      <c r="A16" s="206"/>
      <c r="B16" s="425"/>
      <c r="C16" s="383"/>
      <c r="D16" s="384"/>
      <c r="E16" s="384"/>
      <c r="F16" s="384"/>
      <c r="G16" s="384"/>
      <c r="H16" s="384"/>
      <c r="I16" s="207"/>
      <c r="J16" s="224"/>
      <c r="K16" s="224"/>
      <c r="L16" s="205" t="str">
        <f>IFERROR(ROUND(K16/J16,2),"")</f>
        <v/>
      </c>
      <c r="M16" s="146"/>
      <c r="N16" s="206"/>
      <c r="O16" s="206"/>
    </row>
    <row r="17" spans="1:15" ht="15" customHeight="1" x14ac:dyDescent="0.25">
      <c r="A17" s="206"/>
      <c r="B17" s="426"/>
      <c r="C17" s="383"/>
      <c r="D17" s="384"/>
      <c r="E17" s="384"/>
      <c r="F17" s="384"/>
      <c r="G17" s="384"/>
      <c r="H17" s="384"/>
      <c r="I17" s="207"/>
      <c r="J17" s="224"/>
      <c r="K17" s="224"/>
      <c r="L17" s="205" t="str">
        <f>IFERROR(ROUND(K17/J17,2),"")</f>
        <v/>
      </c>
      <c r="M17" s="146"/>
      <c r="N17" s="206"/>
      <c r="O17" s="206"/>
    </row>
    <row r="18" spans="1:15" ht="16.5" customHeight="1" x14ac:dyDescent="0.25">
      <c r="M18" s="146"/>
    </row>
    <row r="19" spans="1:15" ht="74.25" customHeight="1" x14ac:dyDescent="0.25">
      <c r="B19" s="416" t="s">
        <v>29</v>
      </c>
      <c r="C19" s="392" t="s">
        <v>145</v>
      </c>
      <c r="D19" s="393"/>
      <c r="E19" s="394"/>
      <c r="F19" s="72" t="s">
        <v>96</v>
      </c>
      <c r="G19" s="72" t="s">
        <v>132</v>
      </c>
      <c r="H19" s="73" t="s">
        <v>128</v>
      </c>
      <c r="I19" s="73" t="s">
        <v>26</v>
      </c>
      <c r="J19" s="73" t="s">
        <v>133</v>
      </c>
      <c r="K19" s="72" t="s">
        <v>27</v>
      </c>
      <c r="L19" s="79" t="s">
        <v>28</v>
      </c>
    </row>
    <row r="20" spans="1:15" ht="28.5" customHeight="1" x14ac:dyDescent="0.25">
      <c r="A20" s="206"/>
      <c r="B20" s="363"/>
      <c r="C20" s="336" t="s">
        <v>2014</v>
      </c>
      <c r="D20" s="336"/>
      <c r="E20" s="336"/>
      <c r="F20" s="187"/>
      <c r="G20" s="238"/>
      <c r="H20" s="238"/>
      <c r="I20" s="156" t="str">
        <f>IFERROR(ROUND((H20-G20)/G20,2),"")</f>
        <v/>
      </c>
      <c r="J20" s="184"/>
      <c r="K20" s="156" t="str">
        <f>IFERROR(ROUND((J20-G20)/G20,2),"")</f>
        <v/>
      </c>
      <c r="L20" s="156" t="str">
        <f>IFERROR(ROUND((J20-G20)/(H20-G20),2),"")</f>
        <v/>
      </c>
      <c r="M20" s="206"/>
      <c r="N20" s="206"/>
      <c r="O20" s="206"/>
    </row>
    <row r="21" spans="1:15" ht="27.75" customHeight="1" x14ac:dyDescent="0.25">
      <c r="A21" s="206"/>
      <c r="B21" s="363"/>
      <c r="C21" s="336" t="s">
        <v>2015</v>
      </c>
      <c r="D21" s="336"/>
      <c r="E21" s="336"/>
      <c r="F21" s="187"/>
      <c r="G21" s="238"/>
      <c r="H21" s="238"/>
      <c r="I21" s="156" t="str">
        <f>IFERROR(ROUND((H21-G21)/G21,2),"")</f>
        <v/>
      </c>
      <c r="J21" s="184"/>
      <c r="K21" s="156" t="str">
        <f>IFERROR(ROUND((J21-G21)/G21,2),"")</f>
        <v/>
      </c>
      <c r="L21" s="156" t="str">
        <f>IFERROR(ROUND((J21-G21)/(H21-G21),2),"")</f>
        <v/>
      </c>
      <c r="M21" s="206"/>
      <c r="N21" s="206"/>
      <c r="O21" s="206"/>
    </row>
    <row r="22" spans="1:15" ht="27" customHeight="1" x14ac:dyDescent="0.25">
      <c r="A22" s="206"/>
      <c r="B22" s="363"/>
      <c r="C22" s="336" t="s">
        <v>2016</v>
      </c>
      <c r="D22" s="336"/>
      <c r="E22" s="336"/>
      <c r="F22" s="187"/>
      <c r="G22" s="238"/>
      <c r="H22" s="238"/>
      <c r="I22" s="156" t="str">
        <f>IFERROR(ROUND((H22-G22)/G22,2),"")</f>
        <v/>
      </c>
      <c r="J22" s="184"/>
      <c r="K22" s="156" t="str">
        <f>IFERROR(ROUND((J22-G22)/G22,2),"")</f>
        <v/>
      </c>
      <c r="L22" s="156" t="str">
        <f>IFERROR(ROUND((J22-G22)/(H22-G22),2),"")</f>
        <v/>
      </c>
      <c r="M22" s="206"/>
      <c r="N22" s="206"/>
      <c r="O22" s="206"/>
    </row>
    <row r="23" spans="1:15" ht="27" customHeight="1" x14ac:dyDescent="0.25">
      <c r="A23" s="206"/>
      <c r="B23" s="363"/>
      <c r="C23" s="336" t="s">
        <v>2017</v>
      </c>
      <c r="D23" s="336"/>
      <c r="E23" s="336"/>
      <c r="F23" s="187"/>
      <c r="G23" s="238"/>
      <c r="H23" s="238"/>
      <c r="I23" s="156" t="str">
        <f>IFERROR(ROUND((H23-G23)/G23,2),"")</f>
        <v/>
      </c>
      <c r="J23" s="184"/>
      <c r="K23" s="156" t="str">
        <f>IFERROR(ROUND((J23-G23)/G23,2),"")</f>
        <v/>
      </c>
      <c r="L23" s="156" t="str">
        <f>IFERROR(ROUND((J23-G23)/(H23-G23),2),"")</f>
        <v/>
      </c>
      <c r="M23" s="206"/>
      <c r="N23" s="206"/>
      <c r="O23" s="206"/>
    </row>
    <row r="24" spans="1:15" ht="29.25" customHeight="1" x14ac:dyDescent="0.25">
      <c r="A24" s="206"/>
      <c r="B24" s="364"/>
      <c r="C24" s="417" t="s">
        <v>2018</v>
      </c>
      <c r="D24" s="418"/>
      <c r="E24" s="419"/>
      <c r="F24" s="187"/>
      <c r="G24" s="238"/>
      <c r="H24" s="238"/>
      <c r="I24" s="156" t="str">
        <f>IFERROR(ROUND((H24-G24)/G24,2),"")</f>
        <v/>
      </c>
      <c r="J24" s="184"/>
      <c r="K24" s="156" t="str">
        <f>IFERROR(ROUND((J24-G24)/G24,2),"")</f>
        <v/>
      </c>
      <c r="L24" s="156" t="str">
        <f>IFERROR(ROUND((J24-G24)/(H24-G24),2),"")</f>
        <v/>
      </c>
      <c r="M24" s="206"/>
      <c r="N24" s="206"/>
      <c r="O24" s="206"/>
    </row>
    <row r="25" spans="1:15" ht="6.75" customHeight="1" x14ac:dyDescent="0.25">
      <c r="F25" s="70"/>
    </row>
    <row r="26" spans="1:15" ht="81" customHeight="1" x14ac:dyDescent="0.25">
      <c r="B26" s="362" t="s">
        <v>30</v>
      </c>
      <c r="C26" s="386" t="s">
        <v>146</v>
      </c>
      <c r="D26" s="386"/>
      <c r="E26" s="386"/>
      <c r="F26" s="75" t="s">
        <v>32</v>
      </c>
      <c r="G26" s="72" t="s">
        <v>132</v>
      </c>
      <c r="H26" s="75" t="s">
        <v>128</v>
      </c>
      <c r="I26" s="75" t="s">
        <v>26</v>
      </c>
      <c r="J26" s="75" t="s">
        <v>133</v>
      </c>
      <c r="K26" s="75" t="s">
        <v>27</v>
      </c>
      <c r="L26" s="75" t="s">
        <v>28</v>
      </c>
    </row>
    <row r="27" spans="1:15" ht="15" customHeight="1" x14ac:dyDescent="0.25">
      <c r="A27" s="206"/>
      <c r="B27" s="420"/>
      <c r="C27" s="348"/>
      <c r="D27" s="349"/>
      <c r="E27" s="349"/>
      <c r="F27" s="204"/>
      <c r="G27" s="239"/>
      <c r="H27" s="239"/>
      <c r="I27" s="205" t="str">
        <f>IFERROR(ROUND((H27-G27)/G27,2),"")</f>
        <v/>
      </c>
      <c r="J27" s="226"/>
      <c r="K27" s="205" t="str">
        <f>IFERROR(ROUND((J27-G27)/G27,2),"")</f>
        <v/>
      </c>
      <c r="L27" s="205" t="str">
        <f>IFERROR(ROUND((J27-G27)/(H27-G27),2),"")</f>
        <v/>
      </c>
      <c r="M27" s="206"/>
      <c r="N27" s="206"/>
      <c r="O27" s="206"/>
    </row>
    <row r="28" spans="1:15" ht="15" customHeight="1" x14ac:dyDescent="0.25">
      <c r="A28" s="206"/>
      <c r="B28" s="420"/>
      <c r="C28" s="348"/>
      <c r="D28" s="349"/>
      <c r="E28" s="349"/>
      <c r="F28" s="204"/>
      <c r="G28" s="239"/>
      <c r="H28" s="239"/>
      <c r="I28" s="205" t="str">
        <f>IFERROR(ROUND((H28-G28)/G28,2),"")</f>
        <v/>
      </c>
      <c r="J28" s="226"/>
      <c r="K28" s="205" t="str">
        <f>IFERROR(ROUND((J28-G28)/G28,2),"")</f>
        <v/>
      </c>
      <c r="L28" s="205" t="str">
        <f>IFERROR(ROUND((J28-G28)/(H28-G28),2),"")</f>
        <v/>
      </c>
      <c r="M28" s="206"/>
      <c r="N28" s="206"/>
      <c r="O28" s="206"/>
    </row>
    <row r="29" spans="1:15" ht="15" customHeight="1" x14ac:dyDescent="0.25">
      <c r="A29" s="206"/>
      <c r="B29" s="420"/>
      <c r="C29" s="348"/>
      <c r="D29" s="349"/>
      <c r="E29" s="349"/>
      <c r="F29" s="204"/>
      <c r="G29" s="239"/>
      <c r="H29" s="239"/>
      <c r="I29" s="205" t="str">
        <f>IFERROR(ROUND((H29-G29)/G29,2),"")</f>
        <v/>
      </c>
      <c r="J29" s="226"/>
      <c r="K29" s="205" t="str">
        <f>IFERROR(ROUND((J29-G29)/G29,2),"")</f>
        <v/>
      </c>
      <c r="L29" s="205" t="str">
        <f>IFERROR(ROUND((J29-G29)/(H29-G29),2),"")</f>
        <v/>
      </c>
      <c r="M29" s="206"/>
      <c r="N29" s="206"/>
      <c r="O29" s="206"/>
    </row>
    <row r="30" spans="1:15" ht="15.75" customHeight="1" x14ac:dyDescent="0.25"/>
    <row r="31" spans="1:15" ht="11.25" customHeight="1" x14ac:dyDescent="0.25">
      <c r="B31" s="76" t="s">
        <v>107</v>
      </c>
      <c r="C31" s="76"/>
      <c r="D31" s="76"/>
    </row>
    <row r="32" spans="1:15" ht="72" customHeight="1" x14ac:dyDescent="0.25">
      <c r="B32" s="421"/>
      <c r="C32" s="422"/>
      <c r="D32" s="422"/>
      <c r="E32" s="422"/>
      <c r="F32" s="422"/>
      <c r="G32" s="422"/>
      <c r="H32" s="422"/>
      <c r="I32" s="422"/>
      <c r="J32" s="422"/>
      <c r="K32" s="422"/>
      <c r="L32" s="423"/>
    </row>
    <row r="33" ht="15" customHeight="1" x14ac:dyDescent="0.25"/>
  </sheetData>
  <sheetProtection algorithmName="SHA-512" hashValue="NoiP+LmB2qgw7O5F/SnZKsEk03sJkupSEJ8uqCs12YAnZ8lpTl8zkp6SMdQ4JfNkAlb4xo7DIt/Qer3IZSKPpw==" saltValue="iHLvN6C/rySWRoY97lU9Jw==" spinCount="100000" sheet="1" objects="1" scenarios="1" formatCells="0" selectLockedCells="1"/>
  <mergeCells count="31">
    <mergeCell ref="B32:L32"/>
    <mergeCell ref="B2:L2"/>
    <mergeCell ref="B3:L3"/>
    <mergeCell ref="B4:L4"/>
    <mergeCell ref="C8:H8"/>
    <mergeCell ref="C9:H9"/>
    <mergeCell ref="B8:B12"/>
    <mergeCell ref="C11:H11"/>
    <mergeCell ref="C10:H10"/>
    <mergeCell ref="B14:B17"/>
    <mergeCell ref="C16:H16"/>
    <mergeCell ref="C17:H17"/>
    <mergeCell ref="C12:H12"/>
    <mergeCell ref="C14:H14"/>
    <mergeCell ref="C15:H15"/>
    <mergeCell ref="B5:D5"/>
    <mergeCell ref="B6:D6"/>
    <mergeCell ref="E5:J5"/>
    <mergeCell ref="E6:H6"/>
    <mergeCell ref="C29:E29"/>
    <mergeCell ref="C27:E27"/>
    <mergeCell ref="B19:B24"/>
    <mergeCell ref="C19:E19"/>
    <mergeCell ref="C20:E20"/>
    <mergeCell ref="C21:E21"/>
    <mergeCell ref="C22:E22"/>
    <mergeCell ref="C24:E24"/>
    <mergeCell ref="C23:E23"/>
    <mergeCell ref="B26:B29"/>
    <mergeCell ref="C28:E28"/>
    <mergeCell ref="C26:E26"/>
  </mergeCells>
  <dataValidations count="4">
    <dataValidation type="whole" allowBlank="1" showInputMessage="1" showErrorMessage="1" error="Please enter a number between 0 and 99999999." sqref="J15:K17 J9:K12" xr:uid="{00000000-0002-0000-0700-000000000000}">
      <formula1>0</formula1>
      <formula2>99999999</formula2>
    </dataValidation>
    <dataValidation type="textLength" operator="lessThanOrEqual" allowBlank="1" showInputMessage="1" showErrorMessage="1" error="Entry exceeds maximum length (1000)." sqref="C27:E29 C15:H17" xr:uid="{00000000-0002-0000-0700-000002000000}">
      <formula1>1000</formula1>
    </dataValidation>
    <dataValidation type="textLength" operator="lessThanOrEqual" allowBlank="1" showInputMessage="1" showErrorMessage="1" error="Entry exceeds maximum length (5000)." sqref="B32:L32" xr:uid="{00000000-0002-0000-0700-000003000000}">
      <formula1>5000</formula1>
    </dataValidation>
    <dataValidation type="decimal" allowBlank="1" showInputMessage="1" showErrorMessage="1" error="Please enter a number between 0.0 and 100.0." sqref="J27:J29 J20:J24 G20:H24 G27:H29" xr:uid="{C5D77199-214B-47B3-99B1-25E8DC761698}">
      <formula1>0</formula1>
      <formula2>100</formula2>
    </dataValidation>
  </dataValidations>
  <pageMargins left="0.7" right="0.7" top="0.75" bottom="0.75" header="0.3" footer="0.3"/>
  <pageSetup scale="75" fitToHeight="0" orientation="landscape" r:id="rId1"/>
  <headerFooter>
    <oddFooter xml:space="preserve">&amp;LAugust 2017&amp;C
Module 3, Section B: Community NPIs - Housing </oddFooter>
  </headerFooter>
  <rowBreaks count="1" manualBreakCount="1">
    <brk id="18"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ealth_and_Social">
    <tabColor rgb="FF0070C0"/>
    <pageSetUpPr fitToPage="1"/>
  </sheetPr>
  <dimension ref="A1:O49"/>
  <sheetViews>
    <sheetView showGridLines="0" zoomScaleNormal="100" zoomScalePageLayoutView="90" workbookViewId="0"/>
  </sheetViews>
  <sheetFormatPr defaultColWidth="0" defaultRowHeight="15" customHeight="1" zeroHeight="1" x14ac:dyDescent="0.25"/>
  <cols>
    <col min="1" max="1" width="2.28515625" customWidth="1"/>
    <col min="2" max="3" width="8.85546875" customWidth="1"/>
    <col min="4" max="4" width="11.85546875" customWidth="1"/>
    <col min="5" max="5" width="32.7109375" customWidth="1"/>
    <col min="6" max="6" width="14" customWidth="1"/>
    <col min="7" max="8" width="12.85546875" customWidth="1"/>
    <col min="9" max="10" width="14.28515625" customWidth="1"/>
    <col min="11" max="11" width="11.7109375" customWidth="1"/>
    <col min="12" max="12" width="15" customWidth="1"/>
    <col min="13" max="13" width="3.28515625" customWidth="1"/>
    <col min="14" max="15" width="0" hidden="1" customWidth="1"/>
    <col min="16" max="16384" width="8.85546875" hidden="1"/>
  </cols>
  <sheetData>
    <row r="1" spans="1:15" ht="9" customHeight="1" x14ac:dyDescent="0.25">
      <c r="A1" s="4"/>
    </row>
    <row r="2" spans="1:15" ht="17.649999999999999" customHeight="1" x14ac:dyDescent="0.25">
      <c r="B2" s="334" t="s">
        <v>1516</v>
      </c>
      <c r="C2" s="334"/>
      <c r="D2" s="334"/>
      <c r="E2" s="334"/>
      <c r="F2" s="334"/>
      <c r="G2" s="334"/>
      <c r="H2" s="334"/>
      <c r="I2" s="334"/>
      <c r="J2" s="334"/>
      <c r="K2" s="334"/>
      <c r="L2" s="334"/>
    </row>
    <row r="3" spans="1:15" ht="17.649999999999999" customHeight="1" x14ac:dyDescent="0.25">
      <c r="B3" s="334" t="s">
        <v>97</v>
      </c>
      <c r="C3" s="334"/>
      <c r="D3" s="334"/>
      <c r="E3" s="334"/>
      <c r="F3" s="334"/>
      <c r="G3" s="334"/>
      <c r="H3" s="334"/>
      <c r="I3" s="334"/>
      <c r="J3" s="334"/>
      <c r="K3" s="334"/>
      <c r="L3" s="334"/>
    </row>
    <row r="4" spans="1:15" ht="24" customHeight="1" x14ac:dyDescent="0.25">
      <c r="B4" s="335" t="s">
        <v>36</v>
      </c>
      <c r="C4" s="335"/>
      <c r="D4" s="335"/>
      <c r="E4" s="335"/>
      <c r="F4" s="335"/>
      <c r="G4" s="335"/>
      <c r="H4" s="335"/>
      <c r="I4" s="335"/>
      <c r="J4" s="335"/>
      <c r="K4" s="335"/>
      <c r="L4" s="335"/>
    </row>
    <row r="5" spans="1:15" ht="15" customHeight="1" x14ac:dyDescent="0.25">
      <c r="B5" s="371" t="s">
        <v>1512</v>
      </c>
      <c r="C5" s="372"/>
      <c r="D5" s="373"/>
      <c r="E5" s="328" t="str">
        <f>IF(M3AgencyName="","",M3AgencyName)</f>
        <v>Alabama Council on Human Relations, Inc.</v>
      </c>
      <c r="F5" s="366"/>
      <c r="G5" s="366"/>
      <c r="H5" s="366"/>
      <c r="I5" s="366"/>
      <c r="J5" s="367"/>
      <c r="K5" s="66"/>
      <c r="L5" s="66"/>
    </row>
    <row r="6" spans="1:15" ht="15" customHeight="1" x14ac:dyDescent="0.25">
      <c r="B6" s="371" t="s">
        <v>1138</v>
      </c>
      <c r="C6" s="372"/>
      <c r="D6" s="373"/>
      <c r="E6" s="368" t="str">
        <f>IF(M3StateName="","",M3StateName)</f>
        <v>Alabama</v>
      </c>
      <c r="F6" s="369"/>
      <c r="G6" s="369"/>
      <c r="H6" s="370"/>
      <c r="I6" s="117" t="s">
        <v>1606</v>
      </c>
      <c r="J6" s="118" t="str" cm="1">
        <f t="array" ref="J6">IF(M3UEI="","",M3UEI)</f>
        <v>183860386</v>
      </c>
    </row>
    <row r="7" spans="1:15" ht="4.5" customHeight="1" x14ac:dyDescent="0.25">
      <c r="J7" s="67"/>
      <c r="K7" s="67"/>
      <c r="L7" s="67"/>
    </row>
    <row r="8" spans="1:15" ht="49.5" customHeight="1" x14ac:dyDescent="0.25">
      <c r="B8" s="405" t="s">
        <v>22</v>
      </c>
      <c r="C8" s="374" t="s">
        <v>147</v>
      </c>
      <c r="D8" s="374"/>
      <c r="E8" s="374"/>
      <c r="F8" s="374"/>
      <c r="G8" s="374"/>
      <c r="H8" s="374"/>
      <c r="I8" s="69" t="s">
        <v>96</v>
      </c>
      <c r="J8" s="69" t="s">
        <v>23</v>
      </c>
      <c r="K8" s="69" t="s">
        <v>24</v>
      </c>
      <c r="L8" s="69" t="s">
        <v>25</v>
      </c>
    </row>
    <row r="9" spans="1:15" s="3" customFormat="1" ht="21" customHeight="1" x14ac:dyDescent="0.25">
      <c r="A9" s="8"/>
      <c r="B9" s="378"/>
      <c r="C9" s="427" t="s">
        <v>1968</v>
      </c>
      <c r="D9" s="428"/>
      <c r="E9" s="428"/>
      <c r="F9" s="428"/>
      <c r="G9" s="428"/>
      <c r="H9" s="428"/>
      <c r="I9" s="204"/>
      <c r="J9" s="224"/>
      <c r="K9" s="224"/>
      <c r="L9" s="205" t="str">
        <f>IFERROR(ROUND(K9/J9,2),"")</f>
        <v/>
      </c>
      <c r="M9" s="8"/>
      <c r="N9" s="8"/>
      <c r="O9" s="8"/>
    </row>
    <row r="10" spans="1:15" s="3" customFormat="1" ht="29.65" customHeight="1" x14ac:dyDescent="0.25">
      <c r="A10" s="8"/>
      <c r="B10" s="378"/>
      <c r="C10" s="427" t="s">
        <v>1969</v>
      </c>
      <c r="D10" s="428"/>
      <c r="E10" s="428"/>
      <c r="F10" s="428"/>
      <c r="G10" s="428"/>
      <c r="H10" s="428"/>
      <c r="I10" s="204"/>
      <c r="J10" s="224"/>
      <c r="K10" s="224"/>
      <c r="L10" s="205" t="str">
        <f>IFERROR(ROUND(K10/J10,2),"")</f>
        <v/>
      </c>
      <c r="M10" s="8"/>
      <c r="N10" s="8"/>
      <c r="O10" s="8"/>
    </row>
    <row r="11" spans="1:15" s="3" customFormat="1" ht="21" customHeight="1" x14ac:dyDescent="0.25">
      <c r="A11" s="8"/>
      <c r="B11" s="378"/>
      <c r="C11" s="427" t="s">
        <v>1970</v>
      </c>
      <c r="D11" s="428"/>
      <c r="E11" s="428"/>
      <c r="F11" s="428"/>
      <c r="G11" s="428"/>
      <c r="H11" s="428"/>
      <c r="I11" s="204"/>
      <c r="J11" s="224"/>
      <c r="K11" s="224"/>
      <c r="L11" s="205" t="str">
        <f>IFERROR(ROUND(K11/J11,2),"")</f>
        <v/>
      </c>
      <c r="M11" s="8"/>
      <c r="N11" s="8"/>
      <c r="O11" s="8"/>
    </row>
    <row r="12" spans="1:15" s="3" customFormat="1" ht="21" customHeight="1" x14ac:dyDescent="0.25">
      <c r="A12" s="8"/>
      <c r="B12" s="378"/>
      <c r="C12" s="427" t="s">
        <v>1971</v>
      </c>
      <c r="D12" s="428"/>
      <c r="E12" s="428"/>
      <c r="F12" s="428"/>
      <c r="G12" s="428"/>
      <c r="H12" s="428"/>
      <c r="I12" s="204"/>
      <c r="J12" s="224"/>
      <c r="K12" s="224"/>
      <c r="L12" s="205" t="str">
        <f>IFERROR(ROUND(K12/J12,2),"")</f>
        <v/>
      </c>
      <c r="M12" s="8"/>
      <c r="N12" s="8"/>
      <c r="O12" s="8"/>
    </row>
    <row r="13" spans="1:15" s="3" customFormat="1" ht="21" customHeight="1" x14ac:dyDescent="0.25">
      <c r="A13" s="8"/>
      <c r="B13" s="380"/>
      <c r="C13" s="431" t="s">
        <v>1972</v>
      </c>
      <c r="D13" s="432"/>
      <c r="E13" s="432"/>
      <c r="F13" s="432"/>
      <c r="G13" s="432"/>
      <c r="H13" s="433"/>
      <c r="I13" s="204"/>
      <c r="J13" s="224"/>
      <c r="K13" s="224"/>
      <c r="L13" s="205" t="str">
        <f>IFERROR(ROUND(K13/J13,2),"")</f>
        <v/>
      </c>
      <c r="M13" s="8"/>
      <c r="N13" s="8"/>
      <c r="O13" s="8"/>
    </row>
    <row r="14" spans="1:15" ht="6" customHeight="1" x14ac:dyDescent="0.25">
      <c r="D14" s="71"/>
      <c r="E14" s="71"/>
      <c r="F14" s="71"/>
      <c r="G14" s="71"/>
      <c r="H14" s="71"/>
      <c r="I14" s="71"/>
    </row>
    <row r="15" spans="1:15" ht="49.5" customHeight="1" x14ac:dyDescent="0.25">
      <c r="B15" s="424" t="s">
        <v>21</v>
      </c>
      <c r="C15" s="374" t="s">
        <v>148</v>
      </c>
      <c r="D15" s="374"/>
      <c r="E15" s="374"/>
      <c r="F15" s="374"/>
      <c r="G15" s="374"/>
      <c r="H15" s="374"/>
      <c r="I15" s="69" t="s">
        <v>96</v>
      </c>
      <c r="J15" s="69" t="s">
        <v>23</v>
      </c>
      <c r="K15" s="69" t="s">
        <v>24</v>
      </c>
      <c r="L15" s="69" t="s">
        <v>25</v>
      </c>
      <c r="M15" s="146"/>
    </row>
    <row r="16" spans="1:15" ht="14.65" customHeight="1" x14ac:dyDescent="0.25">
      <c r="A16" s="206"/>
      <c r="B16" s="425"/>
      <c r="C16" s="383"/>
      <c r="D16" s="384"/>
      <c r="E16" s="384"/>
      <c r="F16" s="384"/>
      <c r="G16" s="384"/>
      <c r="H16" s="384"/>
      <c r="I16" s="207"/>
      <c r="J16" s="224"/>
      <c r="K16" s="224"/>
      <c r="L16" s="205" t="str">
        <f>IFERROR(ROUND(K16/J16,2),"")</f>
        <v/>
      </c>
      <c r="M16" s="146"/>
      <c r="N16" s="206"/>
      <c r="O16" s="206"/>
    </row>
    <row r="17" spans="1:15" ht="14.65" customHeight="1" x14ac:dyDescent="0.25">
      <c r="A17" s="206"/>
      <c r="B17" s="425"/>
      <c r="C17" s="383"/>
      <c r="D17" s="384"/>
      <c r="E17" s="384"/>
      <c r="F17" s="384"/>
      <c r="G17" s="384"/>
      <c r="H17" s="384"/>
      <c r="I17" s="207"/>
      <c r="J17" s="224"/>
      <c r="K17" s="224"/>
      <c r="L17" s="205" t="str">
        <f>IFERROR(ROUND(K17/J17,2),"")</f>
        <v/>
      </c>
      <c r="M17" s="146"/>
      <c r="N17" s="206"/>
      <c r="O17" s="206"/>
    </row>
    <row r="18" spans="1:15" ht="14.65" customHeight="1" x14ac:dyDescent="0.25">
      <c r="A18" s="206"/>
      <c r="B18" s="426"/>
      <c r="C18" s="383"/>
      <c r="D18" s="384"/>
      <c r="E18" s="384"/>
      <c r="F18" s="384"/>
      <c r="G18" s="384"/>
      <c r="H18" s="384"/>
      <c r="I18" s="207"/>
      <c r="J18" s="224"/>
      <c r="K18" s="224"/>
      <c r="L18" s="205" t="str">
        <f>IFERROR(ROUND(K18/J18,2),"")</f>
        <v/>
      </c>
      <c r="M18" s="146"/>
      <c r="N18" s="206"/>
      <c r="O18" s="206"/>
    </row>
    <row r="19" spans="1:15" ht="6" customHeight="1" x14ac:dyDescent="0.25">
      <c r="M19" s="146"/>
    </row>
    <row r="20" spans="1:15" ht="72.75" customHeight="1" x14ac:dyDescent="0.25">
      <c r="B20" s="416" t="s">
        <v>29</v>
      </c>
      <c r="C20" s="392" t="s">
        <v>149</v>
      </c>
      <c r="D20" s="393"/>
      <c r="E20" s="394"/>
      <c r="F20" s="72" t="s">
        <v>96</v>
      </c>
      <c r="G20" s="72" t="s">
        <v>132</v>
      </c>
      <c r="H20" s="73" t="s">
        <v>128</v>
      </c>
      <c r="I20" s="73" t="s">
        <v>26</v>
      </c>
      <c r="J20" s="73" t="s">
        <v>133</v>
      </c>
      <c r="K20" s="73" t="s">
        <v>27</v>
      </c>
      <c r="L20" s="74" t="s">
        <v>28</v>
      </c>
    </row>
    <row r="21" spans="1:15" ht="27" customHeight="1" x14ac:dyDescent="0.25">
      <c r="A21" s="206"/>
      <c r="B21" s="363"/>
      <c r="C21" s="427" t="s">
        <v>1973</v>
      </c>
      <c r="D21" s="428"/>
      <c r="E21" s="428"/>
      <c r="F21" s="204"/>
      <c r="G21" s="225"/>
      <c r="H21" s="226"/>
      <c r="I21" s="205" t="str">
        <f>IFERROR(ROUND((H21-G21)/G21,2),"")</f>
        <v/>
      </c>
      <c r="J21" s="226"/>
      <c r="K21" s="205" t="str">
        <f>IFERROR(ROUND((J21-G21)/G21,2),"")</f>
        <v/>
      </c>
      <c r="L21" s="205" t="str">
        <f>IFERROR(ROUND((J21-G21)/(H21-G21),2),"")</f>
        <v/>
      </c>
      <c r="M21" s="206"/>
      <c r="N21" s="206"/>
      <c r="O21" s="206"/>
    </row>
    <row r="22" spans="1:15" ht="26.25" customHeight="1" x14ac:dyDescent="0.25">
      <c r="A22" s="206"/>
      <c r="B22" s="363"/>
      <c r="C22" s="427" t="s">
        <v>1974</v>
      </c>
      <c r="D22" s="428"/>
      <c r="E22" s="428"/>
      <c r="F22" s="204"/>
      <c r="G22" s="225"/>
      <c r="H22" s="226"/>
      <c r="I22" s="205" t="str">
        <f>IFERROR(ROUND((H22-G22)/G22,2),"")</f>
        <v/>
      </c>
      <c r="J22" s="226"/>
      <c r="K22" s="205" t="str">
        <f>IFERROR(ROUND((J22-G22)/G22,2),"")</f>
        <v/>
      </c>
      <c r="L22" s="205" t="str">
        <f>IFERROR(ROUND((J22-G22)/(H22-G22),2),"")</f>
        <v/>
      </c>
      <c r="M22" s="206"/>
      <c r="N22" s="206"/>
      <c r="O22" s="206"/>
    </row>
    <row r="23" spans="1:15" ht="22.5" customHeight="1" x14ac:dyDescent="0.25">
      <c r="A23" s="206"/>
      <c r="B23" s="363"/>
      <c r="C23" s="427" t="s">
        <v>1975</v>
      </c>
      <c r="D23" s="428"/>
      <c r="E23" s="428"/>
      <c r="F23" s="204"/>
      <c r="G23" s="225"/>
      <c r="H23" s="226"/>
      <c r="I23" s="205" t="str">
        <f>IFERROR(ROUND((H23-G23)/G23,2),"")</f>
        <v/>
      </c>
      <c r="J23" s="226"/>
      <c r="K23" s="205" t="str">
        <f>IFERROR(ROUND((J23-G23)/G23,2),"")</f>
        <v/>
      </c>
      <c r="L23" s="205" t="str">
        <f>IFERROR(ROUND((J23-G23)/(H23-G23),2),"")</f>
        <v/>
      </c>
      <c r="M23" s="206"/>
      <c r="N23" s="206"/>
      <c r="O23" s="206"/>
    </row>
    <row r="24" spans="1:15" ht="28.5" customHeight="1" x14ac:dyDescent="0.25">
      <c r="A24" s="206"/>
      <c r="B24" s="363"/>
      <c r="C24" s="427" t="s">
        <v>1976</v>
      </c>
      <c r="D24" s="428"/>
      <c r="E24" s="428"/>
      <c r="F24" s="204"/>
      <c r="G24" s="225"/>
      <c r="H24" s="226"/>
      <c r="I24" s="205" t="str">
        <f>IFERROR(ROUND((H24-G24)/G24,2),"")</f>
        <v/>
      </c>
      <c r="J24" s="226"/>
      <c r="K24" s="205" t="str">
        <f>IFERROR(ROUND((J24-G24)/G24,2),"")</f>
        <v/>
      </c>
      <c r="L24" s="205" t="str">
        <f>IFERROR(ROUND((J24-G24)/(H24-G24),2),"")</f>
        <v/>
      </c>
      <c r="M24" s="206"/>
      <c r="N24" s="206"/>
      <c r="O24" s="206"/>
    </row>
    <row r="25" spans="1:15" ht="27" customHeight="1" x14ac:dyDescent="0.25">
      <c r="A25" s="206"/>
      <c r="B25" s="364"/>
      <c r="C25" s="427" t="s">
        <v>1977</v>
      </c>
      <c r="D25" s="428"/>
      <c r="E25" s="428"/>
      <c r="F25" s="204"/>
      <c r="G25" s="225"/>
      <c r="H25" s="226"/>
      <c r="I25" s="205" t="str">
        <f>IFERROR(ROUND((H25-G25)/G25,2),"")</f>
        <v/>
      </c>
      <c r="J25" s="226"/>
      <c r="K25" s="205" t="str">
        <f>IFERROR(ROUND((J25-G25)/G25,2),"")</f>
        <v/>
      </c>
      <c r="L25" s="205" t="str">
        <f>IFERROR(ROUND((J25-G25)/(H25-G25),2),"")</f>
        <v/>
      </c>
      <c r="M25" s="206"/>
      <c r="N25" s="206"/>
      <c r="O25" s="206"/>
    </row>
    <row r="26" spans="1:15" ht="72.75" customHeight="1" x14ac:dyDescent="0.25">
      <c r="B26" s="416" t="s">
        <v>29</v>
      </c>
      <c r="C26" s="392" t="s">
        <v>150</v>
      </c>
      <c r="D26" s="393"/>
      <c r="E26" s="394"/>
      <c r="F26" s="72" t="s">
        <v>96</v>
      </c>
      <c r="G26" s="72" t="s">
        <v>132</v>
      </c>
      <c r="H26" s="73" t="s">
        <v>128</v>
      </c>
      <c r="I26" s="73" t="s">
        <v>26</v>
      </c>
      <c r="J26" s="73" t="s">
        <v>133</v>
      </c>
      <c r="K26" s="73" t="s">
        <v>27</v>
      </c>
      <c r="L26" s="74" t="s">
        <v>28</v>
      </c>
    </row>
    <row r="27" spans="1:15" ht="27" customHeight="1" x14ac:dyDescent="0.25">
      <c r="A27" s="206"/>
      <c r="B27" s="363"/>
      <c r="C27" s="427" t="s">
        <v>1978</v>
      </c>
      <c r="D27" s="428"/>
      <c r="E27" s="428"/>
      <c r="F27" s="204"/>
      <c r="G27" s="225"/>
      <c r="H27" s="226"/>
      <c r="I27" s="205" t="str">
        <f t="shared" ref="I27:I34" si="0">IFERROR(ROUND((H27-G27)/G27,2),"")</f>
        <v/>
      </c>
      <c r="J27" s="226"/>
      <c r="K27" s="205" t="str">
        <f t="shared" ref="K27:K34" si="1">IFERROR(ROUND((J27-G27)/G27,2),"")</f>
        <v/>
      </c>
      <c r="L27" s="205" t="str">
        <f t="shared" ref="L27:L34" si="2">IFERROR(ROUND((J27-G27)/(H27-G27),2),"")</f>
        <v/>
      </c>
      <c r="M27" s="206"/>
      <c r="N27" s="206"/>
      <c r="O27" s="206"/>
    </row>
    <row r="28" spans="1:15" ht="27" customHeight="1" x14ac:dyDescent="0.25">
      <c r="A28" s="206"/>
      <c r="B28" s="363"/>
      <c r="C28" s="427" t="s">
        <v>1979</v>
      </c>
      <c r="D28" s="428"/>
      <c r="E28" s="428"/>
      <c r="F28" s="204"/>
      <c r="G28" s="225"/>
      <c r="H28" s="226"/>
      <c r="I28" s="205" t="str">
        <f t="shared" si="0"/>
        <v/>
      </c>
      <c r="J28" s="226"/>
      <c r="K28" s="205" t="str">
        <f t="shared" si="1"/>
        <v/>
      </c>
      <c r="L28" s="205" t="str">
        <f t="shared" si="2"/>
        <v/>
      </c>
      <c r="M28" s="206"/>
      <c r="N28" s="206"/>
      <c r="O28" s="206"/>
    </row>
    <row r="29" spans="1:15" ht="27" customHeight="1" x14ac:dyDescent="0.25">
      <c r="A29" s="206"/>
      <c r="B29" s="363"/>
      <c r="C29" s="427" t="s">
        <v>1980</v>
      </c>
      <c r="D29" s="428"/>
      <c r="E29" s="428"/>
      <c r="F29" s="204"/>
      <c r="G29" s="225"/>
      <c r="H29" s="226"/>
      <c r="I29" s="205" t="str">
        <f t="shared" si="0"/>
        <v/>
      </c>
      <c r="J29" s="226"/>
      <c r="K29" s="205" t="str">
        <f t="shared" si="1"/>
        <v/>
      </c>
      <c r="L29" s="205" t="str">
        <f t="shared" si="2"/>
        <v/>
      </c>
      <c r="M29" s="206"/>
      <c r="N29" s="206"/>
      <c r="O29" s="206"/>
    </row>
    <row r="30" spans="1:15" ht="27" customHeight="1" x14ac:dyDescent="0.25">
      <c r="A30" s="206"/>
      <c r="B30" s="363"/>
      <c r="C30" s="427" t="s">
        <v>1981</v>
      </c>
      <c r="D30" s="428"/>
      <c r="E30" s="428"/>
      <c r="F30" s="204"/>
      <c r="G30" s="225"/>
      <c r="H30" s="226"/>
      <c r="I30" s="205" t="str">
        <f t="shared" si="0"/>
        <v/>
      </c>
      <c r="J30" s="226"/>
      <c r="K30" s="205" t="str">
        <f t="shared" si="1"/>
        <v/>
      </c>
      <c r="L30" s="205" t="str">
        <f t="shared" si="2"/>
        <v/>
      </c>
      <c r="M30" s="206"/>
      <c r="N30" s="206"/>
      <c r="O30" s="206"/>
    </row>
    <row r="31" spans="1:15" ht="27" customHeight="1" x14ac:dyDescent="0.25">
      <c r="A31" s="206"/>
      <c r="B31" s="363"/>
      <c r="C31" s="429" t="s">
        <v>1982</v>
      </c>
      <c r="D31" s="430"/>
      <c r="E31" s="430"/>
      <c r="F31" s="204"/>
      <c r="G31" s="225"/>
      <c r="H31" s="226"/>
      <c r="I31" s="205" t="str">
        <f t="shared" si="0"/>
        <v/>
      </c>
      <c r="J31" s="226"/>
      <c r="K31" s="205" t="str">
        <f t="shared" si="1"/>
        <v/>
      </c>
      <c r="L31" s="205" t="str">
        <f t="shared" si="2"/>
        <v/>
      </c>
      <c r="M31" s="206"/>
      <c r="N31" s="206"/>
      <c r="O31" s="206"/>
    </row>
    <row r="32" spans="1:15" ht="27" customHeight="1" x14ac:dyDescent="0.25">
      <c r="A32" s="206"/>
      <c r="B32" s="363"/>
      <c r="C32" s="429" t="s">
        <v>1983</v>
      </c>
      <c r="D32" s="430"/>
      <c r="E32" s="430"/>
      <c r="F32" s="204"/>
      <c r="G32" s="225"/>
      <c r="H32" s="226"/>
      <c r="I32" s="205" t="str">
        <f t="shared" si="0"/>
        <v/>
      </c>
      <c r="J32" s="226"/>
      <c r="K32" s="205" t="str">
        <f t="shared" si="1"/>
        <v/>
      </c>
      <c r="L32" s="205" t="str">
        <f t="shared" si="2"/>
        <v/>
      </c>
      <c r="M32" s="206"/>
      <c r="N32" s="206"/>
      <c r="O32" s="206"/>
    </row>
    <row r="33" spans="1:15" ht="27" customHeight="1" x14ac:dyDescent="0.25">
      <c r="A33" s="206"/>
      <c r="B33" s="363"/>
      <c r="C33" s="429" t="s">
        <v>1984</v>
      </c>
      <c r="D33" s="430"/>
      <c r="E33" s="430"/>
      <c r="F33" s="204"/>
      <c r="G33" s="225"/>
      <c r="H33" s="226"/>
      <c r="I33" s="205" t="str">
        <f t="shared" si="0"/>
        <v/>
      </c>
      <c r="J33" s="226"/>
      <c r="K33" s="205" t="str">
        <f t="shared" si="1"/>
        <v/>
      </c>
      <c r="L33" s="205" t="str">
        <f t="shared" si="2"/>
        <v/>
      </c>
      <c r="M33" s="206"/>
      <c r="N33" s="206"/>
      <c r="O33" s="206"/>
    </row>
    <row r="34" spans="1:15" ht="27" customHeight="1" x14ac:dyDescent="0.25">
      <c r="A34" s="206"/>
      <c r="B34" s="364"/>
      <c r="C34" s="429" t="s">
        <v>1985</v>
      </c>
      <c r="D34" s="430"/>
      <c r="E34" s="430"/>
      <c r="F34" s="204"/>
      <c r="G34" s="225"/>
      <c r="H34" s="226"/>
      <c r="I34" s="205" t="str">
        <f t="shared" si="0"/>
        <v/>
      </c>
      <c r="J34" s="226"/>
      <c r="K34" s="205" t="str">
        <f t="shared" si="1"/>
        <v/>
      </c>
      <c r="L34" s="205" t="str">
        <f t="shared" si="2"/>
        <v/>
      </c>
      <c r="M34" s="206"/>
      <c r="N34" s="206"/>
      <c r="O34" s="206"/>
    </row>
    <row r="35" spans="1:15" ht="6" customHeight="1" x14ac:dyDescent="0.25"/>
    <row r="36" spans="1:15" ht="72" customHeight="1" x14ac:dyDescent="0.25">
      <c r="B36" s="416" t="s">
        <v>29</v>
      </c>
      <c r="C36" s="414" t="s">
        <v>151</v>
      </c>
      <c r="D36" s="414"/>
      <c r="E36" s="414"/>
      <c r="F36" s="75" t="s">
        <v>32</v>
      </c>
      <c r="G36" s="72" t="s">
        <v>132</v>
      </c>
      <c r="H36" s="75" t="s">
        <v>128</v>
      </c>
      <c r="I36" s="75" t="s">
        <v>26</v>
      </c>
      <c r="J36" s="75" t="s">
        <v>133</v>
      </c>
      <c r="K36" s="75" t="s">
        <v>27</v>
      </c>
      <c r="L36" s="75" t="s">
        <v>28</v>
      </c>
    </row>
    <row r="37" spans="1:15" ht="27" customHeight="1" x14ac:dyDescent="0.25">
      <c r="A37" s="206"/>
      <c r="B37" s="363"/>
      <c r="C37" s="429" t="s">
        <v>1986</v>
      </c>
      <c r="D37" s="430"/>
      <c r="E37" s="430"/>
      <c r="F37" s="219"/>
      <c r="G37" s="225"/>
      <c r="H37" s="226"/>
      <c r="I37" s="205" t="str">
        <f>IFERROR(ROUND((H37-G37)/G37,2),"")</f>
        <v/>
      </c>
      <c r="J37" s="226"/>
      <c r="K37" s="205" t="str">
        <f>IFERROR(ROUND((J37-G37)/G37,2),"")</f>
        <v/>
      </c>
      <c r="L37" s="205" t="str">
        <f>IFERROR(ROUND((J37-G37)/(H37-G37),2),"")</f>
        <v/>
      </c>
      <c r="M37" s="206"/>
      <c r="N37" s="206"/>
      <c r="O37" s="206"/>
    </row>
    <row r="38" spans="1:15" ht="27" customHeight="1" x14ac:dyDescent="0.25">
      <c r="A38" s="206"/>
      <c r="B38" s="363"/>
      <c r="C38" s="429" t="s">
        <v>1987</v>
      </c>
      <c r="D38" s="430"/>
      <c r="E38" s="430"/>
      <c r="F38" s="219"/>
      <c r="G38" s="225"/>
      <c r="H38" s="226"/>
      <c r="I38" s="205" t="str">
        <f>IFERROR(ROUND((H38-G38)/G38,2),"")</f>
        <v/>
      </c>
      <c r="J38" s="226"/>
      <c r="K38" s="205" t="str">
        <f>IFERROR(ROUND((J38-G38)/G38,2),"")</f>
        <v/>
      </c>
      <c r="L38" s="205" t="str">
        <f>IFERROR(ROUND((J38-G38)/(H38-G38),2),"")</f>
        <v/>
      </c>
      <c r="M38" s="206"/>
      <c r="N38" s="206"/>
      <c r="O38" s="206"/>
    </row>
    <row r="39" spans="1:15" ht="27" customHeight="1" x14ac:dyDescent="0.25">
      <c r="A39" s="206"/>
      <c r="B39" s="363"/>
      <c r="C39" s="429" t="s">
        <v>1988</v>
      </c>
      <c r="D39" s="430"/>
      <c r="E39" s="430"/>
      <c r="F39" s="219"/>
      <c r="G39" s="225"/>
      <c r="H39" s="226"/>
      <c r="I39" s="205" t="str">
        <f>IFERROR(ROUND((H39-G39)/G39,2),"")</f>
        <v/>
      </c>
      <c r="J39" s="226"/>
      <c r="K39" s="205" t="str">
        <f>IFERROR(ROUND((J39-G39)/G39,2),"")</f>
        <v/>
      </c>
      <c r="L39" s="205" t="str">
        <f>IFERROR(ROUND((J39-G39)/(H39-G39),2),"")</f>
        <v/>
      </c>
      <c r="M39" s="206"/>
      <c r="N39" s="206"/>
      <c r="O39" s="206"/>
    </row>
    <row r="40" spans="1:15" ht="27" customHeight="1" x14ac:dyDescent="0.25">
      <c r="A40" s="206"/>
      <c r="B40" s="364"/>
      <c r="C40" s="429" t="s">
        <v>1989</v>
      </c>
      <c r="D40" s="430"/>
      <c r="E40" s="430"/>
      <c r="F40" s="219"/>
      <c r="G40" s="225"/>
      <c r="H40" s="226"/>
      <c r="I40" s="205" t="str">
        <f>IFERROR(ROUND((H40-G40)/G40,2),"")</f>
        <v/>
      </c>
      <c r="J40" s="226"/>
      <c r="K40" s="205" t="str">
        <f>IFERROR(ROUND((J40-G40)/G40,2),"")</f>
        <v/>
      </c>
      <c r="L40" s="205" t="str">
        <f>IFERROR(ROUND((J40-G40)/(H40-G40),2),"")</f>
        <v/>
      </c>
      <c r="M40" s="206"/>
      <c r="N40" s="206"/>
      <c r="O40" s="206"/>
    </row>
    <row r="41" spans="1:15" ht="4.5" customHeight="1" x14ac:dyDescent="0.25"/>
    <row r="42" spans="1:15" ht="74.25" customHeight="1" x14ac:dyDescent="0.25">
      <c r="B42" s="362" t="s">
        <v>30</v>
      </c>
      <c r="C42" s="386" t="s">
        <v>152</v>
      </c>
      <c r="D42" s="386"/>
      <c r="E42" s="386"/>
      <c r="F42" s="75" t="s">
        <v>32</v>
      </c>
      <c r="G42" s="72" t="s">
        <v>132</v>
      </c>
      <c r="H42" s="75" t="s">
        <v>128</v>
      </c>
      <c r="I42" s="75" t="s">
        <v>26</v>
      </c>
      <c r="J42" s="75" t="s">
        <v>133</v>
      </c>
      <c r="K42" s="75" t="s">
        <v>27</v>
      </c>
      <c r="L42" s="75" t="s">
        <v>28</v>
      </c>
    </row>
    <row r="43" spans="1:15" ht="15" customHeight="1" x14ac:dyDescent="0.25">
      <c r="A43" s="206"/>
      <c r="B43" s="420"/>
      <c r="C43" s="348"/>
      <c r="D43" s="349"/>
      <c r="E43" s="349"/>
      <c r="F43" s="219"/>
      <c r="G43" s="225"/>
      <c r="H43" s="226"/>
      <c r="I43" s="205" t="str">
        <f>IFERROR(ROUND((H43-G43)/G43,2),"")</f>
        <v/>
      </c>
      <c r="J43" s="226"/>
      <c r="K43" s="205" t="str">
        <f>IFERROR(ROUND((J43-G43)/G43,2),"")</f>
        <v/>
      </c>
      <c r="L43" s="205" t="str">
        <f>IFERROR(ROUND((J43-G43)/(H43-G43),2),"")</f>
        <v/>
      </c>
      <c r="M43" s="206"/>
      <c r="N43" s="206"/>
      <c r="O43" s="206"/>
    </row>
    <row r="44" spans="1:15" ht="15" customHeight="1" x14ac:dyDescent="0.25">
      <c r="A44" s="206"/>
      <c r="B44" s="420"/>
      <c r="C44" s="348"/>
      <c r="D44" s="349"/>
      <c r="E44" s="349"/>
      <c r="F44" s="219"/>
      <c r="G44" s="225"/>
      <c r="H44" s="226"/>
      <c r="I44" s="205" t="str">
        <f>IFERROR(ROUND((H44-G44)/G44,2),"")</f>
        <v/>
      </c>
      <c r="J44" s="226"/>
      <c r="K44" s="205" t="str">
        <f>IFERROR(ROUND((J44-G44)/G44,2),"")</f>
        <v/>
      </c>
      <c r="L44" s="205" t="str">
        <f>IFERROR(ROUND((J44-G44)/(H44-G44),2),"")</f>
        <v/>
      </c>
      <c r="M44" s="206"/>
      <c r="N44" s="206"/>
      <c r="O44" s="206"/>
    </row>
    <row r="45" spans="1:15" ht="15" customHeight="1" x14ac:dyDescent="0.25">
      <c r="A45" s="206"/>
      <c r="B45" s="434"/>
      <c r="C45" s="348"/>
      <c r="D45" s="349"/>
      <c r="E45" s="349"/>
      <c r="F45" s="219"/>
      <c r="G45" s="225"/>
      <c r="H45" s="226"/>
      <c r="I45" s="205" t="str">
        <f>IFERROR(ROUND((H45-G45)/G45,2),"")</f>
        <v/>
      </c>
      <c r="J45" s="226"/>
      <c r="K45" s="205" t="str">
        <f>IFERROR(ROUND((J45-G45)/G45,2),"")</f>
        <v/>
      </c>
      <c r="L45" s="205" t="str">
        <f>IFERROR(ROUND((J45-G45)/(H45-G45),2),"")</f>
        <v/>
      </c>
      <c r="M45" s="206"/>
      <c r="N45" s="206"/>
      <c r="O45" s="206"/>
    </row>
    <row r="46" spans="1:15" ht="3.75" customHeight="1" x14ac:dyDescent="0.25"/>
    <row r="47" spans="1:15" ht="11.65" customHeight="1" x14ac:dyDescent="0.25">
      <c r="B47" s="80" t="s">
        <v>107</v>
      </c>
      <c r="C47" s="76"/>
      <c r="D47" s="76"/>
    </row>
    <row r="48" spans="1:15" ht="72" customHeight="1" x14ac:dyDescent="0.25">
      <c r="B48" s="387"/>
      <c r="C48" s="388"/>
      <c r="D48" s="388"/>
      <c r="E48" s="388"/>
      <c r="F48" s="388"/>
      <c r="G48" s="388"/>
      <c r="H48" s="388"/>
      <c r="I48" s="388"/>
      <c r="J48" s="388"/>
      <c r="K48" s="388"/>
      <c r="L48" s="389"/>
    </row>
    <row r="49" ht="15" customHeight="1" x14ac:dyDescent="0.25"/>
  </sheetData>
  <sheetProtection algorithmName="SHA-512" hashValue="dw+x1RI64K0AVJL3zMYsMUXeohwLKb1YDMJGBPG/GppaBMjHbziaSHzTruzCM8cyWDTErbQAd07T5QtZhRDWBA==" saltValue="frzlcxcum+WObB1hia4VWw==" spinCount="100000" sheet="1" objects="1" scenarios="1" formatCells="0" selectLockedCells="1"/>
  <mergeCells count="48">
    <mergeCell ref="B48:L48"/>
    <mergeCell ref="B42:B45"/>
    <mergeCell ref="C44:E44"/>
    <mergeCell ref="C45:E45"/>
    <mergeCell ref="C20:E20"/>
    <mergeCell ref="C21:E21"/>
    <mergeCell ref="C22:E22"/>
    <mergeCell ref="C23:E23"/>
    <mergeCell ref="C37:E37"/>
    <mergeCell ref="C38:E38"/>
    <mergeCell ref="C39:E39"/>
    <mergeCell ref="C32:E32"/>
    <mergeCell ref="C31:E31"/>
    <mergeCell ref="C42:E42"/>
    <mergeCell ref="C43:E43"/>
    <mergeCell ref="B20:B25"/>
    <mergeCell ref="B2:L2"/>
    <mergeCell ref="B3:L3"/>
    <mergeCell ref="B4:L4"/>
    <mergeCell ref="C8:H8"/>
    <mergeCell ref="C9:H9"/>
    <mergeCell ref="B5:D5"/>
    <mergeCell ref="B6:D6"/>
    <mergeCell ref="E5:J5"/>
    <mergeCell ref="E6:H6"/>
    <mergeCell ref="B15:B18"/>
    <mergeCell ref="C17:H17"/>
    <mergeCell ref="C12:H12"/>
    <mergeCell ref="C15:H15"/>
    <mergeCell ref="C16:H16"/>
    <mergeCell ref="C18:H18"/>
    <mergeCell ref="B8:B13"/>
    <mergeCell ref="C10:H10"/>
    <mergeCell ref="C11:H11"/>
    <mergeCell ref="C13:H13"/>
    <mergeCell ref="C24:E24"/>
    <mergeCell ref="C25:E25"/>
    <mergeCell ref="B36:B40"/>
    <mergeCell ref="C33:E33"/>
    <mergeCell ref="B26:B34"/>
    <mergeCell ref="C26:E26"/>
    <mergeCell ref="C27:E27"/>
    <mergeCell ref="C28:E28"/>
    <mergeCell ref="C29:E29"/>
    <mergeCell ref="C40:E40"/>
    <mergeCell ref="C30:E30"/>
    <mergeCell ref="C34:E34"/>
    <mergeCell ref="C36:E36"/>
  </mergeCells>
  <dataValidations count="4">
    <dataValidation type="whole" allowBlank="1" showInputMessage="1" showErrorMessage="1" error="Please enter a number between 0 and 99999999." sqref="J16:K18 J9:K13" xr:uid="{00000000-0002-0000-0800-000001000000}">
      <formula1>0</formula1>
      <formula2>99999999</formula2>
    </dataValidation>
    <dataValidation type="textLength" operator="lessThanOrEqual" allowBlank="1" showInputMessage="1" showErrorMessage="1" error="Entry exceeds maximum length (1000)." sqref="C43:E45 C16:H18" xr:uid="{00000000-0002-0000-0800-000002000000}">
      <formula1>1000</formula1>
    </dataValidation>
    <dataValidation type="textLength" operator="lessThanOrEqual" allowBlank="1" showInputMessage="1" showErrorMessage="1" error="Entry exceeds maximum length (5000)." sqref="B48:L48" xr:uid="{00000000-0002-0000-0800-000003000000}">
      <formula1>5000</formula1>
    </dataValidation>
    <dataValidation type="decimal" allowBlank="1" showInputMessage="1" showErrorMessage="1" error="Please enter a number between 0.0 and 100.0." sqref="J21:J25 G21:H25 J27:J34 G27:H34 J43:J45 J37:J40 G37:H40 G43:H45" xr:uid="{6F6B854E-9AE1-434C-9E66-747F4C34C539}">
      <formula1>0</formula1>
      <formula2>100</formula2>
    </dataValidation>
  </dataValidations>
  <pageMargins left="0.7" right="0.7" top="0.75" bottom="0.75" header="0.3" footer="0.3"/>
  <pageSetup scale="75" fitToHeight="0" orientation="landscape" r:id="rId1"/>
  <headerFooter>
    <oddFooter>&amp;LAugust 2017&amp;C
Module 3, Section B: Community NPIs - Health and Social/Behavioral</oddFooter>
  </headerFooter>
  <rowBreaks count="1" manualBreakCount="1">
    <brk id="25" min="1"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Goal_2_Civic_Engagement">
    <tabColor rgb="FF7030A0"/>
    <pageSetUpPr fitToPage="1"/>
  </sheetPr>
  <dimension ref="A1:O25"/>
  <sheetViews>
    <sheetView showGridLines="0" zoomScaleNormal="100" zoomScalePageLayoutView="90" workbookViewId="0"/>
  </sheetViews>
  <sheetFormatPr defaultColWidth="0" defaultRowHeight="15" customHeight="1" zeroHeight="1" x14ac:dyDescent="0.25"/>
  <cols>
    <col min="1" max="1" width="2.28515625" customWidth="1"/>
    <col min="2" max="3" width="8.85546875" customWidth="1"/>
    <col min="4" max="4" width="11.85546875" customWidth="1"/>
    <col min="5" max="5" width="32.7109375" customWidth="1"/>
    <col min="6" max="6" width="14" customWidth="1"/>
    <col min="7" max="8" width="12.85546875" customWidth="1"/>
    <col min="9" max="10" width="14.28515625" customWidth="1"/>
    <col min="11" max="11" width="11.7109375" customWidth="1"/>
    <col min="12" max="12" width="15" customWidth="1"/>
    <col min="13" max="13" width="3.28515625" customWidth="1"/>
    <col min="14" max="15" width="0" hidden="1" customWidth="1"/>
    <col min="16" max="16384" width="8.85546875" hidden="1"/>
  </cols>
  <sheetData>
    <row r="1" spans="1:15" ht="9" customHeight="1" x14ac:dyDescent="0.25">
      <c r="A1" s="4"/>
    </row>
    <row r="2" spans="1:15" ht="17.649999999999999" customHeight="1" x14ac:dyDescent="0.25">
      <c r="B2" s="334" t="s">
        <v>1516</v>
      </c>
      <c r="C2" s="334"/>
      <c r="D2" s="334"/>
      <c r="E2" s="334"/>
      <c r="F2" s="334"/>
      <c r="G2" s="334"/>
      <c r="H2" s="334"/>
      <c r="I2" s="334"/>
      <c r="J2" s="334"/>
      <c r="K2" s="334"/>
      <c r="L2" s="334"/>
    </row>
    <row r="3" spans="1:15" ht="17.649999999999999" customHeight="1" x14ac:dyDescent="0.25">
      <c r="B3" s="334" t="s">
        <v>112</v>
      </c>
      <c r="C3" s="334"/>
      <c r="D3" s="334"/>
      <c r="E3" s="334"/>
      <c r="F3" s="334"/>
      <c r="G3" s="334"/>
      <c r="H3" s="334"/>
      <c r="I3" s="334"/>
      <c r="J3" s="334"/>
      <c r="K3" s="334"/>
      <c r="L3" s="334"/>
    </row>
    <row r="4" spans="1:15" ht="24" customHeight="1" x14ac:dyDescent="0.25">
      <c r="B4" s="335" t="s">
        <v>37</v>
      </c>
      <c r="C4" s="335"/>
      <c r="D4" s="335"/>
      <c r="E4" s="335"/>
      <c r="F4" s="335"/>
      <c r="G4" s="335"/>
      <c r="H4" s="335"/>
      <c r="I4" s="335"/>
      <c r="J4" s="335"/>
      <c r="K4" s="335"/>
      <c r="L4" s="335"/>
    </row>
    <row r="5" spans="1:15" ht="15" customHeight="1" x14ac:dyDescent="0.25">
      <c r="B5" s="371" t="s">
        <v>1512</v>
      </c>
      <c r="C5" s="372"/>
      <c r="D5" s="373"/>
      <c r="E5" s="328" t="str">
        <f>IF(M3AgencyName="","",M3AgencyName)</f>
        <v>Alabama Council on Human Relations, Inc.</v>
      </c>
      <c r="F5" s="366"/>
      <c r="G5" s="366"/>
      <c r="H5" s="366"/>
      <c r="I5" s="366"/>
      <c r="J5" s="367"/>
      <c r="K5" s="66"/>
      <c r="L5" s="66"/>
    </row>
    <row r="6" spans="1:15" ht="15" customHeight="1" x14ac:dyDescent="0.25">
      <c r="B6" s="371" t="s">
        <v>1138</v>
      </c>
      <c r="C6" s="372"/>
      <c r="D6" s="373"/>
      <c r="E6" s="368" t="str">
        <f>IF(M3StateName="","",M3StateName)</f>
        <v>Alabama</v>
      </c>
      <c r="F6" s="369"/>
      <c r="G6" s="369"/>
      <c r="H6" s="370"/>
      <c r="I6" s="117" t="s">
        <v>1606</v>
      </c>
      <c r="J6" s="118" t="str" cm="1">
        <f t="array" ref="J6">IF(M3UEI="","",M3UEI)</f>
        <v>183860386</v>
      </c>
    </row>
    <row r="7" spans="1:15" ht="4.5" customHeight="1" x14ac:dyDescent="0.25">
      <c r="J7" s="67"/>
      <c r="K7" s="67"/>
      <c r="L7" s="67"/>
    </row>
    <row r="8" spans="1:15" ht="6.75" customHeight="1" x14ac:dyDescent="0.25"/>
    <row r="9" spans="1:15" ht="72.75" customHeight="1" x14ac:dyDescent="0.25">
      <c r="B9" s="415" t="s">
        <v>29</v>
      </c>
      <c r="C9" s="414" t="s">
        <v>153</v>
      </c>
      <c r="D9" s="414"/>
      <c r="E9" s="414"/>
      <c r="F9" s="75" t="s">
        <v>96</v>
      </c>
      <c r="G9" s="72" t="s">
        <v>132</v>
      </c>
      <c r="H9" s="75" t="s">
        <v>128</v>
      </c>
      <c r="I9" s="75" t="s">
        <v>26</v>
      </c>
      <c r="J9" s="75" t="s">
        <v>133</v>
      </c>
      <c r="K9" s="75" t="s">
        <v>27</v>
      </c>
      <c r="L9" s="75" t="s">
        <v>28</v>
      </c>
    </row>
    <row r="10" spans="1:15" ht="53.25" customHeight="1" x14ac:dyDescent="0.25">
      <c r="A10" s="206"/>
      <c r="B10" s="385"/>
      <c r="C10" s="429" t="s">
        <v>2019</v>
      </c>
      <c r="D10" s="429"/>
      <c r="E10" s="429"/>
      <c r="F10" s="186"/>
      <c r="G10" s="185"/>
      <c r="H10" s="184"/>
      <c r="I10" s="156" t="str">
        <f>IFERROR(ROUND((H10-G10)/G10,2),"")</f>
        <v/>
      </c>
      <c r="J10" s="184"/>
      <c r="K10" s="156" t="str">
        <f>IFERROR(ROUND((J10-G10)/G10,2),"")</f>
        <v/>
      </c>
      <c r="L10" s="156" t="str">
        <f>IFERROR(ROUND((J10-G10)/(H10-G10),2),"")</f>
        <v/>
      </c>
      <c r="M10" s="206"/>
      <c r="N10" s="206"/>
      <c r="O10" s="206"/>
    </row>
    <row r="11" spans="1:15" ht="51" customHeight="1" x14ac:dyDescent="0.25">
      <c r="A11" s="206"/>
      <c r="B11" s="385"/>
      <c r="C11" s="429" t="s">
        <v>2020</v>
      </c>
      <c r="D11" s="429"/>
      <c r="E11" s="429"/>
      <c r="F11" s="186"/>
      <c r="G11" s="185"/>
      <c r="H11" s="184"/>
      <c r="I11" s="156" t="str">
        <f>IFERROR(ROUND((H11-G11)/G11,2),"")</f>
        <v/>
      </c>
      <c r="J11" s="184"/>
      <c r="K11" s="156" t="str">
        <f>IFERROR(ROUND((J11-G11)/G11,2),"")</f>
        <v/>
      </c>
      <c r="L11" s="156" t="str">
        <f>IFERROR(ROUND((J11-G11)/(H11-G11),2),"")</f>
        <v/>
      </c>
      <c r="M11" s="206"/>
      <c r="N11" s="206"/>
      <c r="O11" s="206"/>
    </row>
    <row r="12" spans="1:15" ht="65.25" customHeight="1" x14ac:dyDescent="0.25">
      <c r="A12" s="206"/>
      <c r="B12" s="385"/>
      <c r="C12" s="429" t="s">
        <v>2021</v>
      </c>
      <c r="D12" s="429"/>
      <c r="E12" s="429"/>
      <c r="F12" s="186"/>
      <c r="G12" s="185"/>
      <c r="H12" s="184"/>
      <c r="I12" s="156" t="str">
        <f>IFERROR(ROUND((H12-G12)/G12,2),"")</f>
        <v/>
      </c>
      <c r="J12" s="184"/>
      <c r="K12" s="156" t="str">
        <f>IFERROR(ROUND((J12-G12)/G12,2),"")</f>
        <v/>
      </c>
      <c r="L12" s="156" t="str">
        <f>IFERROR(ROUND((J12-G12)/(H12-G12),2),"")</f>
        <v/>
      </c>
      <c r="M12" s="206"/>
      <c r="N12" s="206"/>
      <c r="O12" s="206"/>
    </row>
    <row r="13" spans="1:15" ht="14.45" customHeight="1" x14ac:dyDescent="0.25"/>
    <row r="14" spans="1:15" ht="72.75" customHeight="1" x14ac:dyDescent="0.25">
      <c r="B14" s="351" t="s">
        <v>30</v>
      </c>
      <c r="C14" s="386" t="s">
        <v>156</v>
      </c>
      <c r="D14" s="386"/>
      <c r="E14" s="386"/>
      <c r="F14" s="75" t="s">
        <v>96</v>
      </c>
      <c r="G14" s="72" t="s">
        <v>132</v>
      </c>
      <c r="H14" s="75" t="s">
        <v>128</v>
      </c>
      <c r="I14" s="75" t="s">
        <v>26</v>
      </c>
      <c r="J14" s="75" t="s">
        <v>133</v>
      </c>
      <c r="K14" s="75" t="s">
        <v>27</v>
      </c>
      <c r="L14" s="75" t="s">
        <v>28</v>
      </c>
    </row>
    <row r="15" spans="1:15" ht="15" customHeight="1" x14ac:dyDescent="0.25">
      <c r="A15" s="206"/>
      <c r="B15" s="351"/>
      <c r="C15" s="348"/>
      <c r="D15" s="349"/>
      <c r="E15" s="349"/>
      <c r="F15" s="219"/>
      <c r="G15" s="225"/>
      <c r="H15" s="226"/>
      <c r="I15" s="205" t="str">
        <f>IFERROR(ROUND((H15-G15)/G15,2),"")</f>
        <v/>
      </c>
      <c r="J15" s="226"/>
      <c r="K15" s="205" t="str">
        <f>IFERROR(ROUND((J15-G15)/G15,2),"")</f>
        <v/>
      </c>
      <c r="L15" s="205" t="str">
        <f>IFERROR(ROUND((J15-G15)/(H15-G15),2),"")</f>
        <v/>
      </c>
      <c r="M15" s="206"/>
      <c r="N15" s="206"/>
      <c r="O15" s="206"/>
    </row>
    <row r="16" spans="1:15" ht="15" customHeight="1" x14ac:dyDescent="0.25">
      <c r="A16" s="206"/>
      <c r="B16" s="351"/>
      <c r="C16" s="348"/>
      <c r="D16" s="349"/>
      <c r="E16" s="349"/>
      <c r="F16" s="219"/>
      <c r="G16" s="225"/>
      <c r="H16" s="226"/>
      <c r="I16" s="205" t="str">
        <f>IFERROR(ROUND((H16-G16)/G16,2),"")</f>
        <v/>
      </c>
      <c r="J16" s="226"/>
      <c r="K16" s="205" t="str">
        <f>IFERROR(ROUND((J16-G16)/G16,2),"")</f>
        <v/>
      </c>
      <c r="L16" s="205" t="str">
        <f>IFERROR(ROUND((J16-G16)/(H16-G16),2),"")</f>
        <v/>
      </c>
      <c r="M16" s="206"/>
      <c r="N16" s="206"/>
      <c r="O16" s="206"/>
    </row>
    <row r="17" spans="1:15" ht="15" customHeight="1" x14ac:dyDescent="0.25">
      <c r="A17" s="206"/>
      <c r="B17" s="351"/>
      <c r="C17" s="348"/>
      <c r="D17" s="349"/>
      <c r="E17" s="349"/>
      <c r="F17" s="219"/>
      <c r="G17" s="225"/>
      <c r="H17" s="226"/>
      <c r="I17" s="205" t="str">
        <f>IFERROR(ROUND((H17-G17)/G17,2),"")</f>
        <v/>
      </c>
      <c r="J17" s="226"/>
      <c r="K17" s="205" t="str">
        <f>IFERROR(ROUND((J17-G17)/G17,2),"")</f>
        <v/>
      </c>
      <c r="L17" s="205" t="str">
        <f>IFERROR(ROUND((J17-G17)/(H17-G17),2),"")</f>
        <v/>
      </c>
      <c r="M17" s="206"/>
      <c r="N17" s="206"/>
      <c r="O17" s="206"/>
    </row>
    <row r="18" spans="1:15" ht="14.45" customHeight="1" x14ac:dyDescent="0.25"/>
    <row r="19" spans="1:15" ht="65.25" customHeight="1" x14ac:dyDescent="0.25">
      <c r="B19" s="351" t="s">
        <v>21</v>
      </c>
      <c r="C19" s="435" t="s">
        <v>1565</v>
      </c>
      <c r="D19" s="436"/>
      <c r="E19" s="436"/>
      <c r="F19" s="294"/>
      <c r="G19" s="294"/>
      <c r="H19" s="437"/>
      <c r="I19" s="129" t="s">
        <v>32</v>
      </c>
      <c r="J19" s="129" t="s">
        <v>23</v>
      </c>
      <c r="K19" s="129" t="s">
        <v>24</v>
      </c>
      <c r="L19" s="129" t="s">
        <v>25</v>
      </c>
      <c r="M19" s="146"/>
    </row>
    <row r="20" spans="1:15" ht="14.45" customHeight="1" x14ac:dyDescent="0.25">
      <c r="B20" s="351"/>
      <c r="C20" s="438"/>
      <c r="D20" s="439"/>
      <c r="E20" s="439"/>
      <c r="F20" s="440"/>
      <c r="G20" s="440"/>
      <c r="H20" s="441"/>
      <c r="I20" s="230"/>
      <c r="J20" s="231"/>
      <c r="K20" s="232"/>
      <c r="L20" s="233" t="str">
        <f>IFERROR(ROUND(K20/J20,2),"")</f>
        <v/>
      </c>
      <c r="M20" s="146"/>
    </row>
    <row r="21" spans="1:15" ht="14.45" customHeight="1" x14ac:dyDescent="0.25">
      <c r="B21" s="351"/>
      <c r="C21" s="438"/>
      <c r="D21" s="439"/>
      <c r="E21" s="439"/>
      <c r="F21" s="440"/>
      <c r="G21" s="440"/>
      <c r="H21" s="441"/>
      <c r="I21" s="230"/>
      <c r="J21" s="231"/>
      <c r="K21" s="232"/>
      <c r="L21" s="233" t="str">
        <f>IFERROR(ROUND(K21/J21,2),"")</f>
        <v/>
      </c>
      <c r="M21" s="146"/>
    </row>
    <row r="22" spans="1:15" ht="14.45" customHeight="1" x14ac:dyDescent="0.25">
      <c r="B22" s="351"/>
      <c r="C22" s="438"/>
      <c r="D22" s="439"/>
      <c r="E22" s="439"/>
      <c r="F22" s="440"/>
      <c r="G22" s="440"/>
      <c r="H22" s="441"/>
      <c r="I22" s="230"/>
      <c r="J22" s="231"/>
      <c r="K22" s="232"/>
      <c r="L22" s="233" t="str">
        <f>IFERROR(ROUND(K22/J22,2),"")</f>
        <v/>
      </c>
      <c r="M22" s="146"/>
    </row>
    <row r="23" spans="1:15" ht="18" customHeight="1" x14ac:dyDescent="0.25">
      <c r="B23" s="76" t="s">
        <v>107</v>
      </c>
      <c r="C23" s="76"/>
      <c r="D23" s="76"/>
      <c r="M23" s="146"/>
    </row>
    <row r="24" spans="1:15" ht="72" customHeight="1" x14ac:dyDescent="0.25">
      <c r="B24" s="387"/>
      <c r="C24" s="388"/>
      <c r="D24" s="388"/>
      <c r="E24" s="388"/>
      <c r="F24" s="388"/>
      <c r="G24" s="388"/>
      <c r="H24" s="388"/>
      <c r="I24" s="388"/>
      <c r="J24" s="388"/>
      <c r="K24" s="388"/>
      <c r="L24" s="389"/>
    </row>
    <row r="25" spans="1:15" ht="15" customHeight="1" x14ac:dyDescent="0.25"/>
  </sheetData>
  <sheetProtection algorithmName="SHA-512" hashValue="JNc6MPuJK2iCKbCpTfwy5flnFuo/nsodlHs1vpOeC8eqPD084/JcMHKg27LP4f8q+QgB6RwitBU5IsG8tHYRAg==" saltValue="YOIk8Ks2v75VKMQScp2oKw==" spinCount="100000" sheet="1" objects="1" scenarios="1" formatCells="0" selectLockedCells="1"/>
  <mergeCells count="23">
    <mergeCell ref="B2:L2"/>
    <mergeCell ref="B3:L3"/>
    <mergeCell ref="B4:L4"/>
    <mergeCell ref="B9:B12"/>
    <mergeCell ref="C9:E9"/>
    <mergeCell ref="C10:E10"/>
    <mergeCell ref="C11:E11"/>
    <mergeCell ref="C12:E12"/>
    <mergeCell ref="B5:D5"/>
    <mergeCell ref="B6:D6"/>
    <mergeCell ref="E5:J5"/>
    <mergeCell ref="E6:H6"/>
    <mergeCell ref="B24:L24"/>
    <mergeCell ref="C16:E16"/>
    <mergeCell ref="B14:B17"/>
    <mergeCell ref="C14:E14"/>
    <mergeCell ref="C17:E17"/>
    <mergeCell ref="C15:E15"/>
    <mergeCell ref="B19:B22"/>
    <mergeCell ref="C19:H19"/>
    <mergeCell ref="C20:H20"/>
    <mergeCell ref="C21:H21"/>
    <mergeCell ref="C22:H22"/>
  </mergeCells>
  <dataValidations count="3">
    <dataValidation type="textLength" operator="lessThanOrEqual" allowBlank="1" showInputMessage="1" showErrorMessage="1" error="Entry exceeds maximum length (5000)." sqref="B24:L24" xr:uid="{00000000-0002-0000-0900-000001000000}">
      <formula1>5000</formula1>
    </dataValidation>
    <dataValidation type="whole" allowBlank="1" showInputMessage="1" showErrorMessage="1" error="Please enter a number between 0 and 99999999." sqref="J20:K22" xr:uid="{5767A9A0-4633-4600-A7A8-D813A9DA3391}">
      <formula1>0</formula1>
      <formula2>99999999</formula2>
    </dataValidation>
    <dataValidation type="decimal" allowBlank="1" showInputMessage="1" showErrorMessage="1" error="Please enter a number between 0.0 and 100.0." sqref="J15:J17 J10:J12 G10:H12 G15:H17" xr:uid="{F95B0A65-E52D-439E-A01E-D2C5FFDE8A75}">
      <formula1>0</formula1>
      <formula2>100</formula2>
    </dataValidation>
  </dataValidations>
  <pageMargins left="0.7" right="0.7" top="0.75" bottom="0.75" header="0.3" footer="0.3"/>
  <pageSetup scale="75" fitToHeight="0" orientation="landscape" r:id="rId1"/>
  <headerFooter>
    <oddFooter>&amp;LAugust 2017&amp;C
Module 3, Section B: Goal 2 Community NPIs - Civic Engagement &amp; Community Involvement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Goal_3_Civic_Engagement">
    <tabColor rgb="FF7030A0"/>
    <pageSetUpPr fitToPage="1"/>
  </sheetPr>
  <dimension ref="A1:O24"/>
  <sheetViews>
    <sheetView showGridLines="0" zoomScaleNormal="100" zoomScalePageLayoutView="90" workbookViewId="0"/>
  </sheetViews>
  <sheetFormatPr defaultColWidth="0" defaultRowHeight="15" customHeight="1" zeroHeight="1" x14ac:dyDescent="0.25"/>
  <cols>
    <col min="1" max="1" width="2.28515625" customWidth="1"/>
    <col min="2" max="3" width="8.85546875" customWidth="1"/>
    <col min="4" max="4" width="11.85546875" customWidth="1"/>
    <col min="5" max="5" width="32.7109375" customWidth="1"/>
    <col min="6" max="6" width="14" customWidth="1"/>
    <col min="7" max="8" width="12.85546875" customWidth="1"/>
    <col min="9" max="10" width="14.28515625" customWidth="1"/>
    <col min="11" max="11" width="11.7109375" customWidth="1"/>
    <col min="12" max="12" width="15" customWidth="1"/>
    <col min="13" max="13" width="3.28515625" customWidth="1"/>
    <col min="14" max="15" width="0" hidden="1" customWidth="1"/>
    <col min="16" max="16384" width="8.85546875" hidden="1"/>
  </cols>
  <sheetData>
    <row r="1" spans="1:15" ht="9" customHeight="1" x14ac:dyDescent="0.25">
      <c r="A1" s="4"/>
    </row>
    <row r="2" spans="1:15" ht="17.649999999999999" customHeight="1" x14ac:dyDescent="0.25">
      <c r="B2" s="334" t="s">
        <v>1516</v>
      </c>
      <c r="C2" s="334"/>
      <c r="D2" s="334"/>
      <c r="E2" s="334"/>
      <c r="F2" s="334"/>
      <c r="G2" s="334"/>
      <c r="H2" s="334"/>
      <c r="I2" s="334"/>
      <c r="J2" s="334"/>
      <c r="K2" s="334"/>
      <c r="L2" s="334"/>
    </row>
    <row r="3" spans="1:15" ht="17.649999999999999" customHeight="1" x14ac:dyDescent="0.25">
      <c r="B3" s="334" t="s">
        <v>113</v>
      </c>
      <c r="C3" s="334"/>
      <c r="D3" s="334"/>
      <c r="E3" s="334"/>
      <c r="F3" s="334"/>
      <c r="G3" s="334"/>
      <c r="H3" s="334"/>
      <c r="I3" s="334"/>
      <c r="J3" s="334"/>
      <c r="K3" s="334"/>
      <c r="L3" s="334"/>
    </row>
    <row r="4" spans="1:15" ht="24" customHeight="1" x14ac:dyDescent="0.25">
      <c r="B4" s="335" t="s">
        <v>37</v>
      </c>
      <c r="C4" s="335"/>
      <c r="D4" s="335"/>
      <c r="E4" s="335"/>
      <c r="F4" s="335"/>
      <c r="G4" s="335"/>
      <c r="H4" s="335"/>
      <c r="I4" s="335"/>
      <c r="J4" s="335"/>
      <c r="K4" s="335"/>
      <c r="L4" s="335"/>
    </row>
    <row r="5" spans="1:15" ht="15" customHeight="1" x14ac:dyDescent="0.25">
      <c r="B5" s="371" t="s">
        <v>1512</v>
      </c>
      <c r="C5" s="372"/>
      <c r="D5" s="373"/>
      <c r="E5" s="328" t="str">
        <f>IF(M3AgencyName="","",M3AgencyName)</f>
        <v>Alabama Council on Human Relations, Inc.</v>
      </c>
      <c r="F5" s="366"/>
      <c r="G5" s="366"/>
      <c r="H5" s="366"/>
      <c r="I5" s="366"/>
      <c r="J5" s="367"/>
      <c r="K5" s="66"/>
      <c r="L5" s="66"/>
    </row>
    <row r="6" spans="1:15" ht="15" customHeight="1" x14ac:dyDescent="0.25">
      <c r="B6" s="371" t="s">
        <v>1138</v>
      </c>
      <c r="C6" s="372"/>
      <c r="D6" s="373"/>
      <c r="E6" s="368" t="str">
        <f>IF(M3StateName="","",M3StateName)</f>
        <v>Alabama</v>
      </c>
      <c r="F6" s="369"/>
      <c r="G6" s="369"/>
      <c r="H6" s="370"/>
      <c r="I6" s="117" t="s">
        <v>1606</v>
      </c>
      <c r="J6" s="118" t="str" cm="1">
        <f t="array" ref="J6">IF(M3UEI="","",M3UEI)</f>
        <v>183860386</v>
      </c>
    </row>
    <row r="7" spans="1:15" ht="4.5" customHeight="1" x14ac:dyDescent="0.25">
      <c r="J7" s="111"/>
      <c r="K7" s="67"/>
      <c r="L7" s="67"/>
    </row>
    <row r="8" spans="1:15" ht="6.75" customHeight="1" x14ac:dyDescent="0.25">
      <c r="F8" s="112"/>
      <c r="G8" s="112"/>
      <c r="H8" s="112"/>
      <c r="I8" s="112"/>
      <c r="J8" s="112"/>
    </row>
    <row r="9" spans="1:15" ht="84.75" customHeight="1" x14ac:dyDescent="0.25">
      <c r="B9" s="415" t="s">
        <v>29</v>
      </c>
      <c r="C9" s="414" t="s">
        <v>154</v>
      </c>
      <c r="D9" s="414"/>
      <c r="E9" s="414"/>
      <c r="F9" s="75" t="s">
        <v>96</v>
      </c>
      <c r="G9" s="72" t="s">
        <v>132</v>
      </c>
      <c r="H9" s="75" t="s">
        <v>128</v>
      </c>
      <c r="I9" s="75" t="s">
        <v>26</v>
      </c>
      <c r="J9" s="75" t="s">
        <v>133</v>
      </c>
      <c r="K9" s="75" t="s">
        <v>27</v>
      </c>
      <c r="L9" s="75" t="s">
        <v>28</v>
      </c>
    </row>
    <row r="10" spans="1:15" ht="50.25" customHeight="1" x14ac:dyDescent="0.25">
      <c r="A10" s="206"/>
      <c r="B10" s="385"/>
      <c r="C10" s="429" t="s">
        <v>2022</v>
      </c>
      <c r="D10" s="429"/>
      <c r="E10" s="429"/>
      <c r="F10" s="186"/>
      <c r="G10" s="185"/>
      <c r="H10" s="184"/>
      <c r="I10" s="156" t="str">
        <f>IFERROR(ROUND((H10-G10)/G10,2),"")</f>
        <v/>
      </c>
      <c r="J10" s="184"/>
      <c r="K10" s="156" t="str">
        <f>IFERROR(ROUND((J10-G10)/G10,2),"")</f>
        <v/>
      </c>
      <c r="L10" s="156" t="str">
        <f>IFERROR(ROUND((J10-G10)/(H10-G10),2),"")</f>
        <v/>
      </c>
      <c r="M10" s="206"/>
      <c r="N10" s="206"/>
      <c r="O10" s="206"/>
    </row>
    <row r="11" spans="1:15" ht="42.75" customHeight="1" x14ac:dyDescent="0.25">
      <c r="A11" s="206"/>
      <c r="B11" s="385"/>
      <c r="C11" s="429" t="s">
        <v>2023</v>
      </c>
      <c r="D11" s="429"/>
      <c r="E11" s="429"/>
      <c r="F11" s="186"/>
      <c r="G11" s="185"/>
      <c r="H11" s="184"/>
      <c r="I11" s="156" t="str">
        <f>IFERROR(ROUND((H11-G11)/G11,2),"")</f>
        <v/>
      </c>
      <c r="J11" s="184"/>
      <c r="K11" s="156" t="str">
        <f>IFERROR(ROUND((J11-G11)/G11,2),"")</f>
        <v/>
      </c>
      <c r="L11" s="156" t="str">
        <f>IFERROR(ROUND((J11-G11)/(H11-G11),2),"")</f>
        <v/>
      </c>
      <c r="M11" s="206"/>
      <c r="N11" s="206"/>
      <c r="O11" s="206"/>
    </row>
    <row r="12" spans="1:15" ht="14.45" customHeight="1" x14ac:dyDescent="0.25"/>
    <row r="13" spans="1:15" ht="72.75" customHeight="1" x14ac:dyDescent="0.25">
      <c r="B13" s="351" t="s">
        <v>30</v>
      </c>
      <c r="C13" s="414" t="s">
        <v>155</v>
      </c>
      <c r="D13" s="414"/>
      <c r="E13" s="414"/>
      <c r="F13" s="75" t="s">
        <v>96</v>
      </c>
      <c r="G13" s="72" t="s">
        <v>132</v>
      </c>
      <c r="H13" s="75" t="s">
        <v>128</v>
      </c>
      <c r="I13" s="75" t="s">
        <v>26</v>
      </c>
      <c r="J13" s="75" t="s">
        <v>133</v>
      </c>
      <c r="K13" s="75" t="s">
        <v>27</v>
      </c>
      <c r="L13" s="75" t="s">
        <v>28</v>
      </c>
    </row>
    <row r="14" spans="1:15" ht="15" customHeight="1" x14ac:dyDescent="0.25">
      <c r="A14" s="206"/>
      <c r="B14" s="351"/>
      <c r="C14" s="348"/>
      <c r="D14" s="349"/>
      <c r="E14" s="349"/>
      <c r="F14" s="219"/>
      <c r="G14" s="225"/>
      <c r="H14" s="226"/>
      <c r="I14" s="205" t="str">
        <f>IFERROR(ROUND((H14-G14)/G14,2),"")</f>
        <v/>
      </c>
      <c r="J14" s="226"/>
      <c r="K14" s="205" t="str">
        <f>IFERROR(ROUND((J14-G14)/G14,2),"")</f>
        <v/>
      </c>
      <c r="L14" s="205" t="str">
        <f>IFERROR(ROUND((J14-G14)/(H14-G14),2),"")</f>
        <v/>
      </c>
      <c r="M14" s="206"/>
      <c r="N14" s="206"/>
      <c r="O14" s="206"/>
    </row>
    <row r="15" spans="1:15" ht="15" customHeight="1" x14ac:dyDescent="0.25">
      <c r="A15" s="206"/>
      <c r="B15" s="351"/>
      <c r="C15" s="348"/>
      <c r="D15" s="349"/>
      <c r="E15" s="349"/>
      <c r="F15" s="219"/>
      <c r="G15" s="225"/>
      <c r="H15" s="226"/>
      <c r="I15" s="205" t="str">
        <f>IFERROR(ROUND((#REF!-G15)/G15,2),"")</f>
        <v/>
      </c>
      <c r="J15" s="226"/>
      <c r="K15" s="205" t="str">
        <f>IFERROR(ROUND((J15-G15)/G15,2),"")</f>
        <v/>
      </c>
      <c r="L15" s="205" t="str">
        <f>IFERROR(ROUND((J15-G15)/(#REF!-G15),2),"")</f>
        <v/>
      </c>
      <c r="M15" s="206"/>
      <c r="N15" s="206"/>
      <c r="O15" s="206"/>
    </row>
    <row r="16" spans="1:15" ht="15" customHeight="1" x14ac:dyDescent="0.25">
      <c r="A16" s="206"/>
      <c r="B16" s="351"/>
      <c r="C16" s="348"/>
      <c r="D16" s="349"/>
      <c r="E16" s="349"/>
      <c r="F16" s="219"/>
      <c r="G16" s="225"/>
      <c r="H16" s="226"/>
      <c r="I16" s="205" t="str">
        <f>IFERROR(ROUND((H15-G16)/G16,2),"")</f>
        <v/>
      </c>
      <c r="J16" s="226"/>
      <c r="K16" s="205" t="str">
        <f>IFERROR(ROUND((J16-G16)/G16,2),"")</f>
        <v/>
      </c>
      <c r="L16" s="205" t="str">
        <f>IFERROR(ROUND((J16-G16)/(H15-G16),2),"")</f>
        <v/>
      </c>
      <c r="M16" s="206"/>
      <c r="N16" s="206"/>
      <c r="O16" s="206"/>
    </row>
    <row r="17" spans="2:13" ht="14.45" customHeight="1" x14ac:dyDescent="0.25"/>
    <row r="18" spans="2:13" ht="63" customHeight="1" x14ac:dyDescent="0.25">
      <c r="B18" s="362" t="s">
        <v>21</v>
      </c>
      <c r="C18" s="442" t="s">
        <v>1566</v>
      </c>
      <c r="D18" s="443"/>
      <c r="E18" s="443"/>
      <c r="F18" s="444"/>
      <c r="G18" s="444"/>
      <c r="H18" s="445"/>
      <c r="I18" s="129" t="s">
        <v>32</v>
      </c>
      <c r="J18" s="129" t="s">
        <v>23</v>
      </c>
      <c r="K18" s="129" t="s">
        <v>24</v>
      </c>
      <c r="L18" s="129" t="s">
        <v>25</v>
      </c>
      <c r="M18" s="146"/>
    </row>
    <row r="19" spans="2:13" ht="14.45" customHeight="1" x14ac:dyDescent="0.25">
      <c r="B19" s="420"/>
      <c r="C19" s="438"/>
      <c r="D19" s="439"/>
      <c r="E19" s="439"/>
      <c r="F19" s="440"/>
      <c r="G19" s="440"/>
      <c r="H19" s="441"/>
      <c r="I19" s="230"/>
      <c r="J19" s="231"/>
      <c r="K19" s="232"/>
      <c r="L19" s="233" t="str">
        <f>IFERROR(ROUND(K19/J19,2),"")</f>
        <v/>
      </c>
      <c r="M19" s="146"/>
    </row>
    <row r="20" spans="2:13" ht="14.45" customHeight="1" x14ac:dyDescent="0.25">
      <c r="B20" s="420"/>
      <c r="C20" s="438"/>
      <c r="D20" s="439"/>
      <c r="E20" s="439"/>
      <c r="F20" s="440"/>
      <c r="G20" s="440"/>
      <c r="H20" s="441"/>
      <c r="I20" s="230"/>
      <c r="J20" s="231"/>
      <c r="K20" s="232"/>
      <c r="L20" s="233" t="str">
        <f>IFERROR(ROUND(K20/J20,2),"")</f>
        <v/>
      </c>
      <c r="M20" s="146"/>
    </row>
    <row r="21" spans="2:13" ht="14.45" customHeight="1" x14ac:dyDescent="0.25">
      <c r="B21" s="434"/>
      <c r="C21" s="438"/>
      <c r="D21" s="439"/>
      <c r="E21" s="439"/>
      <c r="F21" s="440"/>
      <c r="G21" s="440"/>
      <c r="H21" s="441"/>
      <c r="I21" s="230"/>
      <c r="J21" s="231"/>
      <c r="K21" s="232"/>
      <c r="L21" s="233" t="str">
        <f>IFERROR(ROUND(K21/J21,2),"")</f>
        <v/>
      </c>
      <c r="M21" s="146"/>
    </row>
    <row r="22" spans="2:13" ht="18" customHeight="1" x14ac:dyDescent="0.25">
      <c r="B22" s="76" t="s">
        <v>107</v>
      </c>
      <c r="C22" s="76"/>
      <c r="D22" s="76"/>
      <c r="M22" s="146"/>
    </row>
    <row r="23" spans="2:13" ht="72" customHeight="1" x14ac:dyDescent="0.25">
      <c r="B23" s="387"/>
      <c r="C23" s="388"/>
      <c r="D23" s="388"/>
      <c r="E23" s="388"/>
      <c r="F23" s="388"/>
      <c r="G23" s="388"/>
      <c r="H23" s="388"/>
      <c r="I23" s="388"/>
      <c r="J23" s="388"/>
      <c r="K23" s="388"/>
      <c r="L23" s="389"/>
    </row>
    <row r="24" spans="2:13" ht="15" customHeight="1" x14ac:dyDescent="0.25"/>
  </sheetData>
  <sheetProtection algorithmName="SHA-512" hashValue="eeDoS4/ytTvXe1WTsYGD4cwP/PTSR/ZqLBwCakJvhAdpJ9xKvqGrhkeeWy7OzFVEzNSNyb9NH5Eq1LoiWfql6w==" saltValue="I/m836agkpmQ8npFAmtXaQ==" spinCount="100000" sheet="1" objects="1" scenarios="1" formatCells="0" selectLockedCells="1"/>
  <mergeCells count="22">
    <mergeCell ref="B23:L23"/>
    <mergeCell ref="C15:E15"/>
    <mergeCell ref="B13:B16"/>
    <mergeCell ref="C13:E13"/>
    <mergeCell ref="C14:E14"/>
    <mergeCell ref="C16:E16"/>
    <mergeCell ref="B18:B21"/>
    <mergeCell ref="C18:H18"/>
    <mergeCell ref="C19:H19"/>
    <mergeCell ref="C20:H20"/>
    <mergeCell ref="C21:H21"/>
    <mergeCell ref="B2:L2"/>
    <mergeCell ref="B3:L3"/>
    <mergeCell ref="B4:L4"/>
    <mergeCell ref="B9:B11"/>
    <mergeCell ref="C9:E9"/>
    <mergeCell ref="C10:E10"/>
    <mergeCell ref="C11:E11"/>
    <mergeCell ref="B5:D5"/>
    <mergeCell ref="B6:D6"/>
    <mergeCell ref="E5:J5"/>
    <mergeCell ref="E6:H6"/>
  </mergeCells>
  <dataValidations count="3">
    <dataValidation type="textLength" operator="lessThanOrEqual" allowBlank="1" showInputMessage="1" showErrorMessage="1" error="Entry exceeds maximum length (5000)." sqref="B23:L23" xr:uid="{00000000-0002-0000-0A00-000001000000}">
      <formula1>5000</formula1>
    </dataValidation>
    <dataValidation type="whole" allowBlank="1" showInputMessage="1" showErrorMessage="1" error="Please enter a number between 0 and 99999999." sqref="J19:K21" xr:uid="{D10199E3-A672-49DC-AA49-72728CC210E7}">
      <formula1>0</formula1>
      <formula2>99999999</formula2>
    </dataValidation>
    <dataValidation type="decimal" allowBlank="1" showInputMessage="1" showErrorMessage="1" error="Please enter a number between 0.0 and 100.0." sqref="J14:J16 J10:J11 G14:H16 G10:H11" xr:uid="{2319BF52-F69B-43FD-8413-88228C81A355}">
      <formula1>0</formula1>
      <formula2>100</formula2>
    </dataValidation>
  </dataValidations>
  <pageMargins left="0.7" right="0.7" top="0.75" bottom="0.75" header="0.3" footer="0.3"/>
  <pageSetup scale="75" fitToHeight="0" orientation="landscape" r:id="rId1"/>
  <headerFooter>
    <oddFooter>&amp;LAugust 2017&amp;C
Module 3, Section B: Goal 3 Community NPIs - Civic Engagement &amp; Community Involvement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11AF4-C5A3-44A0-BA3E-1869BBE538AE}">
  <sheetPr codeName="SectionB_CNPIs_List"/>
  <dimension ref="A2:B156"/>
  <sheetViews>
    <sheetView showGridLines="0" zoomScale="110" zoomScaleNormal="110" zoomScalePageLayoutView="140" workbookViewId="0"/>
  </sheetViews>
  <sheetFormatPr defaultColWidth="8.7109375" defaultRowHeight="15" x14ac:dyDescent="0.25"/>
  <cols>
    <col min="1" max="1" width="12.42578125" customWidth="1"/>
    <col min="2" max="2" width="111.85546875" style="3" customWidth="1"/>
  </cols>
  <sheetData>
    <row r="2" spans="1:2" ht="18" x14ac:dyDescent="0.25">
      <c r="B2" s="189" t="s">
        <v>1708</v>
      </c>
    </row>
    <row r="3" spans="1:2" ht="21" x14ac:dyDescent="0.35">
      <c r="B3" s="190"/>
    </row>
    <row r="4" spans="1:2" x14ac:dyDescent="0.25">
      <c r="A4" s="191"/>
      <c r="B4" s="192" t="s">
        <v>1709</v>
      </c>
    </row>
    <row r="5" spans="1:2" x14ac:dyDescent="0.25">
      <c r="A5" s="193" t="s">
        <v>1710</v>
      </c>
      <c r="B5" s="194" t="s">
        <v>1711</v>
      </c>
    </row>
    <row r="6" spans="1:2" x14ac:dyDescent="0.25">
      <c r="A6" s="195" t="s">
        <v>1712</v>
      </c>
      <c r="B6" s="196" t="s">
        <v>1713</v>
      </c>
    </row>
    <row r="7" spans="1:2" x14ac:dyDescent="0.25">
      <c r="A7" s="195" t="s">
        <v>1714</v>
      </c>
      <c r="B7" s="197" t="s">
        <v>1715</v>
      </c>
    </row>
    <row r="8" spans="1:2" x14ac:dyDescent="0.25">
      <c r="A8" s="195" t="s">
        <v>1716</v>
      </c>
      <c r="B8" s="197" t="s">
        <v>1717</v>
      </c>
    </row>
    <row r="9" spans="1:2" x14ac:dyDescent="0.25">
      <c r="A9" s="195" t="s">
        <v>1718</v>
      </c>
      <c r="B9" s="197" t="s">
        <v>1719</v>
      </c>
    </row>
    <row r="10" spans="1:2" x14ac:dyDescent="0.25">
      <c r="A10" s="195" t="s">
        <v>1720</v>
      </c>
      <c r="B10" s="197" t="s">
        <v>1721</v>
      </c>
    </row>
    <row r="11" spans="1:2" x14ac:dyDescent="0.25">
      <c r="A11" s="193" t="s">
        <v>1722</v>
      </c>
      <c r="B11" s="198" t="s">
        <v>1723</v>
      </c>
    </row>
    <row r="12" spans="1:2" x14ac:dyDescent="0.25">
      <c r="A12" s="195" t="s">
        <v>1724</v>
      </c>
      <c r="B12" s="197" t="s">
        <v>8</v>
      </c>
    </row>
    <row r="13" spans="1:2" x14ac:dyDescent="0.25">
      <c r="A13" s="195" t="s">
        <v>1725</v>
      </c>
      <c r="B13" s="197" t="s">
        <v>8</v>
      </c>
    </row>
    <row r="14" spans="1:2" x14ac:dyDescent="0.25">
      <c r="A14" s="195" t="s">
        <v>1726</v>
      </c>
      <c r="B14" s="197" t="s">
        <v>8</v>
      </c>
    </row>
    <row r="15" spans="1:2" x14ac:dyDescent="0.25">
      <c r="A15" s="193" t="s">
        <v>1710</v>
      </c>
      <c r="B15" s="199" t="s">
        <v>1727</v>
      </c>
    </row>
    <row r="16" spans="1:2" x14ac:dyDescent="0.25">
      <c r="A16" s="195" t="s">
        <v>1728</v>
      </c>
      <c r="B16" s="197" t="s">
        <v>1729</v>
      </c>
    </row>
    <row r="17" spans="1:2" x14ac:dyDescent="0.25">
      <c r="A17" s="195" t="s">
        <v>1730</v>
      </c>
      <c r="B17" s="197" t="s">
        <v>1731</v>
      </c>
    </row>
    <row r="18" spans="1:2" x14ac:dyDescent="0.25">
      <c r="A18" s="195" t="s">
        <v>1732</v>
      </c>
      <c r="B18" s="197" t="s">
        <v>1733</v>
      </c>
    </row>
    <row r="19" spans="1:2" x14ac:dyDescent="0.25">
      <c r="A19" s="193" t="s">
        <v>1722</v>
      </c>
      <c r="B19" s="199" t="s">
        <v>1734</v>
      </c>
    </row>
    <row r="20" spans="1:2" x14ac:dyDescent="0.25">
      <c r="A20" s="195" t="s">
        <v>1735</v>
      </c>
      <c r="B20" s="197" t="s">
        <v>8</v>
      </c>
    </row>
    <row r="21" spans="1:2" x14ac:dyDescent="0.25">
      <c r="A21" s="195" t="s">
        <v>1736</v>
      </c>
      <c r="B21" s="197" t="s">
        <v>8</v>
      </c>
    </row>
    <row r="22" spans="1:2" x14ac:dyDescent="0.25">
      <c r="A22" s="195" t="s">
        <v>1737</v>
      </c>
      <c r="B22" s="197" t="s">
        <v>8</v>
      </c>
    </row>
    <row r="23" spans="1:2" x14ac:dyDescent="0.25">
      <c r="A23" s="188"/>
      <c r="B23" s="200"/>
    </row>
    <row r="24" spans="1:2" x14ac:dyDescent="0.25">
      <c r="A24" s="191"/>
      <c r="B24" s="192" t="s">
        <v>1738</v>
      </c>
    </row>
    <row r="25" spans="1:2" x14ac:dyDescent="0.25">
      <c r="A25" s="193" t="s">
        <v>1739</v>
      </c>
      <c r="B25" s="199" t="s">
        <v>1740</v>
      </c>
    </row>
    <row r="26" spans="1:2" ht="30" x14ac:dyDescent="0.25">
      <c r="A26" s="195" t="s">
        <v>1741</v>
      </c>
      <c r="B26" s="197" t="s">
        <v>1742</v>
      </c>
    </row>
    <row r="27" spans="1:2" x14ac:dyDescent="0.25">
      <c r="A27" s="195" t="s">
        <v>1743</v>
      </c>
      <c r="B27" s="197" t="s">
        <v>1744</v>
      </c>
    </row>
    <row r="28" spans="1:2" ht="30" x14ac:dyDescent="0.25">
      <c r="A28" s="195" t="s">
        <v>1745</v>
      </c>
      <c r="B28" s="197" t="s">
        <v>1746</v>
      </c>
    </row>
    <row r="29" spans="1:2" ht="30" x14ac:dyDescent="0.25">
      <c r="A29" s="195" t="s">
        <v>1747</v>
      </c>
      <c r="B29" s="197" t="s">
        <v>1748</v>
      </c>
    </row>
    <row r="30" spans="1:2" ht="30" x14ac:dyDescent="0.25">
      <c r="A30" s="195" t="s">
        <v>1749</v>
      </c>
      <c r="B30" s="197" t="s">
        <v>1750</v>
      </c>
    </row>
    <row r="31" spans="1:2" ht="30" x14ac:dyDescent="0.25">
      <c r="A31" s="195" t="s">
        <v>1751</v>
      </c>
      <c r="B31" s="197" t="s">
        <v>1752</v>
      </c>
    </row>
    <row r="32" spans="1:2" x14ac:dyDescent="0.25">
      <c r="A32" s="193" t="s">
        <v>1753</v>
      </c>
      <c r="B32" s="199" t="s">
        <v>1754</v>
      </c>
    </row>
    <row r="33" spans="1:2" x14ac:dyDescent="0.25">
      <c r="A33" s="195" t="s">
        <v>1755</v>
      </c>
      <c r="B33" s="197" t="s">
        <v>8</v>
      </c>
    </row>
    <row r="34" spans="1:2" x14ac:dyDescent="0.25">
      <c r="A34" s="195" t="s">
        <v>1756</v>
      </c>
      <c r="B34" s="197" t="s">
        <v>8</v>
      </c>
    </row>
    <row r="35" spans="1:2" x14ac:dyDescent="0.25">
      <c r="A35" s="195" t="s">
        <v>1757</v>
      </c>
      <c r="B35" s="197" t="s">
        <v>8</v>
      </c>
    </row>
    <row r="36" spans="1:2" x14ac:dyDescent="0.25">
      <c r="A36" s="193" t="s">
        <v>1739</v>
      </c>
      <c r="B36" s="199" t="s">
        <v>1758</v>
      </c>
    </row>
    <row r="37" spans="1:2" x14ac:dyDescent="0.25">
      <c r="A37" s="195" t="s">
        <v>1759</v>
      </c>
      <c r="B37" s="197" t="s">
        <v>1760</v>
      </c>
    </row>
    <row r="38" spans="1:2" x14ac:dyDescent="0.25">
      <c r="A38" s="195" t="s">
        <v>1761</v>
      </c>
      <c r="B38" s="197" t="s">
        <v>1762</v>
      </c>
    </row>
    <row r="39" spans="1:2" x14ac:dyDescent="0.25">
      <c r="A39" s="195" t="s">
        <v>1763</v>
      </c>
      <c r="B39" s="197" t="s">
        <v>1764</v>
      </c>
    </row>
    <row r="40" spans="1:2" x14ac:dyDescent="0.25">
      <c r="A40" s="195" t="s">
        <v>1765</v>
      </c>
      <c r="B40" s="196" t="s">
        <v>1766</v>
      </c>
    </row>
    <row r="41" spans="1:2" x14ac:dyDescent="0.25">
      <c r="A41" s="195" t="s">
        <v>1767</v>
      </c>
      <c r="B41" s="196" t="s">
        <v>1768</v>
      </c>
    </row>
    <row r="42" spans="1:2" x14ac:dyDescent="0.25">
      <c r="A42" s="195" t="s">
        <v>1769</v>
      </c>
      <c r="B42" s="197" t="s">
        <v>1770</v>
      </c>
    </row>
    <row r="43" spans="1:2" x14ac:dyDescent="0.25">
      <c r="A43" s="195" t="s">
        <v>1771</v>
      </c>
      <c r="B43" s="197" t="s">
        <v>1772</v>
      </c>
    </row>
    <row r="44" spans="1:2" x14ac:dyDescent="0.25">
      <c r="A44" s="195" t="s">
        <v>1773</v>
      </c>
      <c r="B44" s="197" t="s">
        <v>1774</v>
      </c>
    </row>
    <row r="45" spans="1:2" x14ac:dyDescent="0.25">
      <c r="A45" s="195" t="s">
        <v>1775</v>
      </c>
      <c r="B45" s="197" t="s">
        <v>1776</v>
      </c>
    </row>
    <row r="46" spans="1:2" x14ac:dyDescent="0.25">
      <c r="A46" s="193" t="s">
        <v>1753</v>
      </c>
      <c r="B46" s="199" t="s">
        <v>1777</v>
      </c>
    </row>
    <row r="47" spans="1:2" x14ac:dyDescent="0.25">
      <c r="A47" s="195" t="s">
        <v>1778</v>
      </c>
      <c r="B47" s="197" t="s">
        <v>8</v>
      </c>
    </row>
    <row r="48" spans="1:2" x14ac:dyDescent="0.25">
      <c r="A48" s="195" t="s">
        <v>1779</v>
      </c>
      <c r="B48" s="197" t="s">
        <v>8</v>
      </c>
    </row>
    <row r="49" spans="1:2" x14ac:dyDescent="0.25">
      <c r="A49" s="195" t="s">
        <v>1780</v>
      </c>
      <c r="B49" s="197" t="s">
        <v>8</v>
      </c>
    </row>
    <row r="50" spans="1:2" x14ac:dyDescent="0.25">
      <c r="A50" s="188"/>
      <c r="B50" s="200"/>
    </row>
    <row r="51" spans="1:2" x14ac:dyDescent="0.25">
      <c r="A51" s="191"/>
      <c r="B51" s="192" t="s">
        <v>1781</v>
      </c>
    </row>
    <row r="52" spans="1:2" x14ac:dyDescent="0.25">
      <c r="A52" s="193" t="s">
        <v>1782</v>
      </c>
      <c r="B52" s="199" t="s">
        <v>1783</v>
      </c>
    </row>
    <row r="53" spans="1:2" x14ac:dyDescent="0.25">
      <c r="A53" s="195" t="s">
        <v>1784</v>
      </c>
      <c r="B53" s="197" t="s">
        <v>1785</v>
      </c>
    </row>
    <row r="54" spans="1:2" x14ac:dyDescent="0.25">
      <c r="A54" s="195" t="s">
        <v>1786</v>
      </c>
      <c r="B54" s="201" t="s">
        <v>1787</v>
      </c>
    </row>
    <row r="55" spans="1:2" x14ac:dyDescent="0.25">
      <c r="A55" s="195" t="s">
        <v>1788</v>
      </c>
      <c r="B55" s="201" t="s">
        <v>1789</v>
      </c>
    </row>
    <row r="56" spans="1:2" x14ac:dyDescent="0.25">
      <c r="A56" s="195" t="s">
        <v>1790</v>
      </c>
      <c r="B56" s="201" t="s">
        <v>1791</v>
      </c>
    </row>
    <row r="57" spans="1:2" x14ac:dyDescent="0.25">
      <c r="A57" s="195" t="s">
        <v>1792</v>
      </c>
      <c r="B57" s="201" t="s">
        <v>1793</v>
      </c>
    </row>
    <row r="58" spans="1:2" x14ac:dyDescent="0.25">
      <c r="A58" s="195" t="s">
        <v>1794</v>
      </c>
      <c r="B58" s="201" t="s">
        <v>1795</v>
      </c>
    </row>
    <row r="59" spans="1:2" x14ac:dyDescent="0.25">
      <c r="A59" s="195" t="s">
        <v>1796</v>
      </c>
      <c r="B59" s="201" t="s">
        <v>1797</v>
      </c>
    </row>
    <row r="60" spans="1:2" x14ac:dyDescent="0.25">
      <c r="A60" s="195" t="s">
        <v>1798</v>
      </c>
      <c r="B60" s="197" t="s">
        <v>1799</v>
      </c>
    </row>
    <row r="61" spans="1:2" x14ac:dyDescent="0.25">
      <c r="A61" s="195" t="s">
        <v>1800</v>
      </c>
      <c r="B61" s="201" t="s">
        <v>1801</v>
      </c>
    </row>
    <row r="62" spans="1:2" x14ac:dyDescent="0.25">
      <c r="A62" s="195" t="s">
        <v>1802</v>
      </c>
      <c r="B62" s="201" t="s">
        <v>1803</v>
      </c>
    </row>
    <row r="63" spans="1:2" x14ac:dyDescent="0.25">
      <c r="A63" s="195" t="s">
        <v>1804</v>
      </c>
      <c r="B63" s="201" t="s">
        <v>1805</v>
      </c>
    </row>
    <row r="64" spans="1:2" x14ac:dyDescent="0.25">
      <c r="A64" s="195" t="s">
        <v>1806</v>
      </c>
      <c r="B64" s="201" t="s">
        <v>1807</v>
      </c>
    </row>
    <row r="65" spans="1:2" x14ac:dyDescent="0.25">
      <c r="A65" s="195" t="s">
        <v>1808</v>
      </c>
      <c r="B65" s="197" t="s">
        <v>1795</v>
      </c>
    </row>
    <row r="66" spans="1:2" x14ac:dyDescent="0.25">
      <c r="A66" s="195" t="s">
        <v>1809</v>
      </c>
      <c r="B66" s="197" t="s">
        <v>1797</v>
      </c>
    </row>
    <row r="67" spans="1:2" x14ac:dyDescent="0.25">
      <c r="A67" s="193" t="s">
        <v>1810</v>
      </c>
      <c r="B67" s="199" t="s">
        <v>1811</v>
      </c>
    </row>
    <row r="68" spans="1:2" x14ac:dyDescent="0.25">
      <c r="A68" s="195" t="s">
        <v>1812</v>
      </c>
      <c r="B68" s="197" t="s">
        <v>8</v>
      </c>
    </row>
    <row r="69" spans="1:2" x14ac:dyDescent="0.25">
      <c r="A69" s="195" t="s">
        <v>1813</v>
      </c>
      <c r="B69" s="197" t="s">
        <v>8</v>
      </c>
    </row>
    <row r="70" spans="1:2" x14ac:dyDescent="0.25">
      <c r="A70" s="195" t="s">
        <v>1814</v>
      </c>
      <c r="B70" s="197" t="s">
        <v>8</v>
      </c>
    </row>
    <row r="71" spans="1:2" x14ac:dyDescent="0.25">
      <c r="A71" s="193" t="s">
        <v>1782</v>
      </c>
      <c r="B71" s="199" t="s">
        <v>1815</v>
      </c>
    </row>
    <row r="72" spans="1:2" x14ac:dyDescent="0.25">
      <c r="A72" s="195" t="s">
        <v>1816</v>
      </c>
      <c r="B72" s="197" t="s">
        <v>1817</v>
      </c>
    </row>
    <row r="73" spans="1:2" ht="15" customHeight="1" x14ac:dyDescent="0.25">
      <c r="A73" s="195" t="s">
        <v>1818</v>
      </c>
      <c r="B73" s="197" t="s">
        <v>1819</v>
      </c>
    </row>
    <row r="74" spans="1:2" x14ac:dyDescent="0.25">
      <c r="A74" s="195" t="s">
        <v>1820</v>
      </c>
      <c r="B74" s="197" t="s">
        <v>1821</v>
      </c>
    </row>
    <row r="75" spans="1:2" ht="30" x14ac:dyDescent="0.25">
      <c r="A75" s="195" t="s">
        <v>1822</v>
      </c>
      <c r="B75" s="197" t="s">
        <v>1823</v>
      </c>
    </row>
    <row r="76" spans="1:2" x14ac:dyDescent="0.25">
      <c r="A76" s="195" t="s">
        <v>1824</v>
      </c>
      <c r="B76" s="197" t="s">
        <v>1825</v>
      </c>
    </row>
    <row r="77" spans="1:2" x14ac:dyDescent="0.25">
      <c r="A77" s="193" t="s">
        <v>1810</v>
      </c>
      <c r="B77" s="199" t="s">
        <v>1826</v>
      </c>
    </row>
    <row r="78" spans="1:2" x14ac:dyDescent="0.25">
      <c r="A78" s="195" t="s">
        <v>1827</v>
      </c>
      <c r="B78" s="197" t="s">
        <v>1828</v>
      </c>
    </row>
    <row r="79" spans="1:2" x14ac:dyDescent="0.25">
      <c r="A79" s="195" t="s">
        <v>1829</v>
      </c>
      <c r="B79" s="197" t="s">
        <v>1828</v>
      </c>
    </row>
    <row r="80" spans="1:2" x14ac:dyDescent="0.25">
      <c r="A80" s="195" t="s">
        <v>1830</v>
      </c>
      <c r="B80" s="197" t="s">
        <v>1828</v>
      </c>
    </row>
    <row r="81" spans="1:2" x14ac:dyDescent="0.25">
      <c r="A81" s="188"/>
      <c r="B81" s="200"/>
    </row>
    <row r="82" spans="1:2" x14ac:dyDescent="0.25">
      <c r="A82" s="191"/>
      <c r="B82" s="192" t="s">
        <v>1831</v>
      </c>
    </row>
    <row r="83" spans="1:2" x14ac:dyDescent="0.25">
      <c r="A83" s="193" t="s">
        <v>1832</v>
      </c>
      <c r="B83" s="199" t="s">
        <v>1833</v>
      </c>
    </row>
    <row r="84" spans="1:2" ht="30" x14ac:dyDescent="0.25">
      <c r="A84" s="195" t="s">
        <v>1834</v>
      </c>
      <c r="B84" s="197" t="s">
        <v>1835</v>
      </c>
    </row>
    <row r="85" spans="1:2" ht="30" x14ac:dyDescent="0.25">
      <c r="A85" s="195" t="s">
        <v>1836</v>
      </c>
      <c r="B85" s="197" t="s">
        <v>1837</v>
      </c>
    </row>
    <row r="86" spans="1:2" x14ac:dyDescent="0.25">
      <c r="A86" s="195" t="s">
        <v>1838</v>
      </c>
      <c r="B86" s="197" t="s">
        <v>1839</v>
      </c>
    </row>
    <row r="87" spans="1:2" x14ac:dyDescent="0.25">
      <c r="A87" s="195" t="s">
        <v>1840</v>
      </c>
      <c r="B87" s="197" t="s">
        <v>1841</v>
      </c>
    </row>
    <row r="88" spans="1:2" x14ac:dyDescent="0.25">
      <c r="A88" s="193" t="s">
        <v>1842</v>
      </c>
      <c r="B88" s="199" t="s">
        <v>1843</v>
      </c>
    </row>
    <row r="89" spans="1:2" x14ac:dyDescent="0.25">
      <c r="A89" s="195" t="s">
        <v>1844</v>
      </c>
      <c r="B89" s="197" t="s">
        <v>8</v>
      </c>
    </row>
    <row r="90" spans="1:2" x14ac:dyDescent="0.25">
      <c r="A90" s="195" t="s">
        <v>1845</v>
      </c>
      <c r="B90" s="197" t="s">
        <v>8</v>
      </c>
    </row>
    <row r="91" spans="1:2" x14ac:dyDescent="0.25">
      <c r="A91" s="195" t="s">
        <v>1846</v>
      </c>
      <c r="B91" s="197" t="s">
        <v>8</v>
      </c>
    </row>
    <row r="92" spans="1:2" x14ac:dyDescent="0.25">
      <c r="A92" s="193" t="s">
        <v>1832</v>
      </c>
      <c r="B92" s="199" t="s">
        <v>1847</v>
      </c>
    </row>
    <row r="93" spans="1:2" x14ac:dyDescent="0.25">
      <c r="A93" s="195" t="s">
        <v>1848</v>
      </c>
      <c r="B93" s="197" t="s">
        <v>1849</v>
      </c>
    </row>
    <row r="94" spans="1:2" x14ac:dyDescent="0.25">
      <c r="A94" s="195" t="s">
        <v>1850</v>
      </c>
      <c r="B94" s="197" t="s">
        <v>1851</v>
      </c>
    </row>
    <row r="95" spans="1:2" x14ac:dyDescent="0.25">
      <c r="A95" s="195" t="s">
        <v>1852</v>
      </c>
      <c r="B95" s="197" t="s">
        <v>1853</v>
      </c>
    </row>
    <row r="96" spans="1:2" x14ac:dyDescent="0.25">
      <c r="A96" s="195" t="s">
        <v>1854</v>
      </c>
      <c r="B96" s="197" t="s">
        <v>1855</v>
      </c>
    </row>
    <row r="97" spans="1:2" x14ac:dyDescent="0.25">
      <c r="A97" s="195" t="s">
        <v>1856</v>
      </c>
      <c r="B97" s="197" t="s">
        <v>1857</v>
      </c>
    </row>
    <row r="98" spans="1:2" x14ac:dyDescent="0.25">
      <c r="A98" s="193" t="s">
        <v>1842</v>
      </c>
      <c r="B98" s="199" t="s">
        <v>1858</v>
      </c>
    </row>
    <row r="99" spans="1:2" x14ac:dyDescent="0.25">
      <c r="A99" s="195" t="s">
        <v>1859</v>
      </c>
      <c r="B99" s="197" t="s">
        <v>8</v>
      </c>
    </row>
    <row r="100" spans="1:2" x14ac:dyDescent="0.25">
      <c r="A100" s="195" t="s">
        <v>1860</v>
      </c>
      <c r="B100" s="197" t="s">
        <v>8</v>
      </c>
    </row>
    <row r="101" spans="1:2" x14ac:dyDescent="0.25">
      <c r="A101" s="195" t="s">
        <v>1861</v>
      </c>
      <c r="B101" s="197" t="s">
        <v>8</v>
      </c>
    </row>
    <row r="102" spans="1:2" x14ac:dyDescent="0.25">
      <c r="A102" s="188"/>
      <c r="B102" s="200"/>
    </row>
    <row r="103" spans="1:2" x14ac:dyDescent="0.25">
      <c r="A103" s="191"/>
      <c r="B103" s="192" t="s">
        <v>1862</v>
      </c>
    </row>
    <row r="104" spans="1:2" x14ac:dyDescent="0.25">
      <c r="A104" s="193" t="s">
        <v>1863</v>
      </c>
      <c r="B104" s="199" t="s">
        <v>1864</v>
      </c>
    </row>
    <row r="105" spans="1:2" x14ac:dyDescent="0.25">
      <c r="A105" s="195" t="s">
        <v>1865</v>
      </c>
      <c r="B105" s="197" t="s">
        <v>1866</v>
      </c>
    </row>
    <row r="106" spans="1:2" ht="15" customHeight="1" x14ac:dyDescent="0.25">
      <c r="A106" s="195" t="s">
        <v>1867</v>
      </c>
      <c r="B106" s="197" t="s">
        <v>1868</v>
      </c>
    </row>
    <row r="107" spans="1:2" x14ac:dyDescent="0.25">
      <c r="A107" s="195" t="s">
        <v>1869</v>
      </c>
      <c r="B107" s="197" t="s">
        <v>1870</v>
      </c>
    </row>
    <row r="108" spans="1:2" x14ac:dyDescent="0.25">
      <c r="A108" s="195" t="s">
        <v>1871</v>
      </c>
      <c r="B108" s="197" t="s">
        <v>1872</v>
      </c>
    </row>
    <row r="109" spans="1:2" x14ac:dyDescent="0.25">
      <c r="A109" s="195" t="s">
        <v>1873</v>
      </c>
      <c r="B109" s="197" t="s">
        <v>1874</v>
      </c>
    </row>
    <row r="110" spans="1:2" x14ac:dyDescent="0.25">
      <c r="A110" s="193" t="s">
        <v>1875</v>
      </c>
      <c r="B110" s="199" t="s">
        <v>1876</v>
      </c>
    </row>
    <row r="111" spans="1:2" x14ac:dyDescent="0.25">
      <c r="A111" s="195" t="s">
        <v>1877</v>
      </c>
      <c r="B111" s="197" t="s">
        <v>8</v>
      </c>
    </row>
    <row r="112" spans="1:2" x14ac:dyDescent="0.25">
      <c r="A112" s="195" t="s">
        <v>1878</v>
      </c>
      <c r="B112" s="197" t="s">
        <v>8</v>
      </c>
    </row>
    <row r="113" spans="1:2" x14ac:dyDescent="0.25">
      <c r="A113" s="195" t="s">
        <v>1879</v>
      </c>
      <c r="B113" s="197" t="s">
        <v>8</v>
      </c>
    </row>
    <row r="114" spans="1:2" x14ac:dyDescent="0.25">
      <c r="A114" s="193" t="s">
        <v>1863</v>
      </c>
      <c r="B114" s="199" t="s">
        <v>1880</v>
      </c>
    </row>
    <row r="115" spans="1:2" x14ac:dyDescent="0.25">
      <c r="A115" s="195" t="s">
        <v>1881</v>
      </c>
      <c r="B115" s="197" t="s">
        <v>1882</v>
      </c>
    </row>
    <row r="116" spans="1:2" x14ac:dyDescent="0.25">
      <c r="A116" s="195" t="s">
        <v>1883</v>
      </c>
      <c r="B116" s="197" t="s">
        <v>1884</v>
      </c>
    </row>
    <row r="117" spans="1:2" x14ac:dyDescent="0.25">
      <c r="A117" s="195" t="s">
        <v>1885</v>
      </c>
      <c r="B117" s="197" t="s">
        <v>1886</v>
      </c>
    </row>
    <row r="118" spans="1:2" x14ac:dyDescent="0.25">
      <c r="A118" s="195" t="s">
        <v>1887</v>
      </c>
      <c r="B118" s="197" t="s">
        <v>1888</v>
      </c>
    </row>
    <row r="119" spans="1:2" x14ac:dyDescent="0.25">
      <c r="A119" s="195" t="s">
        <v>1889</v>
      </c>
      <c r="B119" s="196" t="s">
        <v>1890</v>
      </c>
    </row>
    <row r="120" spans="1:2" x14ac:dyDescent="0.25">
      <c r="A120" s="193" t="s">
        <v>1863</v>
      </c>
      <c r="B120" s="199" t="s">
        <v>1891</v>
      </c>
    </row>
    <row r="121" spans="1:2" x14ac:dyDescent="0.25">
      <c r="A121" s="195" t="s">
        <v>1892</v>
      </c>
      <c r="B121" s="197" t="s">
        <v>1893</v>
      </c>
    </row>
    <row r="122" spans="1:2" x14ac:dyDescent="0.25">
      <c r="A122" s="195" t="s">
        <v>1894</v>
      </c>
      <c r="B122" s="196" t="s">
        <v>1895</v>
      </c>
    </row>
    <row r="123" spans="1:2" ht="15" customHeight="1" x14ac:dyDescent="0.25">
      <c r="A123" s="195" t="s">
        <v>1896</v>
      </c>
      <c r="B123" s="197" t="s">
        <v>1897</v>
      </c>
    </row>
    <row r="124" spans="1:2" x14ac:dyDescent="0.25">
      <c r="A124" s="195" t="s">
        <v>1898</v>
      </c>
      <c r="B124" s="197" t="s">
        <v>1899</v>
      </c>
    </row>
    <row r="125" spans="1:2" x14ac:dyDescent="0.25">
      <c r="A125" s="195" t="s">
        <v>1900</v>
      </c>
      <c r="B125" s="197" t="s">
        <v>1901</v>
      </c>
    </row>
    <row r="126" spans="1:2" x14ac:dyDescent="0.25">
      <c r="A126" s="195" t="s">
        <v>1902</v>
      </c>
      <c r="B126" s="197" t="s">
        <v>1903</v>
      </c>
    </row>
    <row r="127" spans="1:2" x14ac:dyDescent="0.25">
      <c r="A127" s="195" t="s">
        <v>1904</v>
      </c>
      <c r="B127" s="197" t="s">
        <v>1905</v>
      </c>
    </row>
    <row r="128" spans="1:2" x14ac:dyDescent="0.25">
      <c r="A128" s="195" t="s">
        <v>1906</v>
      </c>
      <c r="B128" s="197" t="s">
        <v>1907</v>
      </c>
    </row>
    <row r="129" spans="1:2" x14ac:dyDescent="0.25">
      <c r="A129" s="193" t="s">
        <v>1863</v>
      </c>
      <c r="B129" s="199" t="s">
        <v>1908</v>
      </c>
    </row>
    <row r="130" spans="1:2" x14ac:dyDescent="0.25">
      <c r="A130" s="195" t="s">
        <v>1909</v>
      </c>
      <c r="B130" s="197" t="s">
        <v>1910</v>
      </c>
    </row>
    <row r="131" spans="1:2" x14ac:dyDescent="0.25">
      <c r="A131" s="195" t="s">
        <v>1911</v>
      </c>
      <c r="B131" s="197" t="s">
        <v>1912</v>
      </c>
    </row>
    <row r="132" spans="1:2" x14ac:dyDescent="0.25">
      <c r="A132" s="195" t="s">
        <v>1913</v>
      </c>
      <c r="B132" s="197" t="s">
        <v>1914</v>
      </c>
    </row>
    <row r="133" spans="1:2" x14ac:dyDescent="0.25">
      <c r="A133" s="195" t="s">
        <v>1915</v>
      </c>
      <c r="B133" s="197" t="s">
        <v>1916</v>
      </c>
    </row>
    <row r="134" spans="1:2" x14ac:dyDescent="0.25">
      <c r="A134" s="193" t="s">
        <v>1863</v>
      </c>
      <c r="B134" s="199" t="s">
        <v>1917</v>
      </c>
    </row>
    <row r="135" spans="1:2" x14ac:dyDescent="0.25">
      <c r="A135" s="195" t="s">
        <v>1918</v>
      </c>
      <c r="B135" s="197" t="s">
        <v>8</v>
      </c>
    </row>
    <row r="136" spans="1:2" x14ac:dyDescent="0.25">
      <c r="A136" s="195" t="s">
        <v>1919</v>
      </c>
      <c r="B136" s="197" t="s">
        <v>8</v>
      </c>
    </row>
    <row r="137" spans="1:2" x14ac:dyDescent="0.25">
      <c r="A137" s="195" t="s">
        <v>1920</v>
      </c>
      <c r="B137" s="197" t="s">
        <v>8</v>
      </c>
    </row>
    <row r="138" spans="1:2" x14ac:dyDescent="0.25">
      <c r="A138" s="188"/>
      <c r="B138" s="200"/>
    </row>
    <row r="139" spans="1:2" x14ac:dyDescent="0.25">
      <c r="A139" s="191"/>
      <c r="B139" s="192" t="s">
        <v>1921</v>
      </c>
    </row>
    <row r="140" spans="1:2" x14ac:dyDescent="0.25">
      <c r="A140" s="193" t="s">
        <v>1922</v>
      </c>
      <c r="B140" s="199" t="s">
        <v>1923</v>
      </c>
    </row>
    <row r="141" spans="1:2" ht="30" x14ac:dyDescent="0.25">
      <c r="A141" s="195" t="s">
        <v>1924</v>
      </c>
      <c r="B141" s="197" t="s">
        <v>1925</v>
      </c>
    </row>
    <row r="142" spans="1:2" ht="30" x14ac:dyDescent="0.25">
      <c r="A142" s="195" t="s">
        <v>1926</v>
      </c>
      <c r="B142" s="196" t="s">
        <v>1927</v>
      </c>
    </row>
    <row r="143" spans="1:2" ht="45" x14ac:dyDescent="0.25">
      <c r="A143" s="195" t="s">
        <v>1928</v>
      </c>
      <c r="B143" s="197" t="s">
        <v>1929</v>
      </c>
    </row>
    <row r="144" spans="1:2" x14ac:dyDescent="0.25">
      <c r="A144" s="193" t="s">
        <v>1930</v>
      </c>
      <c r="B144" s="199" t="s">
        <v>1931</v>
      </c>
    </row>
    <row r="145" spans="1:2" x14ac:dyDescent="0.25">
      <c r="A145" s="195" t="s">
        <v>1932</v>
      </c>
      <c r="B145" s="197" t="s">
        <v>8</v>
      </c>
    </row>
    <row r="146" spans="1:2" x14ac:dyDescent="0.25">
      <c r="A146" s="195" t="s">
        <v>1933</v>
      </c>
      <c r="B146" s="197" t="s">
        <v>8</v>
      </c>
    </row>
    <row r="147" spans="1:2" x14ac:dyDescent="0.25">
      <c r="A147" s="195" t="s">
        <v>1934</v>
      </c>
      <c r="B147" s="197" t="s">
        <v>8</v>
      </c>
    </row>
    <row r="148" spans="1:2" x14ac:dyDescent="0.25">
      <c r="A148" s="188"/>
      <c r="B148" s="200"/>
    </row>
    <row r="149" spans="1:2" x14ac:dyDescent="0.25">
      <c r="A149" s="191"/>
      <c r="B149" s="192" t="s">
        <v>1935</v>
      </c>
    </row>
    <row r="150" spans="1:2" x14ac:dyDescent="0.25">
      <c r="A150" s="193" t="s">
        <v>1922</v>
      </c>
      <c r="B150" s="199" t="s">
        <v>1936</v>
      </c>
    </row>
    <row r="151" spans="1:2" ht="30" x14ac:dyDescent="0.25">
      <c r="A151" s="195" t="s">
        <v>1937</v>
      </c>
      <c r="B151" s="197" t="s">
        <v>1938</v>
      </c>
    </row>
    <row r="152" spans="1:2" ht="30" x14ac:dyDescent="0.25">
      <c r="A152" s="195" t="s">
        <v>1939</v>
      </c>
      <c r="B152" s="197" t="s">
        <v>1940</v>
      </c>
    </row>
    <row r="153" spans="1:2" x14ac:dyDescent="0.25">
      <c r="A153" s="193" t="s">
        <v>1941</v>
      </c>
      <c r="B153" s="199" t="s">
        <v>1942</v>
      </c>
    </row>
    <row r="154" spans="1:2" x14ac:dyDescent="0.25">
      <c r="A154" s="195" t="s">
        <v>1943</v>
      </c>
      <c r="B154" s="197" t="s">
        <v>8</v>
      </c>
    </row>
    <row r="155" spans="1:2" x14ac:dyDescent="0.25">
      <c r="A155" s="195" t="s">
        <v>1944</v>
      </c>
      <c r="B155" s="197" t="s">
        <v>8</v>
      </c>
    </row>
    <row r="156" spans="1:2" x14ac:dyDescent="0.25">
      <c r="A156" s="195" t="s">
        <v>1945</v>
      </c>
      <c r="B156" s="197" t="s">
        <v>8</v>
      </c>
    </row>
  </sheetData>
  <sheetProtection algorithmName="SHA-512" hashValue="p0/iJr5zWWoz19nByFpAerPMJGaLbkTwxUNEilr6XkhzJ9rur8n1HSfFMnQHIfeo4hU2qaOdMB6VTEeILWH4Ug==" saltValue="oTDAUMIbdBdw8JlVJqaKhw==" spinCount="100000" sheet="1" objects="1" scenarios="1" formatCells="0"/>
  <printOptions horizontalCentered="1"/>
  <pageMargins left="0.68333333333333302" right="1.925" top="0.75" bottom="0.75" header="0.3" footer="0.3"/>
  <pageSetup scale="93" orientation="landscape" r:id="rId1"/>
  <headerFooter>
    <oddHeader>&amp;C&amp;"-,Bold"CSBG Annual Report Numbering System - Module 3&amp;"-,Regular"
May 2017</oddHeader>
  </headerFooter>
  <rowBreaks count="5" manualBreakCount="5">
    <brk id="31" max="16383" man="1"/>
    <brk id="66" max="16383" man="1"/>
    <brk id="91" max="16383" man="1"/>
    <brk id="119" max="16383" man="1"/>
    <brk id="14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ectionC_Strategies_List">
    <pageSetUpPr fitToPage="1"/>
  </sheetPr>
  <dimension ref="A2:K112"/>
  <sheetViews>
    <sheetView showGridLines="0" zoomScaleNormal="100" zoomScaleSheetLayoutView="80" zoomScalePageLayoutView="77" workbookViewId="0"/>
  </sheetViews>
  <sheetFormatPr defaultRowHeight="15" customHeight="1" x14ac:dyDescent="0.25"/>
  <cols>
    <col min="1" max="1" width="9.28515625" customWidth="1"/>
    <col min="2" max="2" width="98.7109375" style="3" customWidth="1"/>
    <col min="3" max="3" width="1.7109375" customWidth="1"/>
    <col min="4" max="4" width="11.28515625" customWidth="1"/>
  </cols>
  <sheetData>
    <row r="2" spans="1:11" ht="18" customHeight="1" x14ac:dyDescent="0.25">
      <c r="B2" s="61" t="s">
        <v>124</v>
      </c>
      <c r="C2" s="6"/>
      <c r="D2" s="6"/>
      <c r="E2" s="6"/>
      <c r="F2" s="6"/>
      <c r="G2" s="6"/>
      <c r="H2" s="6"/>
      <c r="I2" s="6"/>
      <c r="J2" s="6"/>
      <c r="K2" s="6"/>
    </row>
    <row r="3" spans="1:11" ht="18" customHeight="1" x14ac:dyDescent="0.25">
      <c r="B3" s="7"/>
      <c r="C3" s="6"/>
      <c r="D3" s="6"/>
      <c r="E3" s="6"/>
      <c r="F3" s="6"/>
      <c r="G3" s="6"/>
      <c r="H3" s="6"/>
      <c r="I3" s="6"/>
      <c r="J3" s="6"/>
      <c r="K3" s="6"/>
    </row>
    <row r="4" spans="1:11" ht="15" customHeight="1" x14ac:dyDescent="0.25">
      <c r="A4" s="11"/>
      <c r="B4" s="11" t="s">
        <v>166</v>
      </c>
    </row>
    <row r="5" spans="1:11" ht="15" customHeight="1" x14ac:dyDescent="0.25">
      <c r="A5" s="10" t="s">
        <v>158</v>
      </c>
      <c r="B5" s="10" t="s">
        <v>38</v>
      </c>
    </row>
    <row r="6" spans="1:11" ht="15" customHeight="1" x14ac:dyDescent="0.25">
      <c r="A6" s="10" t="s">
        <v>157</v>
      </c>
      <c r="B6" s="10" t="s">
        <v>39</v>
      </c>
    </row>
    <row r="7" spans="1:11" ht="15" customHeight="1" x14ac:dyDescent="0.25">
      <c r="A7" s="10" t="s">
        <v>159</v>
      </c>
      <c r="B7" s="10" t="s">
        <v>40</v>
      </c>
    </row>
    <row r="8" spans="1:11" ht="15" customHeight="1" x14ac:dyDescent="0.25">
      <c r="A8" s="10" t="s">
        <v>160</v>
      </c>
      <c r="B8" s="10" t="s">
        <v>41</v>
      </c>
    </row>
    <row r="9" spans="1:11" ht="15" customHeight="1" x14ac:dyDescent="0.25">
      <c r="A9" s="10" t="s">
        <v>161</v>
      </c>
      <c r="B9" s="10" t="s">
        <v>42</v>
      </c>
    </row>
    <row r="10" spans="1:11" ht="15" customHeight="1" x14ac:dyDescent="0.25">
      <c r="A10" s="10" t="s">
        <v>162</v>
      </c>
      <c r="B10" s="10" t="s">
        <v>43</v>
      </c>
    </row>
    <row r="11" spans="1:11" ht="15" customHeight="1" x14ac:dyDescent="0.25">
      <c r="A11" s="10" t="s">
        <v>163</v>
      </c>
      <c r="B11" s="10" t="s">
        <v>44</v>
      </c>
    </row>
    <row r="12" spans="1:11" ht="15" customHeight="1" x14ac:dyDescent="0.25">
      <c r="A12" s="10" t="s">
        <v>164</v>
      </c>
      <c r="B12" s="10" t="s">
        <v>45</v>
      </c>
    </row>
    <row r="13" spans="1:11" ht="15" customHeight="1" x14ac:dyDescent="0.25">
      <c r="A13" s="10" t="s">
        <v>165</v>
      </c>
      <c r="B13" s="10" t="s">
        <v>51</v>
      </c>
    </row>
    <row r="14" spans="1:11" ht="15" customHeight="1" x14ac:dyDescent="0.25">
      <c r="B14" s="8"/>
    </row>
    <row r="15" spans="1:11" ht="15" customHeight="1" x14ac:dyDescent="0.25">
      <c r="A15" s="11"/>
      <c r="B15" s="11" t="s">
        <v>167</v>
      </c>
    </row>
    <row r="16" spans="1:11" ht="15" customHeight="1" x14ac:dyDescent="0.25">
      <c r="A16" s="10" t="s">
        <v>168</v>
      </c>
      <c r="B16" s="10" t="s">
        <v>46</v>
      </c>
    </row>
    <row r="17" spans="1:3" ht="15" customHeight="1" x14ac:dyDescent="0.25">
      <c r="A17" s="10" t="s">
        <v>169</v>
      </c>
      <c r="B17" s="10" t="s">
        <v>123</v>
      </c>
      <c r="C17" s="2"/>
    </row>
    <row r="18" spans="1:3" ht="15" customHeight="1" x14ac:dyDescent="0.25">
      <c r="A18" s="10" t="s">
        <v>170</v>
      </c>
      <c r="B18" s="10" t="s">
        <v>104</v>
      </c>
      <c r="C18" s="2"/>
    </row>
    <row r="19" spans="1:3" ht="15" customHeight="1" x14ac:dyDescent="0.25">
      <c r="A19" s="10" t="s">
        <v>172</v>
      </c>
      <c r="B19" s="10" t="s">
        <v>47</v>
      </c>
    </row>
    <row r="20" spans="1:3" ht="15" customHeight="1" x14ac:dyDescent="0.25">
      <c r="A20" s="10" t="s">
        <v>171</v>
      </c>
      <c r="B20" s="10" t="s">
        <v>48</v>
      </c>
    </row>
    <row r="21" spans="1:3" ht="15" customHeight="1" x14ac:dyDescent="0.25">
      <c r="A21" s="10" t="s">
        <v>173</v>
      </c>
      <c r="B21" s="10" t="s">
        <v>9</v>
      </c>
    </row>
    <row r="22" spans="1:3" ht="15" customHeight="1" x14ac:dyDescent="0.25">
      <c r="A22" s="10" t="s">
        <v>174</v>
      </c>
      <c r="B22" s="10" t="s">
        <v>49</v>
      </c>
    </row>
    <row r="23" spans="1:3" ht="15" customHeight="1" x14ac:dyDescent="0.25">
      <c r="A23" s="10" t="s">
        <v>175</v>
      </c>
      <c r="B23" s="10" t="s">
        <v>98</v>
      </c>
    </row>
    <row r="24" spans="1:3" ht="15" customHeight="1" x14ac:dyDescent="0.25">
      <c r="A24" s="10" t="s">
        <v>176</v>
      </c>
      <c r="B24" s="10" t="s">
        <v>50</v>
      </c>
    </row>
    <row r="25" spans="1:3" ht="15" customHeight="1" x14ac:dyDescent="0.25">
      <c r="A25" s="10" t="s">
        <v>177</v>
      </c>
      <c r="B25" s="10" t="s">
        <v>52</v>
      </c>
    </row>
    <row r="26" spans="1:3" ht="15" customHeight="1" x14ac:dyDescent="0.25">
      <c r="A26" s="10" t="s">
        <v>178</v>
      </c>
      <c r="B26" s="10" t="s">
        <v>114</v>
      </c>
    </row>
    <row r="27" spans="1:3" ht="15" customHeight="1" x14ac:dyDescent="0.25">
      <c r="A27" s="10" t="s">
        <v>179</v>
      </c>
      <c r="B27" s="10" t="s">
        <v>74</v>
      </c>
    </row>
    <row r="28" spans="1:3" ht="15" customHeight="1" x14ac:dyDescent="0.25">
      <c r="B28" s="8"/>
    </row>
    <row r="29" spans="1:3" ht="15" customHeight="1" x14ac:dyDescent="0.25">
      <c r="A29" s="11"/>
      <c r="B29" s="11" t="s">
        <v>180</v>
      </c>
    </row>
    <row r="30" spans="1:3" ht="15" customHeight="1" x14ac:dyDescent="0.25">
      <c r="A30" s="10" t="s">
        <v>181</v>
      </c>
      <c r="B30" s="10" t="s">
        <v>53</v>
      </c>
    </row>
    <row r="31" spans="1:3" ht="15" customHeight="1" x14ac:dyDescent="0.25">
      <c r="A31" s="10" t="s">
        <v>182</v>
      </c>
      <c r="B31" s="10" t="s">
        <v>115</v>
      </c>
    </row>
    <row r="32" spans="1:3" ht="15" customHeight="1" x14ac:dyDescent="0.25">
      <c r="A32" s="10" t="s">
        <v>183</v>
      </c>
      <c r="B32" s="10" t="s">
        <v>54</v>
      </c>
    </row>
    <row r="33" spans="1:2" ht="15" customHeight="1" x14ac:dyDescent="0.25">
      <c r="A33" s="10" t="s">
        <v>184</v>
      </c>
      <c r="B33" s="10" t="s">
        <v>56</v>
      </c>
    </row>
    <row r="34" spans="1:2" ht="15" customHeight="1" x14ac:dyDescent="0.25">
      <c r="A34" s="10" t="s">
        <v>185</v>
      </c>
      <c r="B34" s="10" t="s">
        <v>57</v>
      </c>
    </row>
    <row r="35" spans="1:2" ht="15" customHeight="1" x14ac:dyDescent="0.25">
      <c r="A35" s="23" t="s">
        <v>186</v>
      </c>
      <c r="B35" s="10" t="s">
        <v>103</v>
      </c>
    </row>
    <row r="36" spans="1:2" ht="15" customHeight="1" x14ac:dyDescent="0.25">
      <c r="A36" s="23" t="s">
        <v>187</v>
      </c>
      <c r="B36" s="10" t="s">
        <v>58</v>
      </c>
    </row>
    <row r="37" spans="1:2" ht="15" customHeight="1" x14ac:dyDescent="0.25">
      <c r="A37" s="23" t="s">
        <v>188</v>
      </c>
      <c r="B37" s="10" t="s">
        <v>59</v>
      </c>
    </row>
    <row r="38" spans="1:2" ht="15" customHeight="1" x14ac:dyDescent="0.25">
      <c r="A38" s="23" t="s">
        <v>189</v>
      </c>
      <c r="B38" s="10" t="s">
        <v>60</v>
      </c>
    </row>
    <row r="39" spans="1:2" ht="15" customHeight="1" x14ac:dyDescent="0.25">
      <c r="A39" s="23" t="s">
        <v>190</v>
      </c>
      <c r="B39" s="10" t="s">
        <v>61</v>
      </c>
    </row>
    <row r="40" spans="1:2" ht="15" customHeight="1" x14ac:dyDescent="0.25">
      <c r="A40" s="23" t="s">
        <v>191</v>
      </c>
      <c r="B40" s="10" t="s">
        <v>62</v>
      </c>
    </row>
    <row r="41" spans="1:2" ht="15" customHeight="1" x14ac:dyDescent="0.25">
      <c r="A41" s="23" t="s">
        <v>192</v>
      </c>
      <c r="B41" s="10" t="s">
        <v>4</v>
      </c>
    </row>
    <row r="42" spans="1:2" ht="15" customHeight="1" x14ac:dyDescent="0.25">
      <c r="A42" s="24" t="s">
        <v>193</v>
      </c>
      <c r="B42" s="10" t="s">
        <v>63</v>
      </c>
    </row>
    <row r="43" spans="1:2" ht="15" customHeight="1" x14ac:dyDescent="0.25">
      <c r="A43" s="24" t="s">
        <v>194</v>
      </c>
      <c r="B43" s="10" t="s">
        <v>64</v>
      </c>
    </row>
    <row r="44" spans="1:2" ht="15" customHeight="1" x14ac:dyDescent="0.25">
      <c r="A44" s="24" t="s">
        <v>195</v>
      </c>
      <c r="B44" s="10" t="s">
        <v>65</v>
      </c>
    </row>
    <row r="45" spans="1:2" ht="15" customHeight="1" x14ac:dyDescent="0.25">
      <c r="A45" s="22" t="s">
        <v>196</v>
      </c>
      <c r="B45" s="10" t="s">
        <v>55</v>
      </c>
    </row>
    <row r="46" spans="1:2" ht="15" customHeight="1" x14ac:dyDescent="0.25">
      <c r="A46" s="22" t="s">
        <v>197</v>
      </c>
      <c r="B46" s="10" t="s">
        <v>66</v>
      </c>
    </row>
    <row r="47" spans="1:2" ht="15" customHeight="1" x14ac:dyDescent="0.25">
      <c r="A47" s="22" t="s">
        <v>198</v>
      </c>
      <c r="B47" s="10" t="s">
        <v>67</v>
      </c>
    </row>
    <row r="48" spans="1:2" ht="15" customHeight="1" x14ac:dyDescent="0.25">
      <c r="A48" s="22" t="s">
        <v>199</v>
      </c>
      <c r="B48" s="10" t="s">
        <v>68</v>
      </c>
    </row>
    <row r="50" spans="1:2" ht="15" customHeight="1" x14ac:dyDescent="0.25">
      <c r="A50" s="11"/>
      <c r="B50" s="11" t="s">
        <v>200</v>
      </c>
    </row>
    <row r="51" spans="1:2" ht="15" customHeight="1" x14ac:dyDescent="0.25">
      <c r="A51" s="10" t="s">
        <v>201</v>
      </c>
      <c r="B51" s="10" t="s">
        <v>69</v>
      </c>
    </row>
    <row r="52" spans="1:2" ht="15" customHeight="1" x14ac:dyDescent="0.25">
      <c r="A52" s="10" t="s">
        <v>202</v>
      </c>
      <c r="B52" s="10" t="s">
        <v>108</v>
      </c>
    </row>
    <row r="53" spans="1:2" ht="15" customHeight="1" x14ac:dyDescent="0.25">
      <c r="A53" s="10" t="s">
        <v>203</v>
      </c>
      <c r="B53" s="10" t="s">
        <v>109</v>
      </c>
    </row>
    <row r="54" spans="1:2" ht="15" customHeight="1" x14ac:dyDescent="0.25">
      <c r="A54" s="10" t="s">
        <v>204</v>
      </c>
      <c r="B54" s="10" t="s">
        <v>70</v>
      </c>
    </row>
    <row r="55" spans="1:2" ht="15" customHeight="1" x14ac:dyDescent="0.25">
      <c r="A55" s="10" t="s">
        <v>205</v>
      </c>
      <c r="B55" s="10" t="s">
        <v>71</v>
      </c>
    </row>
    <row r="56" spans="1:2" ht="15" customHeight="1" x14ac:dyDescent="0.25">
      <c r="A56" s="23" t="s">
        <v>206</v>
      </c>
      <c r="B56" s="10" t="s">
        <v>99</v>
      </c>
    </row>
    <row r="57" spans="1:2" ht="15" customHeight="1" x14ac:dyDescent="0.25">
      <c r="A57" s="23" t="s">
        <v>207</v>
      </c>
      <c r="B57" s="10" t="s">
        <v>5</v>
      </c>
    </row>
    <row r="58" spans="1:2" ht="15" customHeight="1" x14ac:dyDescent="0.25">
      <c r="A58" s="23" t="s">
        <v>208</v>
      </c>
      <c r="B58" s="10" t="s">
        <v>83</v>
      </c>
    </row>
    <row r="59" spans="1:2" ht="15" customHeight="1" x14ac:dyDescent="0.25">
      <c r="A59" s="23" t="s">
        <v>209</v>
      </c>
      <c r="B59" s="10" t="s">
        <v>72</v>
      </c>
    </row>
    <row r="60" spans="1:2" ht="15" customHeight="1" x14ac:dyDescent="0.25">
      <c r="A60" s="23" t="s">
        <v>210</v>
      </c>
      <c r="B60" s="10" t="s">
        <v>73</v>
      </c>
    </row>
    <row r="61" spans="1:2" ht="15" customHeight="1" x14ac:dyDescent="0.25">
      <c r="B61" s="9"/>
    </row>
    <row r="62" spans="1:2" ht="15" customHeight="1" x14ac:dyDescent="0.25">
      <c r="A62" s="11"/>
      <c r="B62" s="11" t="s">
        <v>211</v>
      </c>
    </row>
    <row r="63" spans="1:2" ht="15" customHeight="1" x14ac:dyDescent="0.25">
      <c r="A63" s="10" t="s">
        <v>212</v>
      </c>
      <c r="B63" s="10" t="s">
        <v>119</v>
      </c>
    </row>
    <row r="64" spans="1:2" ht="15" customHeight="1" x14ac:dyDescent="0.25">
      <c r="A64" s="10" t="s">
        <v>213</v>
      </c>
      <c r="B64" s="10" t="s">
        <v>1513</v>
      </c>
    </row>
    <row r="65" spans="1:2" ht="15" customHeight="1" x14ac:dyDescent="0.25">
      <c r="A65" s="10" t="s">
        <v>214</v>
      </c>
      <c r="B65" s="10" t="s">
        <v>121</v>
      </c>
    </row>
    <row r="66" spans="1:2" ht="15" customHeight="1" x14ac:dyDescent="0.25">
      <c r="A66" s="10" t="s">
        <v>215</v>
      </c>
      <c r="B66" s="10" t="s">
        <v>75</v>
      </c>
    </row>
    <row r="67" spans="1:2" ht="15" customHeight="1" x14ac:dyDescent="0.25">
      <c r="A67" s="10" t="s">
        <v>216</v>
      </c>
      <c r="B67" s="10" t="s">
        <v>120</v>
      </c>
    </row>
    <row r="68" spans="1:2" ht="15" customHeight="1" x14ac:dyDescent="0.25">
      <c r="A68" s="10" t="s">
        <v>217</v>
      </c>
      <c r="B68" s="10" t="s">
        <v>76</v>
      </c>
    </row>
    <row r="69" spans="1:2" ht="15" customHeight="1" x14ac:dyDescent="0.25">
      <c r="A69" s="23" t="s">
        <v>218</v>
      </c>
      <c r="B69" s="10" t="s">
        <v>77</v>
      </c>
    </row>
    <row r="70" spans="1:2" ht="15" customHeight="1" x14ac:dyDescent="0.25">
      <c r="A70" s="23" t="s">
        <v>219</v>
      </c>
      <c r="B70" s="10" t="s">
        <v>10</v>
      </c>
    </row>
    <row r="71" spans="1:2" ht="15" customHeight="1" x14ac:dyDescent="0.25">
      <c r="A71" s="23" t="s">
        <v>220</v>
      </c>
      <c r="B71" s="10" t="s">
        <v>11</v>
      </c>
    </row>
    <row r="72" spans="1:2" ht="15" customHeight="1" x14ac:dyDescent="0.25">
      <c r="A72" s="23" t="s">
        <v>221</v>
      </c>
      <c r="B72" s="10" t="s">
        <v>78</v>
      </c>
    </row>
    <row r="73" spans="1:2" ht="15" customHeight="1" x14ac:dyDescent="0.25">
      <c r="A73" s="23" t="s">
        <v>222</v>
      </c>
      <c r="B73" s="10" t="s">
        <v>122</v>
      </c>
    </row>
    <row r="74" spans="1:2" ht="15" customHeight="1" x14ac:dyDescent="0.25">
      <c r="A74" s="23" t="s">
        <v>223</v>
      </c>
      <c r="B74" s="10" t="s">
        <v>79</v>
      </c>
    </row>
    <row r="75" spans="1:2" ht="15" customHeight="1" x14ac:dyDescent="0.25">
      <c r="A75" s="23" t="s">
        <v>224</v>
      </c>
      <c r="B75" s="10" t="s">
        <v>80</v>
      </c>
    </row>
    <row r="76" spans="1:2" ht="15" customHeight="1" x14ac:dyDescent="0.25">
      <c r="A76" s="23" t="s">
        <v>225</v>
      </c>
      <c r="B76" s="10" t="s">
        <v>81</v>
      </c>
    </row>
    <row r="78" spans="1:2" ht="15" customHeight="1" x14ac:dyDescent="0.25">
      <c r="A78" s="11"/>
      <c r="B78" s="11" t="s">
        <v>232</v>
      </c>
    </row>
    <row r="79" spans="1:2" ht="15" customHeight="1" x14ac:dyDescent="0.25">
      <c r="A79" s="10" t="s">
        <v>226</v>
      </c>
      <c r="B79" s="10" t="s">
        <v>92</v>
      </c>
    </row>
    <row r="80" spans="1:2" ht="15" customHeight="1" x14ac:dyDescent="0.25">
      <c r="A80" s="10" t="s">
        <v>227</v>
      </c>
      <c r="B80" s="10" t="s">
        <v>14</v>
      </c>
    </row>
    <row r="81" spans="1:2" ht="15" customHeight="1" x14ac:dyDescent="0.25">
      <c r="A81" s="10" t="s">
        <v>228</v>
      </c>
      <c r="B81" s="10" t="s">
        <v>7</v>
      </c>
    </row>
    <row r="82" spans="1:2" ht="15" customHeight="1" x14ac:dyDescent="0.25">
      <c r="A82" s="10" t="s">
        <v>229</v>
      </c>
      <c r="B82" s="10" t="s">
        <v>6</v>
      </c>
    </row>
    <row r="83" spans="1:2" ht="15" customHeight="1" x14ac:dyDescent="0.25">
      <c r="A83" s="23" t="s">
        <v>230</v>
      </c>
      <c r="B83" s="10" t="s">
        <v>93</v>
      </c>
    </row>
    <row r="84" spans="1:2" ht="15" customHeight="1" x14ac:dyDescent="0.25">
      <c r="A84" s="23" t="s">
        <v>231</v>
      </c>
      <c r="B84" s="10" t="s">
        <v>100</v>
      </c>
    </row>
    <row r="85" spans="1:2" ht="15" customHeight="1" x14ac:dyDescent="0.25">
      <c r="A85" s="23" t="s">
        <v>233</v>
      </c>
      <c r="B85" s="10" t="s">
        <v>105</v>
      </c>
    </row>
    <row r="86" spans="1:2" ht="15" customHeight="1" x14ac:dyDescent="0.25">
      <c r="A86" s="23" t="s">
        <v>234</v>
      </c>
      <c r="B86" s="10" t="s">
        <v>94</v>
      </c>
    </row>
    <row r="87" spans="1:2" ht="15" customHeight="1" x14ac:dyDescent="0.25">
      <c r="A87" s="10" t="s">
        <v>235</v>
      </c>
      <c r="B87" s="10" t="s">
        <v>95</v>
      </c>
    </row>
    <row r="89" spans="1:2" ht="15" customHeight="1" x14ac:dyDescent="0.25">
      <c r="A89" s="11"/>
      <c r="B89" s="11" t="s">
        <v>236</v>
      </c>
    </row>
    <row r="90" spans="1:2" ht="15" customHeight="1" x14ac:dyDescent="0.25">
      <c r="A90" s="10" t="s">
        <v>237</v>
      </c>
      <c r="B90" s="10" t="s">
        <v>101</v>
      </c>
    </row>
    <row r="91" spans="1:2" ht="15" customHeight="1" x14ac:dyDescent="0.25">
      <c r="A91" s="23" t="s">
        <v>238</v>
      </c>
      <c r="B91" s="10" t="s">
        <v>117</v>
      </c>
    </row>
    <row r="92" spans="1:2" ht="15" customHeight="1" x14ac:dyDescent="0.25">
      <c r="A92" s="23" t="s">
        <v>239</v>
      </c>
      <c r="B92" s="10" t="s">
        <v>116</v>
      </c>
    </row>
    <row r="93" spans="1:2" ht="15" customHeight="1" x14ac:dyDescent="0.25">
      <c r="A93" s="23" t="s">
        <v>240</v>
      </c>
      <c r="B93" s="10" t="s">
        <v>118</v>
      </c>
    </row>
    <row r="94" spans="1:2" ht="15" customHeight="1" x14ac:dyDescent="0.25">
      <c r="A94" s="23" t="s">
        <v>241</v>
      </c>
      <c r="B94" s="10" t="s">
        <v>105</v>
      </c>
    </row>
    <row r="95" spans="1:2" ht="15" customHeight="1" x14ac:dyDescent="0.25">
      <c r="A95" s="23" t="s">
        <v>242</v>
      </c>
      <c r="B95" s="10" t="s">
        <v>94</v>
      </c>
    </row>
    <row r="96" spans="1:2" ht="15" customHeight="1" x14ac:dyDescent="0.25">
      <c r="A96" s="23" t="s">
        <v>243</v>
      </c>
      <c r="B96" s="10" t="s">
        <v>95</v>
      </c>
    </row>
    <row r="98" spans="1:2" ht="15" customHeight="1" x14ac:dyDescent="0.25">
      <c r="A98" s="11"/>
      <c r="B98" s="11" t="s">
        <v>244</v>
      </c>
    </row>
    <row r="99" spans="1:2" ht="15" customHeight="1" x14ac:dyDescent="0.25">
      <c r="A99" s="10" t="s">
        <v>245</v>
      </c>
      <c r="B99" s="10" t="s">
        <v>82</v>
      </c>
    </row>
    <row r="100" spans="1:2" ht="15" customHeight="1" x14ac:dyDescent="0.25">
      <c r="A100" s="10" t="s">
        <v>246</v>
      </c>
      <c r="B100" s="10" t="s">
        <v>12</v>
      </c>
    </row>
    <row r="101" spans="1:2" ht="15" customHeight="1" x14ac:dyDescent="0.25">
      <c r="A101" s="10" t="s">
        <v>247</v>
      </c>
      <c r="B101" s="10" t="s">
        <v>13</v>
      </c>
    </row>
    <row r="102" spans="1:2" ht="15" customHeight="1" x14ac:dyDescent="0.25">
      <c r="A102" s="10" t="s">
        <v>248</v>
      </c>
      <c r="B102" s="10" t="s">
        <v>91</v>
      </c>
    </row>
    <row r="103" spans="1:2" ht="15" customHeight="1" x14ac:dyDescent="0.25">
      <c r="A103" s="10" t="s">
        <v>249</v>
      </c>
      <c r="B103" s="10" t="s">
        <v>84</v>
      </c>
    </row>
    <row r="104" spans="1:2" ht="15" customHeight="1" x14ac:dyDescent="0.25">
      <c r="A104" s="10" t="s">
        <v>250</v>
      </c>
      <c r="B104" s="10" t="s">
        <v>85</v>
      </c>
    </row>
    <row r="106" spans="1:2" ht="15" customHeight="1" x14ac:dyDescent="0.25">
      <c r="A106" s="11"/>
      <c r="B106" s="11" t="s">
        <v>251</v>
      </c>
    </row>
    <row r="107" spans="1:2" ht="15" customHeight="1" x14ac:dyDescent="0.25">
      <c r="A107" s="10" t="s">
        <v>252</v>
      </c>
      <c r="B107" s="10" t="s">
        <v>86</v>
      </c>
    </row>
    <row r="108" spans="1:2" ht="15" customHeight="1" x14ac:dyDescent="0.25">
      <c r="A108" s="10" t="s">
        <v>253</v>
      </c>
      <c r="B108" s="10" t="s">
        <v>1514</v>
      </c>
    </row>
    <row r="109" spans="1:2" ht="15" customHeight="1" x14ac:dyDescent="0.25">
      <c r="A109" s="10" t="s">
        <v>254</v>
      </c>
      <c r="B109" s="10" t="s">
        <v>87</v>
      </c>
    </row>
    <row r="110" spans="1:2" ht="15" customHeight="1" x14ac:dyDescent="0.25">
      <c r="A110" s="10" t="s">
        <v>255</v>
      </c>
      <c r="B110" s="10" t="s">
        <v>88</v>
      </c>
    </row>
    <row r="111" spans="1:2" ht="15" customHeight="1" x14ac:dyDescent="0.25">
      <c r="A111" s="10" t="s">
        <v>256</v>
      </c>
      <c r="B111" s="10" t="s">
        <v>89</v>
      </c>
    </row>
    <row r="112" spans="1:2" ht="15" customHeight="1" x14ac:dyDescent="0.25">
      <c r="A112" s="10" t="s">
        <v>257</v>
      </c>
      <c r="B112" s="10" t="s">
        <v>90</v>
      </c>
    </row>
  </sheetData>
  <sheetProtection algorithmName="SHA-512" hashValue="P3JBhCKzPp3lN8KkIjFS5N5uVngmyUsPfP2is90sTtWS2PSQOw644a0TuV4FK1As+xLgfzCQ4ydoa5SkCHdAmw==" saltValue="Nq8BLC7a5NAz2/JOzoX9HA==" spinCount="100000" sheet="1" objects="1" scenarios="1" formatCells="0"/>
  <pageMargins left="0.7" right="0.7" top="0.75" bottom="0.75" header="0.3" footer="0.3"/>
  <pageSetup scale="82" fitToHeight="0" orientation="portrait" r:id="rId1"/>
  <headerFooter>
    <oddFooter xml:space="preserve">&amp;LAugust 2017&amp;C
Module 3, Section C: Community Strategies List &amp;R
</oddFooter>
  </headerFooter>
  <rowBreaks count="2" manualBreakCount="2">
    <brk id="48" max="4" man="1"/>
    <brk id="76" max="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XML_Export_Map"/>
  <dimension ref="A1:U1090"/>
  <sheetViews>
    <sheetView topLeftCell="A701" workbookViewId="0">
      <selection activeCell="A735" sqref="A735:XFD735"/>
    </sheetView>
  </sheetViews>
  <sheetFormatPr defaultColWidth="9" defaultRowHeight="12.75" customHeight="1" x14ac:dyDescent="0.2"/>
  <cols>
    <col min="1" max="1" width="41.140625" style="13" customWidth="1"/>
    <col min="2" max="2" width="34" style="13" customWidth="1"/>
    <col min="3" max="3" width="25" style="13" customWidth="1"/>
    <col min="4" max="4" width="16.7109375" style="38" customWidth="1"/>
    <col min="5" max="5" width="14" style="38" customWidth="1"/>
    <col min="6" max="6" width="27" style="13" customWidth="1"/>
    <col min="7" max="7" width="16.7109375" style="38" customWidth="1"/>
    <col min="8" max="8" width="27.85546875" style="54" customWidth="1"/>
    <col min="9" max="9" width="15.28515625" style="13" customWidth="1"/>
    <col min="10" max="10" width="12.5703125" style="13" customWidth="1"/>
    <col min="11" max="19" width="9" style="13"/>
    <col min="20" max="20" width="15.28515625" style="13" customWidth="1"/>
    <col min="21" max="16384" width="9" style="13"/>
  </cols>
  <sheetData>
    <row r="1" spans="1:21" ht="12.75" customHeight="1" x14ac:dyDescent="0.2">
      <c r="H1" s="55"/>
      <c r="I1" s="46" t="s">
        <v>481</v>
      </c>
      <c r="T1" s="13" t="s">
        <v>1637</v>
      </c>
      <c r="U1" s="13" t="b">
        <f t="shared" ref="U1:U6" si="0">_xlfn.XLOOKUP(T1&amp;"TRUE",I:I,I:I,"")&lt;&gt;""</f>
        <v>0</v>
      </c>
    </row>
    <row r="2" spans="1:21" ht="12.75" customHeight="1" x14ac:dyDescent="0.25">
      <c r="A2" s="30" t="s">
        <v>277</v>
      </c>
      <c r="B2" s="30" t="s">
        <v>278</v>
      </c>
      <c r="C2" s="30" t="s">
        <v>279</v>
      </c>
      <c r="D2" s="30" t="s">
        <v>280</v>
      </c>
      <c r="E2" s="30" t="s">
        <v>281</v>
      </c>
      <c r="F2" s="30" t="s">
        <v>282</v>
      </c>
      <c r="G2" s="30" t="s">
        <v>298</v>
      </c>
      <c r="H2" s="56" t="s">
        <v>8</v>
      </c>
      <c r="I2" s="62" t="s">
        <v>621</v>
      </c>
      <c r="K2">
        <f ca="1">FIND("]",L2)</f>
        <v>36</v>
      </c>
      <c r="L2" t="str" cm="1">
        <f t="array" aca="1" ref="L2" ca="1">CELL("address",INDIRECT(B5))</f>
        <v>'[Module 3 SmartForm - 2024-25.xlsm]Status Form'!$C$4</v>
      </c>
      <c r="T2" s="13" t="s">
        <v>1636</v>
      </c>
      <c r="U2" s="13" t="b">
        <f t="shared" si="0"/>
        <v>0</v>
      </c>
    </row>
    <row r="3" spans="1:21" ht="12.75" customHeight="1" x14ac:dyDescent="0.2">
      <c r="A3" s="30"/>
      <c r="B3" s="30"/>
      <c r="F3" s="30"/>
      <c r="G3" s="30"/>
      <c r="H3" s="55"/>
      <c r="I3" s="44" t="s">
        <v>482</v>
      </c>
      <c r="T3" s="13" t="s">
        <v>1641</v>
      </c>
      <c r="U3" s="13" t="b">
        <f t="shared" si="0"/>
        <v>0</v>
      </c>
    </row>
    <row r="4" spans="1:21" ht="12.75" customHeight="1" x14ac:dyDescent="0.2">
      <c r="A4" s="49" t="s">
        <v>1511</v>
      </c>
      <c r="B4" s="130" t="s">
        <v>1605</v>
      </c>
      <c r="C4" s="121" t="s">
        <v>1542</v>
      </c>
      <c r="D4" s="51"/>
      <c r="E4" s="38" t="s">
        <v>284</v>
      </c>
      <c r="F4" s="108" t="s">
        <v>1605</v>
      </c>
      <c r="G4" s="38">
        <v>100</v>
      </c>
      <c r="H4" s="55"/>
      <c r="I4" s="44"/>
      <c r="T4" s="13" t="s">
        <v>1640</v>
      </c>
      <c r="U4" s="13" t="b">
        <f t="shared" si="0"/>
        <v>0</v>
      </c>
    </row>
    <row r="5" spans="1:21" ht="15" customHeight="1" x14ac:dyDescent="0.2">
      <c r="A5" s="49" t="s">
        <v>283</v>
      </c>
      <c r="B5" s="32" t="s">
        <v>304</v>
      </c>
      <c r="C5" s="32" t="str" cm="1">
        <f t="array" aca="1" ref="C5" ca="1">"'='" &amp; MID(CELL("address",INDIRECT(B5)),$K$2+1,100)</f>
        <v>'='Status Form'!$C$4</v>
      </c>
      <c r="D5" s="38" t="str">
        <f>M3StateName</f>
        <v>Alabama</v>
      </c>
      <c r="E5" s="34" t="s">
        <v>284</v>
      </c>
      <c r="F5" s="32" t="s">
        <v>304</v>
      </c>
      <c r="G5" s="33"/>
      <c r="H5" s="55"/>
      <c r="T5" s="13" t="s">
        <v>1639</v>
      </c>
      <c r="U5" s="13" t="b">
        <f t="shared" si="0"/>
        <v>0</v>
      </c>
    </row>
    <row r="6" spans="1:21" ht="15" customHeight="1" x14ac:dyDescent="0.2">
      <c r="A6" s="49" t="s">
        <v>285</v>
      </c>
      <c r="B6" s="32" t="s">
        <v>305</v>
      </c>
      <c r="C6" s="32" t="str" cm="1">
        <f t="array" aca="1" ref="C6" ca="1">"'='" &amp; MID(CELL("address",INDIRECT(B6)),$K$2+1,100)</f>
        <v>'='Status Form'!$C$3</v>
      </c>
      <c r="D6" s="38" t="str">
        <f>M3AgencyName</f>
        <v>Alabama Council on Human Relations, Inc.</v>
      </c>
      <c r="E6" s="34" t="s">
        <v>284</v>
      </c>
      <c r="F6" s="32" t="s">
        <v>305</v>
      </c>
      <c r="G6" s="33"/>
      <c r="H6" s="55"/>
      <c r="T6" s="13" t="s">
        <v>1638</v>
      </c>
      <c r="U6" s="13" t="b">
        <f t="shared" si="0"/>
        <v>0</v>
      </c>
    </row>
    <row r="7" spans="1:21" ht="15" customHeight="1" x14ac:dyDescent="0.25">
      <c r="A7" s="50" t="s">
        <v>484</v>
      </c>
      <c r="B7" s="109" t="s">
        <v>1130</v>
      </c>
      <c r="C7" s="121" t="s">
        <v>1600</v>
      </c>
      <c r="D7" s="51" t="s">
        <v>1598</v>
      </c>
      <c r="E7" s="34" t="s">
        <v>284</v>
      </c>
      <c r="F7" s="109" t="s">
        <v>1130</v>
      </c>
      <c r="G7" s="33"/>
      <c r="H7" s="55"/>
      <c r="T7"/>
    </row>
    <row r="8" spans="1:21" ht="15" customHeight="1" x14ac:dyDescent="0.25">
      <c r="A8" s="50" t="s">
        <v>485</v>
      </c>
      <c r="B8" s="109" t="s">
        <v>1131</v>
      </c>
      <c r="C8" s="121" t="s">
        <v>1601</v>
      </c>
      <c r="D8" s="51" t="s">
        <v>1599</v>
      </c>
      <c r="E8" s="34" t="s">
        <v>284</v>
      </c>
      <c r="F8" s="109" t="s">
        <v>1131</v>
      </c>
      <c r="G8" s="33"/>
      <c r="H8" s="55"/>
      <c r="T8"/>
    </row>
    <row r="9" spans="1:21" ht="15" customHeight="1" x14ac:dyDescent="0.25">
      <c r="A9" s="50" t="s">
        <v>1607</v>
      </c>
      <c r="B9" s="32" t="s">
        <v>1608</v>
      </c>
      <c r="C9" s="32" t="str" cm="1">
        <f t="array" aca="1" ref="C9" ca="1">"'='" &amp; MID(CELL("address",INDIRECT(B9)),$K$2+1,100)</f>
        <v>'='Status Form'!$E$4</v>
      </c>
      <c r="D9" s="38" t="str" cm="1">
        <f t="array" ref="D9">M3UEI</f>
        <v>183860386</v>
      </c>
      <c r="E9" s="34" t="s">
        <v>284</v>
      </c>
      <c r="F9" s="109" t="s">
        <v>1608</v>
      </c>
      <c r="G9" s="33"/>
      <c r="H9" s="55"/>
      <c r="I9" s="52"/>
      <c r="T9"/>
    </row>
    <row r="10" spans="1:21" ht="15" customHeight="1" x14ac:dyDescent="0.25">
      <c r="A10" s="50" t="s">
        <v>486</v>
      </c>
      <c r="B10" s="109" t="s">
        <v>1132</v>
      </c>
      <c r="C10" s="121" t="s">
        <v>1602</v>
      </c>
      <c r="D10" s="51"/>
      <c r="E10" s="34" t="s">
        <v>483</v>
      </c>
      <c r="F10" s="109" t="s">
        <v>1132</v>
      </c>
      <c r="G10" s="33"/>
      <c r="H10" s="55" t="s">
        <v>490</v>
      </c>
      <c r="T10"/>
    </row>
    <row r="11" spans="1:21" ht="15" customHeight="1" x14ac:dyDescent="0.25">
      <c r="A11" s="50" t="s">
        <v>487</v>
      </c>
      <c r="B11" s="109" t="s">
        <v>1133</v>
      </c>
      <c r="C11" s="121" t="s">
        <v>1603</v>
      </c>
      <c r="D11" s="51"/>
      <c r="E11" s="34" t="s">
        <v>483</v>
      </c>
      <c r="F11" s="109" t="s">
        <v>1133</v>
      </c>
      <c r="G11" s="33"/>
      <c r="H11" s="55" t="s">
        <v>490</v>
      </c>
      <c r="T11"/>
    </row>
    <row r="12" spans="1:21" ht="15" customHeight="1" x14ac:dyDescent="0.25">
      <c r="A12" s="50" t="s">
        <v>488</v>
      </c>
      <c r="B12" s="109" t="s">
        <v>1134</v>
      </c>
      <c r="C12" s="121" t="s">
        <v>1604</v>
      </c>
      <c r="D12" s="51"/>
      <c r="E12" s="34" t="s">
        <v>284</v>
      </c>
      <c r="F12" s="109" t="s">
        <v>1134</v>
      </c>
      <c r="G12" s="33"/>
      <c r="H12" s="55"/>
      <c r="T12"/>
    </row>
    <row r="13" spans="1:21" ht="15" customHeight="1" x14ac:dyDescent="0.25">
      <c r="A13" s="50" t="s">
        <v>489</v>
      </c>
      <c r="B13" s="41"/>
      <c r="C13" s="41"/>
      <c r="D13" s="48" t="b">
        <v>1</v>
      </c>
      <c r="E13" s="33" t="s">
        <v>286</v>
      </c>
      <c r="F13" s="109" t="s">
        <v>1135</v>
      </c>
      <c r="G13" s="33"/>
      <c r="H13" s="55"/>
      <c r="T13"/>
    </row>
    <row r="14" spans="1:21" ht="15" customHeight="1" x14ac:dyDescent="0.25">
      <c r="A14" s="13" t="s">
        <v>258</v>
      </c>
      <c r="B14" s="13" t="s">
        <v>914</v>
      </c>
      <c r="C14" s="32" t="str" cm="1">
        <f t="array" aca="1" ref="C14" ca="1">"'='" &amp; MID(CELL("address",INDIRECT(B14)),$K$2+1,100)</f>
        <v>'='Status Form'!$C$10</v>
      </c>
      <c r="D14" s="33" t="str">
        <f>M3A1InitiativeName</f>
        <v>Enter initiative name.</v>
      </c>
      <c r="E14" s="34" t="s">
        <v>320</v>
      </c>
      <c r="F14" s="13" t="s">
        <v>914</v>
      </c>
      <c r="G14" s="38">
        <v>500</v>
      </c>
      <c r="H14" s="55"/>
      <c r="T14"/>
    </row>
    <row r="15" spans="1:21" ht="15" customHeight="1" x14ac:dyDescent="0.25">
      <c r="A15" s="31" t="s">
        <v>299</v>
      </c>
      <c r="B15" s="13" t="s">
        <v>915</v>
      </c>
      <c r="C15" s="32" t="str" cm="1">
        <f t="array" aca="1" ref="C15" ca="1">"'='" &amp; MID(CELL("address",INDIRECT(B15)),$K$2+1,100)</f>
        <v>'='Status Form'!$C$11</v>
      </c>
      <c r="D15" s="33" t="str">
        <f>M3A2InitiativeYear</f>
        <v>Select the Initiative Year</v>
      </c>
      <c r="E15" s="34" t="s">
        <v>389</v>
      </c>
      <c r="F15" s="32" t="s">
        <v>915</v>
      </c>
      <c r="G15" s="33"/>
      <c r="H15" s="55"/>
      <c r="T15"/>
    </row>
    <row r="16" spans="1:21" ht="15" customHeight="1" x14ac:dyDescent="0.25">
      <c r="A16" s="31" t="s">
        <v>261</v>
      </c>
      <c r="B16" s="13" t="s">
        <v>916</v>
      </c>
      <c r="C16" s="32" t="str" cm="1">
        <f t="array" aca="1" ref="C16" ca="1">"'='" &amp; MID(CELL("address",INDIRECT(B16)),$K$2+1,100)</f>
        <v>'='Status Form'!$C$12</v>
      </c>
      <c r="D16" s="33">
        <f>M3A3ProblemID</f>
        <v>0</v>
      </c>
      <c r="E16" s="34" t="s">
        <v>320</v>
      </c>
      <c r="F16" s="32" t="s">
        <v>916</v>
      </c>
      <c r="G16" s="33">
        <v>5000</v>
      </c>
      <c r="H16" s="55"/>
      <c r="J16" s="35"/>
      <c r="T16"/>
    </row>
    <row r="17" spans="1:20" ht="15" customHeight="1" x14ac:dyDescent="0.25">
      <c r="A17" s="31" t="s">
        <v>300</v>
      </c>
      <c r="B17" s="13" t="s">
        <v>306</v>
      </c>
      <c r="C17" s="32" t="str" cm="1">
        <f t="array" aca="1" ref="C17" ca="1">"'='" &amp; MID(CELL("address",INDIRECT(B17)),$K$2+1,100)</f>
        <v>'='Status Form'!$C$13</v>
      </c>
      <c r="D17" s="33" t="str">
        <f>M3A4Goal</f>
        <v>Provide a narrative of the initiative’s overall goal.</v>
      </c>
      <c r="E17" s="34" t="s">
        <v>320</v>
      </c>
      <c r="F17" s="32" t="s">
        <v>306</v>
      </c>
      <c r="G17" s="33">
        <v>5000</v>
      </c>
      <c r="H17" s="55"/>
      <c r="T17"/>
    </row>
    <row r="18" spans="1:20" ht="12.75" customHeight="1" x14ac:dyDescent="0.25">
      <c r="A18" s="13" t="s">
        <v>262</v>
      </c>
      <c r="B18" s="41"/>
      <c r="C18" s="41"/>
      <c r="D18" s="41"/>
      <c r="E18" s="41"/>
      <c r="F18" s="41"/>
      <c r="G18" s="41"/>
      <c r="H18" s="41"/>
      <c r="T18"/>
    </row>
    <row r="19" spans="1:20" ht="12.75" customHeight="1" x14ac:dyDescent="0.25">
      <c r="A19" s="40" t="s">
        <v>337</v>
      </c>
      <c r="B19" s="63" t="s">
        <v>337</v>
      </c>
      <c r="C19" s="41"/>
      <c r="D19" s="48" t="b">
        <v>0</v>
      </c>
      <c r="E19" s="33" t="s">
        <v>286</v>
      </c>
      <c r="F19" s="13" t="s">
        <v>1225</v>
      </c>
      <c r="H19" s="55"/>
      <c r="T19"/>
    </row>
    <row r="20" spans="1:20" ht="12.75" customHeight="1" x14ac:dyDescent="0.25">
      <c r="A20" s="40" t="s">
        <v>338</v>
      </c>
      <c r="B20" s="63" t="s">
        <v>338</v>
      </c>
      <c r="C20" s="41"/>
      <c r="D20" s="48" t="b">
        <v>0</v>
      </c>
      <c r="E20" s="33" t="s">
        <v>286</v>
      </c>
      <c r="F20" s="13" t="s">
        <v>918</v>
      </c>
      <c r="H20" s="55"/>
      <c r="T20"/>
    </row>
    <row r="21" spans="1:20" ht="12.75" customHeight="1" x14ac:dyDescent="0.25">
      <c r="A21" s="40" t="s">
        <v>339</v>
      </c>
      <c r="B21" s="63" t="s">
        <v>339</v>
      </c>
      <c r="C21" s="41"/>
      <c r="D21" s="48" t="b">
        <v>1</v>
      </c>
      <c r="E21" s="33" t="s">
        <v>286</v>
      </c>
      <c r="F21" s="13" t="s">
        <v>917</v>
      </c>
      <c r="H21" s="55"/>
      <c r="T21"/>
    </row>
    <row r="22" spans="1:20" ht="12.75" customHeight="1" x14ac:dyDescent="0.25">
      <c r="A22" s="40" t="s">
        <v>340</v>
      </c>
      <c r="B22" s="63" t="s">
        <v>340</v>
      </c>
      <c r="C22" s="41"/>
      <c r="D22" s="48" t="b">
        <v>1</v>
      </c>
      <c r="E22" s="33" t="s">
        <v>286</v>
      </c>
      <c r="F22" s="13" t="s">
        <v>920</v>
      </c>
      <c r="H22" s="55"/>
      <c r="T22"/>
    </row>
    <row r="23" spans="1:20" ht="12.75" customHeight="1" x14ac:dyDescent="0.25">
      <c r="A23" s="40" t="s">
        <v>341</v>
      </c>
      <c r="B23" s="63" t="s">
        <v>341</v>
      </c>
      <c r="C23" s="41"/>
      <c r="D23" s="48" t="b">
        <v>0</v>
      </c>
      <c r="E23" s="33" t="s">
        <v>286</v>
      </c>
      <c r="F23" s="13" t="s">
        <v>919</v>
      </c>
      <c r="H23" s="55"/>
      <c r="T23"/>
    </row>
    <row r="24" spans="1:20" ht="12.75" customHeight="1" x14ac:dyDescent="0.25">
      <c r="A24" s="40" t="s">
        <v>342</v>
      </c>
      <c r="B24" s="63" t="s">
        <v>342</v>
      </c>
      <c r="C24" s="41"/>
      <c r="D24" s="48" t="b">
        <v>0</v>
      </c>
      <c r="E24" s="33" t="s">
        <v>286</v>
      </c>
      <c r="F24" s="13" t="s">
        <v>1082</v>
      </c>
      <c r="H24" s="55"/>
      <c r="T24"/>
    </row>
    <row r="25" spans="1:20" ht="12.75" customHeight="1" x14ac:dyDescent="0.25">
      <c r="A25" s="13" t="s">
        <v>263</v>
      </c>
      <c r="B25" s="63" t="s">
        <v>343</v>
      </c>
      <c r="C25" s="32" t="str" cm="1">
        <f t="array" aca="1" ref="C25" ca="1">"'='" &amp; MID(CELL("address",INDIRECT(B25)),$K$2+1,100)</f>
        <v>'='Status Form'!$C$15</v>
      </c>
      <c r="D25" s="41"/>
      <c r="E25" s="41"/>
      <c r="F25" s="41"/>
      <c r="G25" s="41"/>
      <c r="H25" s="41"/>
      <c r="J25"/>
      <c r="T25"/>
    </row>
    <row r="26" spans="1:20" ht="12.75" customHeight="1" x14ac:dyDescent="0.25">
      <c r="A26" s="13" t="s">
        <v>264</v>
      </c>
      <c r="B26" s="13" t="s">
        <v>322</v>
      </c>
      <c r="C26" s="32" t="str" cm="1">
        <f t="array" aca="1" ref="C26" ca="1">"'='" &amp; MID(CELL("address",INDIRECT(B26)),$K$2+1,100)</f>
        <v>'='Status Form'!$C$16</v>
      </c>
      <c r="D26" s="38" t="str">
        <f>M3A7Community</f>
        <v>Select the Identified Community</v>
      </c>
      <c r="E26" s="34" t="s">
        <v>389</v>
      </c>
      <c r="F26" s="13" t="s">
        <v>322</v>
      </c>
      <c r="H26" s="55"/>
      <c r="T26"/>
    </row>
    <row r="27" spans="1:20" ht="12.75" customHeight="1" x14ac:dyDescent="0.25">
      <c r="A27" s="36" t="s">
        <v>303</v>
      </c>
      <c r="B27" s="13" t="s">
        <v>344</v>
      </c>
      <c r="C27" s="32" t="str" cm="1">
        <f t="array" aca="1" ref="C27" ca="1">"'='" &amp; MID(CELL("address",INDIRECT(B27)),$K$2+1,100)</f>
        <v>'='Status Form'!$D$17</v>
      </c>
      <c r="D27" s="38">
        <f>M3A7CommunityOther</f>
        <v>0</v>
      </c>
      <c r="E27" s="38" t="s">
        <v>284</v>
      </c>
      <c r="F27" s="13" t="s">
        <v>344</v>
      </c>
      <c r="G27" s="38">
        <v>1000</v>
      </c>
      <c r="H27" s="55"/>
      <c r="T27"/>
    </row>
    <row r="28" spans="1:20" ht="12.75" customHeight="1" x14ac:dyDescent="0.25">
      <c r="A28" s="36" t="s">
        <v>491</v>
      </c>
      <c r="B28" s="13" t="s">
        <v>492</v>
      </c>
      <c r="C28" s="32" t="str" cm="1">
        <f t="array" aca="1" ref="C28" ca="1">"'='" &amp; MID(CELL("address",INDIRECT(B28)),$K$2+1,100)</f>
        <v>'='Status Form'!$C$18</v>
      </c>
      <c r="D28" s="38" t="str">
        <f>M3A8Duration</f>
        <v xml:space="preserve">Enter the number of years that the initiative is expected to operate. </v>
      </c>
      <c r="E28" s="34" t="s">
        <v>320</v>
      </c>
      <c r="F28" s="13" t="s">
        <v>492</v>
      </c>
      <c r="G28" s="38">
        <v>5000</v>
      </c>
      <c r="H28" s="55"/>
      <c r="T28"/>
    </row>
    <row r="29" spans="1:20" ht="12.75" customHeight="1" x14ac:dyDescent="0.25">
      <c r="A29" s="13" t="s">
        <v>266</v>
      </c>
      <c r="B29" s="13" t="s">
        <v>1136</v>
      </c>
      <c r="C29" s="32" t="str" cm="1">
        <f t="array" aca="1" ref="C29" ca="1">"'='" &amp; MID(CELL("address",INDIRECT(B29)),$K$2+1,100)</f>
        <v>'='Status Form'!$C$19</v>
      </c>
      <c r="D29" s="38" t="str">
        <f>M3A9PartnerType</f>
        <v>Select the Partnership Type</v>
      </c>
      <c r="E29" s="34" t="s">
        <v>389</v>
      </c>
      <c r="F29" s="13" t="s">
        <v>1136</v>
      </c>
      <c r="H29" s="55"/>
      <c r="T29"/>
    </row>
    <row r="30" spans="1:20" ht="12.75" customHeight="1" x14ac:dyDescent="0.25">
      <c r="A30" s="13" t="s">
        <v>301</v>
      </c>
      <c r="B30" s="13" t="s">
        <v>308</v>
      </c>
      <c r="C30" s="32" t="str" cm="1">
        <f t="array" aca="1" ref="C30" ca="1">"'='" &amp; MID(CELL("address",INDIRECT(B30)),$K$2+1,100)</f>
        <v>'='Status Form'!$C$20</v>
      </c>
      <c r="D30" s="38" t="str">
        <f>M3A10Partners</f>
        <v>Provide a brief narrative on 1 – 3 partners.</v>
      </c>
      <c r="E30" s="34" t="s">
        <v>320</v>
      </c>
      <c r="F30" s="13" t="s">
        <v>308</v>
      </c>
      <c r="G30" s="38">
        <v>5000</v>
      </c>
      <c r="H30" s="55"/>
      <c r="T30"/>
    </row>
    <row r="31" spans="1:20" ht="12.75" customHeight="1" x14ac:dyDescent="0.25">
      <c r="A31" s="13" t="s">
        <v>302</v>
      </c>
      <c r="B31" s="63" t="s">
        <v>388</v>
      </c>
      <c r="C31" s="32" t="str" cm="1">
        <f t="array" aca="1" ref="C31" ca="1">"'='" &amp; MID(CELL("address",INDIRECT(B31)),$K$2+1,100)</f>
        <v>'='Status Form'!$C$21</v>
      </c>
      <c r="D31" s="41"/>
      <c r="E31" s="41"/>
      <c r="F31" s="41"/>
      <c r="G31" s="41"/>
      <c r="H31" s="41"/>
      <c r="T31"/>
    </row>
    <row r="32" spans="1:20" ht="12.75" customHeight="1" x14ac:dyDescent="0.25">
      <c r="A32" s="13" t="s">
        <v>269</v>
      </c>
      <c r="B32" s="13" t="s">
        <v>321</v>
      </c>
      <c r="C32" s="32" t="str" cm="1">
        <f t="array" aca="1" ref="C32" ca="1">"'='" &amp; MID(CELL("address",INDIRECT(B32)),$K$2+1,100)</f>
        <v>'='Status Form'!$C$22</v>
      </c>
      <c r="D32" s="38" t="str">
        <f>M3A12Progress</f>
        <v>Select the Progress on Outcomes/Indicators</v>
      </c>
      <c r="E32" s="34" t="s">
        <v>389</v>
      </c>
      <c r="F32" s="13" t="s">
        <v>321</v>
      </c>
      <c r="H32" s="55"/>
      <c r="T32"/>
    </row>
    <row r="33" spans="1:20" ht="12.75" customHeight="1" x14ac:dyDescent="0.25">
      <c r="A33" s="13" t="s">
        <v>270</v>
      </c>
      <c r="B33" s="13" t="s">
        <v>309</v>
      </c>
      <c r="C33" s="32" t="str" cm="1">
        <f t="array" aca="1" ref="C33" ca="1">"'='" &amp; MID(CELL("address",INDIRECT(B33)),$K$2+1,100)</f>
        <v>'='Status Form'!$C$23</v>
      </c>
      <c r="D33" s="38" t="str">
        <f>M3A13Impact</f>
        <v>Provide a narrative on the outcomes’ scope of impact if interim or final outcomes are reported.</v>
      </c>
      <c r="E33" s="34" t="s">
        <v>320</v>
      </c>
      <c r="F33" s="13" t="s">
        <v>309</v>
      </c>
      <c r="G33" s="38">
        <v>5000</v>
      </c>
      <c r="H33" s="55"/>
      <c r="T33"/>
    </row>
    <row r="34" spans="1:20" ht="12.75" customHeight="1" x14ac:dyDescent="0.25">
      <c r="A34" s="13" t="s">
        <v>271</v>
      </c>
      <c r="B34" s="63" t="s">
        <v>1118</v>
      </c>
      <c r="C34" s="32" t="str" cm="1">
        <f t="array" aca="1" ref="C34" ca="1">"'='" &amp; MID(CELL("address",INDIRECT(B34)),$K$2+1,100)</f>
        <v>'='Status Form'!$C$24</v>
      </c>
      <c r="D34" s="41"/>
      <c r="E34" s="41"/>
      <c r="F34" s="41"/>
      <c r="G34" s="41"/>
      <c r="H34" s="41"/>
      <c r="T34"/>
    </row>
    <row r="35" spans="1:20" ht="12.75" customHeight="1" x14ac:dyDescent="0.25">
      <c r="A35" s="13" t="s">
        <v>272</v>
      </c>
      <c r="B35" s="13" t="s">
        <v>332</v>
      </c>
      <c r="C35" s="32" t="str" cm="1">
        <f t="array" aca="1" ref="C35" ca="1">"'='" &amp; MID(CELL("address",INDIRECT(B35)),$K$2+1,100)</f>
        <v>'='Status Form'!$C$25</v>
      </c>
      <c r="D35" s="38" t="str">
        <f>M3A15Status</f>
        <v>Select the Final Status</v>
      </c>
      <c r="E35" s="34" t="s">
        <v>389</v>
      </c>
      <c r="F35" s="13" t="s">
        <v>332</v>
      </c>
      <c r="H35" s="55"/>
      <c r="T35"/>
    </row>
    <row r="36" spans="1:20" ht="12.75" customHeight="1" x14ac:dyDescent="0.25">
      <c r="A36" s="13" t="s">
        <v>273</v>
      </c>
      <c r="B36" s="13" t="s">
        <v>307</v>
      </c>
      <c r="C36" s="32" t="str" cm="1">
        <f t="array" aca="1" ref="C36" ca="1">"'='" &amp; MID(CELL("address",INDIRECT(B36)),$K$2+1,100)</f>
        <v>'='Status Form'!$C$26</v>
      </c>
      <c r="D36" s="38" t="str">
        <f>M3A16Lessons</f>
        <v>Provide a narrative on any lessons learned during the implementation of the initiative.</v>
      </c>
      <c r="E36" s="34" t="s">
        <v>320</v>
      </c>
      <c r="F36" s="13" t="s">
        <v>307</v>
      </c>
      <c r="G36" s="38">
        <v>5000</v>
      </c>
      <c r="H36" s="55"/>
      <c r="T36"/>
    </row>
    <row r="37" spans="1:20" ht="12.75" customHeight="1" x14ac:dyDescent="0.25">
      <c r="A37" s="13" t="s">
        <v>1548</v>
      </c>
      <c r="B37" s="13" t="s">
        <v>1549</v>
      </c>
      <c r="C37" s="32" t="str" cm="1">
        <f t="array" aca="1" ref="C37" ca="1">"'='" &amp; MID(CELL("address",INDIRECT(B37)),$K$2+1,100)</f>
        <v>'='Lookups'!$N$35</v>
      </c>
      <c r="D37" s="38">
        <f>M3IncludesCSBGFunds</f>
        <v>0</v>
      </c>
      <c r="E37" s="38" t="s">
        <v>284</v>
      </c>
      <c r="F37" s="13" t="s">
        <v>1549</v>
      </c>
      <c r="H37" s="55"/>
      <c r="T37"/>
    </row>
    <row r="38" spans="1:20" ht="12.75" customHeight="1" x14ac:dyDescent="0.25">
      <c r="A38" s="13" t="s">
        <v>1550</v>
      </c>
      <c r="B38" s="13" t="s">
        <v>1553</v>
      </c>
      <c r="C38" s="32" t="str" cm="1">
        <f t="array" aca="1" ref="C38" ca="1">"'='" &amp; MID(CELL("address",INDIRECT(B38)),$K$2+1,100)</f>
        <v>'='Lookups'!$N$33</v>
      </c>
      <c r="D38" s="38">
        <f>M3IncludesCSBGCares</f>
        <v>0</v>
      </c>
      <c r="E38" s="38" t="s">
        <v>284</v>
      </c>
      <c r="F38" s="13" t="s">
        <v>1553</v>
      </c>
      <c r="H38" s="55"/>
      <c r="T38"/>
    </row>
    <row r="39" spans="1:20" ht="12.75" customHeight="1" x14ac:dyDescent="0.25">
      <c r="A39" s="13" t="s">
        <v>1551</v>
      </c>
      <c r="B39" s="13" t="s">
        <v>1554</v>
      </c>
      <c r="C39" s="32" t="str" cm="1">
        <f t="array" aca="1" ref="C39" ca="1">"'='" &amp; MID(CELL("address",INDIRECT(B39)),$K$2+1,100)</f>
        <v>'='Lookups'!$N$35</v>
      </c>
      <c r="D39" s="38">
        <f>M3IncludesCSBGDisaster</f>
        <v>0</v>
      </c>
      <c r="E39" s="38" t="s">
        <v>284</v>
      </c>
      <c r="F39" s="13" t="s">
        <v>1554</v>
      </c>
      <c r="H39" s="55"/>
      <c r="T39"/>
    </row>
    <row r="40" spans="1:20" ht="12.75" customHeight="1" x14ac:dyDescent="0.25">
      <c r="A40" s="13" t="s">
        <v>1552</v>
      </c>
      <c r="B40" s="13" t="s">
        <v>1555</v>
      </c>
      <c r="C40" s="32" t="str" cm="1">
        <f t="array" aca="1" ref="C40" ca="1">"'='" &amp; MID(CELL("address",INDIRECT(B40)),$K$2+1,100)</f>
        <v>'='Status Form'!$C$8</v>
      </c>
      <c r="D40" s="38" t="str">
        <f>M3ReportingStatus</f>
        <v>Select the Reporting Status</v>
      </c>
      <c r="E40" s="38" t="s">
        <v>284</v>
      </c>
      <c r="F40" s="13" t="s">
        <v>1555</v>
      </c>
      <c r="H40" s="55"/>
      <c r="T40"/>
    </row>
    <row r="41" spans="1:20" ht="12.75" customHeight="1" x14ac:dyDescent="0.25">
      <c r="A41" t="s">
        <v>622</v>
      </c>
      <c r="B41" t="s">
        <v>622</v>
      </c>
      <c r="C41" s="32" t="str" cm="1">
        <f t="array" aca="1" ref="C41" ca="1">"'='" &amp; MID(CELL("address",INDIRECT(B41)),$K$2+1,100)</f>
        <v>'='CNPIs Education'!$J$9</v>
      </c>
      <c r="D41" s="38">
        <f>M3B2aPreSchoolTarget</f>
        <v>0</v>
      </c>
      <c r="E41" s="38" t="s">
        <v>493</v>
      </c>
      <c r="F41" s="110" t="s">
        <v>622</v>
      </c>
      <c r="H41" s="55"/>
      <c r="I41" s="13" t="str">
        <f>LEFT(A41,4) &amp; AND(D41&lt;&gt;"",D41&lt;&gt;0)</f>
        <v>M3B2FALSE</v>
      </c>
      <c r="T41"/>
    </row>
    <row r="42" spans="1:20" ht="12.75" customHeight="1" x14ac:dyDescent="0.25">
      <c r="A42" t="s">
        <v>623</v>
      </c>
      <c r="B42" t="s">
        <v>623</v>
      </c>
      <c r="C42" s="32" t="str" cm="1">
        <f t="array" aca="1" ref="C42" ca="1">"'='" &amp; MID(CELL("address",INDIRECT(B42)),$K$2+1,100)</f>
        <v>'='CNPIs Education'!$K$9</v>
      </c>
      <c r="D42" s="38">
        <f>M3B2aPreSchoolResults</f>
        <v>0</v>
      </c>
      <c r="E42" s="38" t="s">
        <v>493</v>
      </c>
      <c r="F42" s="110" t="s">
        <v>623</v>
      </c>
      <c r="H42" s="55"/>
      <c r="I42" s="13" t="str">
        <f t="shared" ref="I42:I105" si="1">LEFT(A42,4) &amp; AND(D42&lt;&gt;"",D42&lt;&gt;0)</f>
        <v>M3B2FALSE</v>
      </c>
      <c r="T42"/>
    </row>
    <row r="43" spans="1:20" ht="12.75" customHeight="1" x14ac:dyDescent="0.25">
      <c r="A43" s="13" t="s">
        <v>1295</v>
      </c>
      <c r="B43" s="13" t="s">
        <v>1295</v>
      </c>
      <c r="C43" s="32" t="str" cm="1">
        <f t="array" aca="1" ref="C43" ca="1">"'='" &amp; MID(CELL("address",INDIRECT(B43)),$K$2+1,100)</f>
        <v>'='CNPIs Education'!$L$9</v>
      </c>
      <c r="D43" s="38" t="str">
        <f>M3B2aPreSchoolAccuracy</f>
        <v/>
      </c>
      <c r="E43" s="38" t="s">
        <v>493</v>
      </c>
      <c r="F43" s="13" t="s">
        <v>1295</v>
      </c>
      <c r="I43" s="13" t="str">
        <f t="shared" si="1"/>
        <v>M3B2FALSE</v>
      </c>
      <c r="T43"/>
    </row>
    <row r="44" spans="1:20" ht="12.75" customHeight="1" x14ac:dyDescent="0.25">
      <c r="A44" t="s">
        <v>624</v>
      </c>
      <c r="B44" t="s">
        <v>624</v>
      </c>
      <c r="C44" s="32" t="str" cm="1">
        <f t="array" aca="1" ref="C44" ca="1">"'='" &amp; MID(CELL("address",INDIRECT(B44)),$K$2+1,100)</f>
        <v>'='CNPIs Education'!$J$10</v>
      </c>
      <c r="D44" s="38">
        <f>M3B2bAffordCareTarget</f>
        <v>0</v>
      </c>
      <c r="E44" s="38" t="s">
        <v>493</v>
      </c>
      <c r="F44" s="110" t="s">
        <v>624</v>
      </c>
      <c r="H44" s="55"/>
      <c r="I44" s="13" t="str">
        <f t="shared" si="1"/>
        <v>M3B2FALSE</v>
      </c>
      <c r="T44"/>
    </row>
    <row r="45" spans="1:20" ht="12.75" customHeight="1" x14ac:dyDescent="0.25">
      <c r="A45" t="s">
        <v>625</v>
      </c>
      <c r="B45" t="s">
        <v>625</v>
      </c>
      <c r="C45" s="32" t="str" cm="1">
        <f t="array" aca="1" ref="C45" ca="1">"'='" &amp; MID(CELL("address",INDIRECT(B45)),$K$2+1,100)</f>
        <v>'='CNPIs Education'!$K$10</v>
      </c>
      <c r="D45" s="38">
        <f>M3B2bAffordCareResults</f>
        <v>0</v>
      </c>
      <c r="E45" s="38" t="s">
        <v>493</v>
      </c>
      <c r="F45" s="110" t="s">
        <v>625</v>
      </c>
      <c r="H45" s="55"/>
      <c r="I45" s="13" t="str">
        <f t="shared" si="1"/>
        <v>M3B2FALSE</v>
      </c>
      <c r="T45"/>
    </row>
    <row r="46" spans="1:20" ht="12.75" customHeight="1" x14ac:dyDescent="0.25">
      <c r="A46" s="13" t="s">
        <v>1296</v>
      </c>
      <c r="B46" s="13" t="s">
        <v>1296</v>
      </c>
      <c r="C46" s="32" t="str" cm="1">
        <f t="array" aca="1" ref="C46" ca="1">"'='" &amp; MID(CELL("address",INDIRECT(B46)),$K$2+1,100)</f>
        <v>'='CNPIs Education'!$L$10</v>
      </c>
      <c r="D46" s="38" t="str">
        <f>M3B2bAffordCareAccuracy</f>
        <v/>
      </c>
      <c r="E46" s="38" t="s">
        <v>493</v>
      </c>
      <c r="F46" s="13" t="s">
        <v>1296</v>
      </c>
      <c r="I46" s="13" t="str">
        <f t="shared" si="1"/>
        <v>M3B2FALSE</v>
      </c>
      <c r="T46"/>
    </row>
    <row r="47" spans="1:20" ht="12.75" customHeight="1" x14ac:dyDescent="0.25">
      <c r="A47" t="s">
        <v>626</v>
      </c>
      <c r="B47" t="s">
        <v>626</v>
      </c>
      <c r="C47" s="32" t="str" cm="1">
        <f t="array" aca="1" ref="C47" ca="1">"'='" &amp; MID(CELL("address",INDIRECT(B47)),$K$2+1,100)</f>
        <v>'='CNPIs Education'!$J$11</v>
      </c>
      <c r="D47" s="38">
        <f>M3B2cScreeningsTarget</f>
        <v>0</v>
      </c>
      <c r="E47" s="38" t="s">
        <v>493</v>
      </c>
      <c r="F47" s="110" t="s">
        <v>626</v>
      </c>
      <c r="H47" s="55"/>
      <c r="I47" s="13" t="str">
        <f t="shared" si="1"/>
        <v>M3B2FALSE</v>
      </c>
      <c r="T47"/>
    </row>
    <row r="48" spans="1:20" ht="12.75" customHeight="1" x14ac:dyDescent="0.25">
      <c r="A48" t="s">
        <v>627</v>
      </c>
      <c r="B48" t="s">
        <v>627</v>
      </c>
      <c r="C48" s="32" t="str" cm="1">
        <f t="array" aca="1" ref="C48" ca="1">"'='" &amp; MID(CELL("address",INDIRECT(B48)),$K$2+1,100)</f>
        <v>'='CNPIs Education'!$K$11</v>
      </c>
      <c r="D48" s="38">
        <f>M3B2cScreeningsResults</f>
        <v>0</v>
      </c>
      <c r="E48" s="38" t="s">
        <v>493</v>
      </c>
      <c r="F48" s="110" t="s">
        <v>627</v>
      </c>
      <c r="H48" s="55"/>
      <c r="I48" s="13" t="str">
        <f t="shared" si="1"/>
        <v>M3B2FALSE</v>
      </c>
      <c r="T48"/>
    </row>
    <row r="49" spans="1:20" ht="12.75" customHeight="1" x14ac:dyDescent="0.25">
      <c r="A49" s="13" t="s">
        <v>1297</v>
      </c>
      <c r="B49" s="13" t="s">
        <v>1297</v>
      </c>
      <c r="C49" s="32" t="str" cm="1">
        <f t="array" aca="1" ref="C49" ca="1">"'='" &amp; MID(CELL("address",INDIRECT(B49)),$K$2+1,100)</f>
        <v>'='CNPIs Education'!$L$11</v>
      </c>
      <c r="D49" s="38" t="str">
        <f>M3B2cScreeningsAccuracy</f>
        <v/>
      </c>
      <c r="E49" s="38" t="s">
        <v>493</v>
      </c>
      <c r="F49" s="13" t="s">
        <v>1297</v>
      </c>
      <c r="I49" s="13" t="str">
        <f t="shared" si="1"/>
        <v>M3B2FALSE</v>
      </c>
      <c r="T49"/>
    </row>
    <row r="50" spans="1:20" ht="12.75" customHeight="1" x14ac:dyDescent="0.25">
      <c r="A50" t="s">
        <v>628</v>
      </c>
      <c r="B50" t="s">
        <v>628</v>
      </c>
      <c r="C50" s="32" t="str" cm="1">
        <f t="array" aca="1" ref="C50" ca="1">"'='" &amp; MID(CELL("address",INDIRECT(B50)),$K$2+1,100)</f>
        <v>'='CNPIs Education'!$J$12</v>
      </c>
      <c r="D50" s="38">
        <f>M3B2dSchoolAgeTarget</f>
        <v>0</v>
      </c>
      <c r="E50" s="38" t="s">
        <v>493</v>
      </c>
      <c r="F50" s="110" t="s">
        <v>628</v>
      </c>
      <c r="H50" s="55"/>
      <c r="I50" s="13" t="str">
        <f t="shared" si="1"/>
        <v>M3B2FALSE</v>
      </c>
      <c r="T50"/>
    </row>
    <row r="51" spans="1:20" ht="12.75" customHeight="1" x14ac:dyDescent="0.25">
      <c r="A51" t="s">
        <v>629</v>
      </c>
      <c r="B51" t="s">
        <v>629</v>
      </c>
      <c r="C51" s="32" t="str" cm="1">
        <f t="array" aca="1" ref="C51" ca="1">"'='" &amp; MID(CELL("address",INDIRECT(B51)),$K$2+1,100)</f>
        <v>'='CNPIs Education'!$K$12</v>
      </c>
      <c r="D51" s="38">
        <f>M3B2dSchoolAgeResults</f>
        <v>0</v>
      </c>
      <c r="E51" s="38" t="s">
        <v>493</v>
      </c>
      <c r="F51" s="110" t="s">
        <v>629</v>
      </c>
      <c r="H51" s="55"/>
      <c r="I51" s="13" t="str">
        <f t="shared" si="1"/>
        <v>M3B2FALSE</v>
      </c>
      <c r="T51"/>
    </row>
    <row r="52" spans="1:20" ht="12.75" customHeight="1" x14ac:dyDescent="0.25">
      <c r="A52" s="13" t="s">
        <v>1298</v>
      </c>
      <c r="B52" s="13" t="s">
        <v>1298</v>
      </c>
      <c r="C52" s="32" t="str" cm="1">
        <f t="array" aca="1" ref="C52" ca="1">"'='" &amp; MID(CELL("address",INDIRECT(B52)),$K$2+1,100)</f>
        <v>'='CNPIs Education'!$L$12</v>
      </c>
      <c r="D52" s="38" t="str">
        <f>M3B2dSchoolAgeAccuracy</f>
        <v/>
      </c>
      <c r="E52" s="38" t="s">
        <v>493</v>
      </c>
      <c r="F52" s="13" t="s">
        <v>1298</v>
      </c>
      <c r="I52" s="13" t="str">
        <f t="shared" si="1"/>
        <v>M3B2FALSE</v>
      </c>
      <c r="T52"/>
    </row>
    <row r="53" spans="1:20" ht="12.75" customHeight="1" x14ac:dyDescent="0.25">
      <c r="A53" t="s">
        <v>630</v>
      </c>
      <c r="B53" t="s">
        <v>630</v>
      </c>
      <c r="C53" s="32" t="str" cm="1">
        <f t="array" aca="1" ref="C53" ca="1">"'='" &amp; MID(CELL("address",INDIRECT(B53)),$K$2+1,100)</f>
        <v>'='CNPIs Education'!$J$13</v>
      </c>
      <c r="D53" s="38">
        <f>M3B2ePostSecondaryTarget</f>
        <v>0</v>
      </c>
      <c r="E53" s="38" t="s">
        <v>493</v>
      </c>
      <c r="F53" s="110" t="s">
        <v>630</v>
      </c>
      <c r="H53" s="55"/>
      <c r="I53" s="13" t="str">
        <f t="shared" si="1"/>
        <v>M3B2FALSE</v>
      </c>
      <c r="T53"/>
    </row>
    <row r="54" spans="1:20" ht="12.75" customHeight="1" x14ac:dyDescent="0.25">
      <c r="A54" t="s">
        <v>631</v>
      </c>
      <c r="B54" t="s">
        <v>631</v>
      </c>
      <c r="C54" s="32" t="str" cm="1">
        <f t="array" aca="1" ref="C54" ca="1">"'='" &amp; MID(CELL("address",INDIRECT(B54)),$K$2+1,100)</f>
        <v>'='CNPIs Education'!$K$13</v>
      </c>
      <c r="D54" s="38">
        <f>M3B2ePostSecondaryResults</f>
        <v>0</v>
      </c>
      <c r="E54" s="38" t="s">
        <v>493</v>
      </c>
      <c r="F54" s="110" t="s">
        <v>631</v>
      </c>
      <c r="H54" s="55"/>
      <c r="I54" s="13" t="str">
        <f t="shared" si="1"/>
        <v>M3B2FALSE</v>
      </c>
      <c r="T54"/>
    </row>
    <row r="55" spans="1:20" ht="12.75" customHeight="1" x14ac:dyDescent="0.25">
      <c r="A55" s="13" t="s">
        <v>1299</v>
      </c>
      <c r="B55" s="13" t="s">
        <v>1299</v>
      </c>
      <c r="C55" s="32" t="str" cm="1">
        <f t="array" aca="1" ref="C55" ca="1">"'='" &amp; MID(CELL("address",INDIRECT(B55)),$K$2+1,100)</f>
        <v>'='CNPIs Education'!$L$13</v>
      </c>
      <c r="D55" s="38" t="str">
        <f>M3B2ePostSecondaryAccuracy</f>
        <v/>
      </c>
      <c r="E55" s="38" t="s">
        <v>493</v>
      </c>
      <c r="F55" s="13" t="s">
        <v>1299</v>
      </c>
      <c r="I55" s="13" t="str">
        <f t="shared" si="1"/>
        <v>M3B2FALSE</v>
      </c>
      <c r="T55"/>
    </row>
    <row r="56" spans="1:20" ht="12.75" customHeight="1" x14ac:dyDescent="0.25">
      <c r="A56" t="s">
        <v>632</v>
      </c>
      <c r="B56" t="s">
        <v>632</v>
      </c>
      <c r="C56" s="32" t="str" cm="1">
        <f t="array" aca="1" ref="C56" ca="1">"'='" &amp; MID(CELL("address",INDIRECT(B56)),$K$2+1,100)</f>
        <v>'='CNPIs Education'!$J$14</v>
      </c>
      <c r="D56" s="38">
        <f>M3B2fBasicEdTarget</f>
        <v>0</v>
      </c>
      <c r="E56" s="38" t="s">
        <v>493</v>
      </c>
      <c r="F56" s="110" t="s">
        <v>632</v>
      </c>
      <c r="H56" s="55"/>
      <c r="I56" s="13" t="str">
        <f t="shared" si="1"/>
        <v>M3B2FALSE</v>
      </c>
      <c r="T56"/>
    </row>
    <row r="57" spans="1:20" ht="12.75" customHeight="1" x14ac:dyDescent="0.25">
      <c r="A57" t="s">
        <v>633</v>
      </c>
      <c r="B57" t="s">
        <v>633</v>
      </c>
      <c r="C57" s="32" t="str" cm="1">
        <f t="array" aca="1" ref="C57" ca="1">"'='" &amp; MID(CELL("address",INDIRECT(B57)),$K$2+1,100)</f>
        <v>'='CNPIs Education'!$K$14</v>
      </c>
      <c r="D57" s="38">
        <f>M3B2fBasicEdResults</f>
        <v>0</v>
      </c>
      <c r="E57" s="38" t="s">
        <v>493</v>
      </c>
      <c r="F57" s="110" t="s">
        <v>633</v>
      </c>
      <c r="H57" s="55"/>
      <c r="I57" s="13" t="str">
        <f t="shared" si="1"/>
        <v>M3B2FALSE</v>
      </c>
      <c r="T57"/>
    </row>
    <row r="58" spans="1:20" ht="12.75" customHeight="1" x14ac:dyDescent="0.25">
      <c r="A58" s="13" t="s">
        <v>1300</v>
      </c>
      <c r="B58" s="13" t="s">
        <v>1300</v>
      </c>
      <c r="C58" s="32" t="str" cm="1">
        <f t="array" aca="1" ref="C58" ca="1">"'='" &amp; MID(CELL("address",INDIRECT(B58)),$K$2+1,100)</f>
        <v>'='CNPIs Education'!$L$14</v>
      </c>
      <c r="D58" s="38" t="str">
        <f>M3B2fBasicEdAccuracy</f>
        <v/>
      </c>
      <c r="E58" s="38" t="s">
        <v>493</v>
      </c>
      <c r="F58" s="13" t="s">
        <v>1300</v>
      </c>
      <c r="I58" s="13" t="str">
        <f t="shared" si="1"/>
        <v>M3B2FALSE</v>
      </c>
      <c r="T58"/>
    </row>
    <row r="59" spans="1:20" ht="12.75" customHeight="1" x14ac:dyDescent="0.25">
      <c r="A59" t="s">
        <v>634</v>
      </c>
      <c r="B59" t="s">
        <v>634</v>
      </c>
      <c r="C59" s="32" t="str" cm="1">
        <f t="array" aca="1" ref="C59" ca="1">"'='" &amp; MID(CELL("address",INDIRECT(B59)),$K$2+1,100)</f>
        <v>'='CNPIs Education'!$C$17</v>
      </c>
      <c r="D59" s="38">
        <f>M3B2z1OtherEdCogDev1Name</f>
        <v>0</v>
      </c>
      <c r="E59" s="38" t="s">
        <v>284</v>
      </c>
      <c r="F59" s="110" t="s">
        <v>634</v>
      </c>
      <c r="G59" s="38">
        <v>1000</v>
      </c>
      <c r="H59" s="55"/>
      <c r="I59" s="13" t="str">
        <f t="shared" si="1"/>
        <v>M3B2FALSE</v>
      </c>
      <c r="T59"/>
    </row>
    <row r="60" spans="1:20" ht="12.75" customHeight="1" x14ac:dyDescent="0.25">
      <c r="A60" t="s">
        <v>635</v>
      </c>
      <c r="B60" t="s">
        <v>635</v>
      </c>
      <c r="C60" s="32" t="str" cm="1">
        <f t="array" aca="1" ref="C60" ca="1">"'='" &amp; MID(CELL("address",INDIRECT(B60)),$K$2+1,100)</f>
        <v>'='CNPIs Education'!$J$17</v>
      </c>
      <c r="D60" s="38">
        <f>M3B2z1OtherEdCogDev1Target</f>
        <v>0</v>
      </c>
      <c r="E60" s="38" t="s">
        <v>493</v>
      </c>
      <c r="F60" s="110" t="s">
        <v>635</v>
      </c>
      <c r="H60" s="55"/>
      <c r="I60" s="13" t="str">
        <f t="shared" si="1"/>
        <v>M3B2FALSE</v>
      </c>
      <c r="T60"/>
    </row>
    <row r="61" spans="1:20" ht="12.75" customHeight="1" x14ac:dyDescent="0.25">
      <c r="A61" t="s">
        <v>636</v>
      </c>
      <c r="B61" t="s">
        <v>636</v>
      </c>
      <c r="C61" s="32" t="str" cm="1">
        <f t="array" aca="1" ref="C61" ca="1">"'='" &amp; MID(CELL("address",INDIRECT(B61)),$K$2+1,100)</f>
        <v>'='CNPIs Education'!$K$17</v>
      </c>
      <c r="D61" s="38">
        <f>M3B2z1OtherEdCogDev1Results</f>
        <v>0</v>
      </c>
      <c r="E61" s="38" t="s">
        <v>493</v>
      </c>
      <c r="F61" s="110" t="s">
        <v>636</v>
      </c>
      <c r="H61" s="55"/>
      <c r="I61" s="13" t="str">
        <f t="shared" si="1"/>
        <v>M3B2FALSE</v>
      </c>
      <c r="T61"/>
    </row>
    <row r="62" spans="1:20" ht="12.75" customHeight="1" x14ac:dyDescent="0.25">
      <c r="A62" s="13" t="s">
        <v>1328</v>
      </c>
      <c r="B62" s="13" t="s">
        <v>1328</v>
      </c>
      <c r="C62" s="32" t="str" cm="1">
        <f t="array" aca="1" ref="C62" ca="1">"'='" &amp; MID(CELL("address",INDIRECT(B62)),$K$2+1,100)</f>
        <v>'='CNPIs Education'!$L$17</v>
      </c>
      <c r="D62" s="38" t="str">
        <f>M3B2z1OtherEdCogDev1Accuracy</f>
        <v/>
      </c>
      <c r="E62" s="38" t="s">
        <v>493</v>
      </c>
      <c r="F62" s="13" t="s">
        <v>1328</v>
      </c>
      <c r="I62" s="13" t="str">
        <f t="shared" si="1"/>
        <v>M3B2FALSE</v>
      </c>
      <c r="T62"/>
    </row>
    <row r="63" spans="1:20" ht="12.75" customHeight="1" x14ac:dyDescent="0.25">
      <c r="A63" t="s">
        <v>637</v>
      </c>
      <c r="B63" t="s">
        <v>637</v>
      </c>
      <c r="C63" s="32" t="str" cm="1">
        <f t="array" aca="1" ref="C63" ca="1">"'='" &amp; MID(CELL("address",INDIRECT(B63)),$K$2+1,100)</f>
        <v>'='CNPIs Education'!$C$18</v>
      </c>
      <c r="D63" s="38">
        <f>M3B2z2OtherEdCogDev2Name</f>
        <v>0</v>
      </c>
      <c r="E63" s="38" t="s">
        <v>284</v>
      </c>
      <c r="F63" s="110" t="s">
        <v>637</v>
      </c>
      <c r="G63" s="38">
        <v>1000</v>
      </c>
      <c r="H63" s="55"/>
      <c r="I63" s="13" t="str">
        <f t="shared" si="1"/>
        <v>M3B2FALSE</v>
      </c>
      <c r="T63"/>
    </row>
    <row r="64" spans="1:20" ht="12.75" customHeight="1" x14ac:dyDescent="0.25">
      <c r="A64" t="s">
        <v>638</v>
      </c>
      <c r="B64" t="s">
        <v>638</v>
      </c>
      <c r="C64" s="32" t="str" cm="1">
        <f t="array" aca="1" ref="C64" ca="1">"'='" &amp; MID(CELL("address",INDIRECT(B64)),$K$2+1,100)</f>
        <v>'='CNPIs Education'!$J$18</v>
      </c>
      <c r="D64" s="38">
        <f>M3B2z2OtherEdCogDev2Target</f>
        <v>0</v>
      </c>
      <c r="E64" s="38" t="s">
        <v>493</v>
      </c>
      <c r="F64" s="110" t="s">
        <v>638</v>
      </c>
      <c r="H64" s="55"/>
      <c r="I64" s="13" t="str">
        <f t="shared" si="1"/>
        <v>M3B2FALSE</v>
      </c>
      <c r="T64"/>
    </row>
    <row r="65" spans="1:20" ht="12.75" customHeight="1" x14ac:dyDescent="0.25">
      <c r="A65" t="s">
        <v>639</v>
      </c>
      <c r="B65" t="s">
        <v>639</v>
      </c>
      <c r="C65" s="32" t="str" cm="1">
        <f t="array" aca="1" ref="C65" ca="1">"'='" &amp; MID(CELL("address",INDIRECT(B65)),$K$2+1,100)</f>
        <v>'='CNPIs Education'!$K$18</v>
      </c>
      <c r="D65" s="38">
        <f>M3B2z2OtherEdCogDev2Results</f>
        <v>0</v>
      </c>
      <c r="E65" s="38" t="s">
        <v>493</v>
      </c>
      <c r="F65" s="110" t="s">
        <v>639</v>
      </c>
      <c r="H65" s="55"/>
      <c r="I65" s="13" t="str">
        <f t="shared" si="1"/>
        <v>M3B2FALSE</v>
      </c>
      <c r="T65"/>
    </row>
    <row r="66" spans="1:20" ht="12.75" customHeight="1" x14ac:dyDescent="0.25">
      <c r="A66" s="13" t="s">
        <v>1329</v>
      </c>
      <c r="B66" s="13" t="s">
        <v>1329</v>
      </c>
      <c r="C66" s="32" t="str" cm="1">
        <f t="array" aca="1" ref="C66" ca="1">"'='" &amp; MID(CELL("address",INDIRECT(B66)),$K$2+1,100)</f>
        <v>'='CNPIs Education'!$L$18</v>
      </c>
      <c r="D66" s="38" t="str">
        <f>M3B2z2OtherEdCogDev2Accuracy</f>
        <v/>
      </c>
      <c r="E66" s="38" t="s">
        <v>493</v>
      </c>
      <c r="F66" s="13" t="s">
        <v>1329</v>
      </c>
      <c r="I66" s="13" t="str">
        <f t="shared" si="1"/>
        <v>M3B2FALSE</v>
      </c>
      <c r="T66"/>
    </row>
    <row r="67" spans="1:20" ht="12.75" customHeight="1" x14ac:dyDescent="0.25">
      <c r="A67" t="s">
        <v>640</v>
      </c>
      <c r="B67" t="s">
        <v>640</v>
      </c>
      <c r="C67" s="32" t="str" cm="1">
        <f t="array" aca="1" ref="C67" ca="1">"'='" &amp; MID(CELL("address",INDIRECT(B67)),$K$2+1,100)</f>
        <v>'='CNPIs Education'!$C$19</v>
      </c>
      <c r="D67" s="38">
        <f>M3B2z3OtherEdCogDev3Name</f>
        <v>0</v>
      </c>
      <c r="E67" s="38" t="s">
        <v>284</v>
      </c>
      <c r="F67" s="110" t="s">
        <v>640</v>
      </c>
      <c r="G67" s="38">
        <v>1000</v>
      </c>
      <c r="H67" s="55"/>
      <c r="I67" s="13" t="str">
        <f t="shared" si="1"/>
        <v>M3B2FALSE</v>
      </c>
      <c r="T67"/>
    </row>
    <row r="68" spans="1:20" ht="12.75" customHeight="1" x14ac:dyDescent="0.25">
      <c r="A68" t="s">
        <v>641</v>
      </c>
      <c r="B68" t="s">
        <v>641</v>
      </c>
      <c r="C68" s="32" t="str" cm="1">
        <f t="array" aca="1" ref="C68" ca="1">"'='" &amp; MID(CELL("address",INDIRECT(B68)),$K$2+1,100)</f>
        <v>'='CNPIs Education'!$J$19</v>
      </c>
      <c r="D68" s="38">
        <f>M3B2z3OtherEdCogDev3Target</f>
        <v>0</v>
      </c>
      <c r="E68" s="38" t="s">
        <v>493</v>
      </c>
      <c r="F68" s="110" t="s">
        <v>641</v>
      </c>
      <c r="H68" s="55"/>
      <c r="I68" s="13" t="str">
        <f t="shared" si="1"/>
        <v>M3B2FALSE</v>
      </c>
      <c r="T68"/>
    </row>
    <row r="69" spans="1:20" ht="12.75" customHeight="1" x14ac:dyDescent="0.25">
      <c r="A69" t="s">
        <v>642</v>
      </c>
      <c r="B69" t="s">
        <v>642</v>
      </c>
      <c r="C69" s="32" t="str" cm="1">
        <f t="array" aca="1" ref="C69" ca="1">"'='" &amp; MID(CELL("address",INDIRECT(B69)),$K$2+1,100)</f>
        <v>'='CNPIs Education'!$K$19</v>
      </c>
      <c r="D69" s="38">
        <f>M3B2z3OtherEdCogDev3Results</f>
        <v>0</v>
      </c>
      <c r="E69" s="38" t="s">
        <v>493</v>
      </c>
      <c r="F69" s="110" t="s">
        <v>642</v>
      </c>
      <c r="H69" s="55"/>
      <c r="I69" s="13" t="str">
        <f t="shared" si="1"/>
        <v>M3B2FALSE</v>
      </c>
      <c r="T69"/>
    </row>
    <row r="70" spans="1:20" ht="12.75" customHeight="1" x14ac:dyDescent="0.25">
      <c r="A70" s="13" t="s">
        <v>1330</v>
      </c>
      <c r="B70" s="13" t="s">
        <v>1330</v>
      </c>
      <c r="C70" s="32" t="str" cm="1">
        <f t="array" aca="1" ref="C70" ca="1">"'='" &amp; MID(CELL("address",INDIRECT(B70)),$K$2+1,100)</f>
        <v>'='CNPIs Education'!$L$19</v>
      </c>
      <c r="D70" s="38" t="str">
        <f>M3B2z3OtherEdCogDev3Accuracy</f>
        <v/>
      </c>
      <c r="E70" s="38" t="s">
        <v>493</v>
      </c>
      <c r="F70" s="13" t="s">
        <v>1330</v>
      </c>
      <c r="I70" s="13" t="str">
        <f t="shared" si="1"/>
        <v>M3B2FALSE</v>
      </c>
      <c r="T70"/>
    </row>
    <row r="71" spans="1:20" ht="12.75" customHeight="1" x14ac:dyDescent="0.25">
      <c r="A71" t="s">
        <v>649</v>
      </c>
      <c r="B71" t="s">
        <v>649</v>
      </c>
      <c r="C71" s="32" t="str" cm="1">
        <f t="array" aca="1" ref="C71" ca="1">"'='" &amp; MID(CELL("address",INDIRECT(B71)),$K$2+1,100)</f>
        <v>'='CNPIs Education'!$G$22</v>
      </c>
      <c r="D71" s="38">
        <f>M3B2gKindReadyBaseline</f>
        <v>0</v>
      </c>
      <c r="E71" s="38" t="s">
        <v>493</v>
      </c>
      <c r="F71" s="110" t="s">
        <v>649</v>
      </c>
      <c r="H71" s="55"/>
      <c r="I71" s="13" t="str">
        <f t="shared" si="1"/>
        <v>M3B2FALSE</v>
      </c>
      <c r="T71"/>
    </row>
    <row r="72" spans="1:20" ht="12.75" customHeight="1" x14ac:dyDescent="0.25">
      <c r="A72" t="s">
        <v>650</v>
      </c>
      <c r="B72" t="s">
        <v>650</v>
      </c>
      <c r="C72" s="32" t="str" cm="1">
        <f t="array" aca="1" ref="C72" ca="1">"'='" &amp; MID(CELL("address",INDIRECT(B72)),$K$2+1,100)</f>
        <v>'='CNPIs Education'!$H$22</v>
      </c>
      <c r="D72" s="38">
        <f>M3B2gKindReadyTarget</f>
        <v>0</v>
      </c>
      <c r="E72" s="38" t="s">
        <v>493</v>
      </c>
      <c r="F72" s="110" t="s">
        <v>650</v>
      </c>
      <c r="H72" s="55"/>
      <c r="I72" s="13" t="str">
        <f t="shared" si="1"/>
        <v>M3B2FALSE</v>
      </c>
      <c r="T72"/>
    </row>
    <row r="73" spans="1:20" ht="12.75" customHeight="1" x14ac:dyDescent="0.25">
      <c r="A73" s="13" t="s">
        <v>1301</v>
      </c>
      <c r="B73" s="13" t="s">
        <v>1301</v>
      </c>
      <c r="C73" s="32" t="str" cm="1">
        <f t="array" aca="1" ref="C73" ca="1">"'='" &amp; MID(CELL("address",INDIRECT(B73)),$K$2+1,100)</f>
        <v>'='CNPIs Education'!$I$22</v>
      </c>
      <c r="D73" s="38" t="str">
        <f>M3B2gKindReadyExpectChng</f>
        <v/>
      </c>
      <c r="E73" s="38" t="s">
        <v>493</v>
      </c>
      <c r="F73" s="13" t="s">
        <v>1301</v>
      </c>
      <c r="I73" s="13" t="str">
        <f t="shared" si="1"/>
        <v>M3B2FALSE</v>
      </c>
      <c r="T73"/>
    </row>
    <row r="74" spans="1:20" ht="12.75" customHeight="1" x14ac:dyDescent="0.25">
      <c r="A74" t="s">
        <v>651</v>
      </c>
      <c r="B74" t="s">
        <v>651</v>
      </c>
      <c r="C74" s="32" t="str" cm="1">
        <f t="array" aca="1" ref="C74" ca="1">"'='" &amp; MID(CELL("address",INDIRECT(B74)),$K$2+1,100)</f>
        <v>'='CNPIs Education'!$J$22</v>
      </c>
      <c r="D74" s="38">
        <f>M3B2gKindReadyResults</f>
        <v>0</v>
      </c>
      <c r="E74" s="38" t="s">
        <v>493</v>
      </c>
      <c r="F74" s="110" t="s">
        <v>651</v>
      </c>
      <c r="H74" s="55"/>
      <c r="I74" s="13" t="str">
        <f t="shared" si="1"/>
        <v>M3B2FALSE</v>
      </c>
      <c r="T74"/>
    </row>
    <row r="75" spans="1:20" ht="12.75" customHeight="1" x14ac:dyDescent="0.25">
      <c r="A75" s="13" t="s">
        <v>1302</v>
      </c>
      <c r="B75" s="13" t="s">
        <v>1302</v>
      </c>
      <c r="C75" s="32" t="str" cm="1">
        <f t="array" aca="1" ref="C75" ca="1">"'='" &amp; MID(CELL("address",INDIRECT(B75)),$K$2+1,100)</f>
        <v>'='CNPIs Education'!$K$22</v>
      </c>
      <c r="D75" s="38" t="str">
        <f>M3B2gKindReadyActualChng</f>
        <v/>
      </c>
      <c r="E75" s="38" t="s">
        <v>493</v>
      </c>
      <c r="F75" s="13" t="s">
        <v>1302</v>
      </c>
      <c r="I75" s="13" t="str">
        <f t="shared" si="1"/>
        <v>M3B2FALSE</v>
      </c>
      <c r="T75"/>
    </row>
    <row r="76" spans="1:20" ht="12.75" customHeight="1" x14ac:dyDescent="0.25">
      <c r="A76" s="13" t="s">
        <v>1303</v>
      </c>
      <c r="B76" s="13" t="s">
        <v>1303</v>
      </c>
      <c r="C76" s="32" t="str" cm="1">
        <f t="array" aca="1" ref="C76" ca="1">"'='" &amp; MID(CELL("address",INDIRECT(B76)),$K$2+1,100)</f>
        <v>'='CNPIs Education'!$L$22</v>
      </c>
      <c r="D76" s="38" t="str">
        <f>M3B2gKindReadyAccuracy</f>
        <v/>
      </c>
      <c r="E76" s="38" t="s">
        <v>493</v>
      </c>
      <c r="F76" s="13" t="s">
        <v>1303</v>
      </c>
      <c r="I76" s="13" t="str">
        <f t="shared" si="1"/>
        <v>M3B2FALSE</v>
      </c>
      <c r="T76"/>
    </row>
    <row r="77" spans="1:20" ht="12.75" customHeight="1" x14ac:dyDescent="0.25">
      <c r="A77" t="s">
        <v>652</v>
      </c>
      <c r="B77" t="s">
        <v>652</v>
      </c>
      <c r="C77" s="32" t="str" cm="1">
        <f t="array" aca="1" ref="C77" ca="1">"'='" &amp; MID(CELL("address",INDIRECT(B77)),$K$2+1,100)</f>
        <v>'='CNPIs Education'!$G$23</v>
      </c>
      <c r="D77" s="38">
        <f>M3B2hBasicReadLvlBaseline</f>
        <v>0</v>
      </c>
      <c r="E77" s="38" t="s">
        <v>493</v>
      </c>
      <c r="F77" s="110" t="s">
        <v>652</v>
      </c>
      <c r="H77" s="55"/>
      <c r="I77" s="13" t="str">
        <f t="shared" si="1"/>
        <v>M3B2FALSE</v>
      </c>
      <c r="T77"/>
    </row>
    <row r="78" spans="1:20" ht="12.75" customHeight="1" x14ac:dyDescent="0.25">
      <c r="A78" t="s">
        <v>653</v>
      </c>
      <c r="B78" t="s">
        <v>653</v>
      </c>
      <c r="C78" s="32" t="str" cm="1">
        <f t="array" aca="1" ref="C78" ca="1">"'='" &amp; MID(CELL("address",INDIRECT(B78)),$K$2+1,100)</f>
        <v>'='CNPIs Education'!$H$23</v>
      </c>
      <c r="D78" s="38">
        <f>M3B2hBasicReadLvlTarget</f>
        <v>0</v>
      </c>
      <c r="E78" s="38" t="s">
        <v>493</v>
      </c>
      <c r="F78" s="110" t="s">
        <v>653</v>
      </c>
      <c r="H78" s="55"/>
      <c r="I78" s="13" t="str">
        <f t="shared" si="1"/>
        <v>M3B2FALSE</v>
      </c>
      <c r="T78"/>
    </row>
    <row r="79" spans="1:20" ht="12.75" customHeight="1" x14ac:dyDescent="0.25">
      <c r="A79" s="13" t="s">
        <v>1304</v>
      </c>
      <c r="B79" s="13" t="s">
        <v>1304</v>
      </c>
      <c r="C79" s="32" t="str" cm="1">
        <f t="array" aca="1" ref="C79" ca="1">"'='" &amp; MID(CELL("address",INDIRECT(B79)),$K$2+1,100)</f>
        <v>'='CNPIs Education'!$I$23</v>
      </c>
      <c r="D79" s="38" t="str">
        <f>M3B2hBasicReadLvlExpectChng</f>
        <v/>
      </c>
      <c r="E79" s="38" t="s">
        <v>493</v>
      </c>
      <c r="F79" s="13" t="s">
        <v>1304</v>
      </c>
      <c r="I79" s="13" t="str">
        <f t="shared" si="1"/>
        <v>M3B2FALSE</v>
      </c>
      <c r="T79"/>
    </row>
    <row r="80" spans="1:20" ht="12.75" customHeight="1" x14ac:dyDescent="0.25">
      <c r="A80" t="s">
        <v>654</v>
      </c>
      <c r="B80" t="s">
        <v>654</v>
      </c>
      <c r="C80" s="32" t="str" cm="1">
        <f t="array" aca="1" ref="C80" ca="1">"'='" &amp; MID(CELL("address",INDIRECT(B80)),$K$2+1,100)</f>
        <v>'='CNPIs Education'!$J$23</v>
      </c>
      <c r="D80" s="38">
        <f>M3B2hBasicReadLvlResults</f>
        <v>0</v>
      </c>
      <c r="E80" s="38" t="s">
        <v>493</v>
      </c>
      <c r="F80" s="110" t="s">
        <v>654</v>
      </c>
      <c r="H80" s="55"/>
      <c r="I80" s="13" t="str">
        <f t="shared" si="1"/>
        <v>M3B2FALSE</v>
      </c>
      <c r="T80"/>
    </row>
    <row r="81" spans="1:20" ht="12.75" customHeight="1" x14ac:dyDescent="0.25">
      <c r="A81" s="13" t="s">
        <v>1305</v>
      </c>
      <c r="B81" s="13" t="s">
        <v>1305</v>
      </c>
      <c r="C81" s="32" t="str" cm="1">
        <f t="array" aca="1" ref="C81" ca="1">"'='" &amp; MID(CELL("address",INDIRECT(B81)),$K$2+1,100)</f>
        <v>'='CNPIs Education'!$K$23</v>
      </c>
      <c r="D81" s="38" t="str">
        <f>M3B2hBasicReadLvlActualChng</f>
        <v/>
      </c>
      <c r="E81" s="38" t="s">
        <v>493</v>
      </c>
      <c r="F81" s="13" t="s">
        <v>1305</v>
      </c>
      <c r="I81" s="13" t="str">
        <f t="shared" si="1"/>
        <v>M3B2FALSE</v>
      </c>
      <c r="T81"/>
    </row>
    <row r="82" spans="1:20" ht="12.75" customHeight="1" x14ac:dyDescent="0.25">
      <c r="A82" s="13" t="s">
        <v>1306</v>
      </c>
      <c r="B82" s="13" t="s">
        <v>1306</v>
      </c>
      <c r="C82" s="32" t="str" cm="1">
        <f t="array" aca="1" ref="C82" ca="1">"'='" &amp; MID(CELL("address",INDIRECT(B82)),$K$2+1,100)</f>
        <v>'='CNPIs Education'!$L$23</v>
      </c>
      <c r="D82" s="38" t="str">
        <f>M3B2hBasicReadLvlAccuracy</f>
        <v/>
      </c>
      <c r="E82" s="38" t="s">
        <v>493</v>
      </c>
      <c r="F82" s="13" t="s">
        <v>1306</v>
      </c>
      <c r="I82" s="13" t="str">
        <f t="shared" si="1"/>
        <v>M3B2FALSE</v>
      </c>
      <c r="T82"/>
    </row>
    <row r="83" spans="1:20" ht="12.75" customHeight="1" x14ac:dyDescent="0.25">
      <c r="A83" t="s">
        <v>655</v>
      </c>
      <c r="B83" t="s">
        <v>655</v>
      </c>
      <c r="C83" s="32" t="str" cm="1">
        <f t="array" aca="1" ref="C83" ca="1">"'='" &amp; MID(CELL("address",INDIRECT(B83)),$K$2+1,100)</f>
        <v>'='CNPIs Education'!$G$24</v>
      </c>
      <c r="D83" s="38">
        <f>M3B2iBasicMathLvlBaseline</f>
        <v>0</v>
      </c>
      <c r="E83" s="38" t="s">
        <v>493</v>
      </c>
      <c r="F83" s="110" t="s">
        <v>655</v>
      </c>
      <c r="H83" s="55"/>
      <c r="I83" s="13" t="str">
        <f t="shared" si="1"/>
        <v>M3B2FALSE</v>
      </c>
      <c r="T83"/>
    </row>
    <row r="84" spans="1:20" ht="12.75" customHeight="1" x14ac:dyDescent="0.25">
      <c r="A84" t="s">
        <v>656</v>
      </c>
      <c r="B84" t="s">
        <v>656</v>
      </c>
      <c r="C84" s="32" t="str" cm="1">
        <f t="array" aca="1" ref="C84" ca="1">"'='" &amp; MID(CELL("address",INDIRECT(B84)),$K$2+1,100)</f>
        <v>'='CNPIs Education'!$H$24</v>
      </c>
      <c r="D84" s="38">
        <f>M3B2iBasicMathLvlTarget</f>
        <v>0</v>
      </c>
      <c r="E84" s="38" t="s">
        <v>493</v>
      </c>
      <c r="F84" s="110" t="s">
        <v>656</v>
      </c>
      <c r="H84" s="55"/>
      <c r="I84" s="13" t="str">
        <f t="shared" si="1"/>
        <v>M3B2FALSE</v>
      </c>
      <c r="T84"/>
    </row>
    <row r="85" spans="1:20" ht="12.75" customHeight="1" x14ac:dyDescent="0.25">
      <c r="A85" s="13" t="s">
        <v>1307</v>
      </c>
      <c r="B85" s="13" t="s">
        <v>1307</v>
      </c>
      <c r="C85" s="32" t="str" cm="1">
        <f t="array" aca="1" ref="C85" ca="1">"'='" &amp; MID(CELL("address",INDIRECT(B85)),$K$2+1,100)</f>
        <v>'='CNPIs Education'!$I$24</v>
      </c>
      <c r="D85" s="38" t="str">
        <f>M3B2iBasicMathLvlExpectChng</f>
        <v/>
      </c>
      <c r="E85" s="38" t="s">
        <v>493</v>
      </c>
      <c r="F85" s="13" t="s">
        <v>1307</v>
      </c>
      <c r="I85" s="13" t="str">
        <f t="shared" si="1"/>
        <v>M3B2FALSE</v>
      </c>
      <c r="T85"/>
    </row>
    <row r="86" spans="1:20" ht="12.75" customHeight="1" x14ac:dyDescent="0.25">
      <c r="A86" t="s">
        <v>657</v>
      </c>
      <c r="B86" t="s">
        <v>657</v>
      </c>
      <c r="C86" s="32" t="str" cm="1">
        <f t="array" aca="1" ref="C86" ca="1">"'='" &amp; MID(CELL("address",INDIRECT(B86)),$K$2+1,100)</f>
        <v>'='CNPIs Education'!$J$24</v>
      </c>
      <c r="D86" s="38">
        <f>M3B2iBasicMathLvlResults</f>
        <v>0</v>
      </c>
      <c r="E86" s="38" t="s">
        <v>493</v>
      </c>
      <c r="F86" s="110" t="s">
        <v>657</v>
      </c>
      <c r="H86" s="55"/>
      <c r="I86" s="13" t="str">
        <f t="shared" si="1"/>
        <v>M3B2FALSE</v>
      </c>
      <c r="T86"/>
    </row>
    <row r="87" spans="1:20" ht="12.75" customHeight="1" x14ac:dyDescent="0.25">
      <c r="A87" s="13" t="s">
        <v>1308</v>
      </c>
      <c r="B87" s="13" t="s">
        <v>1308</v>
      </c>
      <c r="C87" s="32" t="str" cm="1">
        <f t="array" aca="1" ref="C87" ca="1">"'='" &amp; MID(CELL("address",INDIRECT(B87)),$K$2+1,100)</f>
        <v>'='CNPIs Education'!$K$24</v>
      </c>
      <c r="D87" s="38" t="str">
        <f>M3B2iBasicMathLvlActualChng</f>
        <v/>
      </c>
      <c r="E87" s="38" t="s">
        <v>493</v>
      </c>
      <c r="F87" s="13" t="s">
        <v>1308</v>
      </c>
      <c r="I87" s="13" t="str">
        <f t="shared" si="1"/>
        <v>M3B2FALSE</v>
      </c>
      <c r="T87"/>
    </row>
    <row r="88" spans="1:20" ht="12.75" customHeight="1" x14ac:dyDescent="0.25">
      <c r="A88" s="13" t="s">
        <v>1309</v>
      </c>
      <c r="B88" s="13" t="s">
        <v>1309</v>
      </c>
      <c r="C88" s="32" t="str" cm="1">
        <f t="array" aca="1" ref="C88" ca="1">"'='" &amp; MID(CELL("address",INDIRECT(B88)),$K$2+1,100)</f>
        <v>'='CNPIs Education'!$L$24</v>
      </c>
      <c r="D88" s="38" t="str">
        <f>M3B2iBasicMathLvlAccuracy</f>
        <v/>
      </c>
      <c r="E88" s="38" t="s">
        <v>493</v>
      </c>
      <c r="F88" s="13" t="s">
        <v>1309</v>
      </c>
      <c r="I88" s="13" t="str">
        <f t="shared" si="1"/>
        <v>M3B2FALSE</v>
      </c>
      <c r="T88"/>
    </row>
    <row r="89" spans="1:20" ht="12.75" customHeight="1" x14ac:dyDescent="0.25">
      <c r="A89" t="s">
        <v>658</v>
      </c>
      <c r="B89" t="s">
        <v>658</v>
      </c>
      <c r="C89" s="32" t="str" cm="1">
        <f t="array" aca="1" ref="C89" ca="1">"'='" &amp; MID(CELL("address",INDIRECT(B89)),$K$2+1,100)</f>
        <v>'='CNPIs Education'!$G$25</v>
      </c>
      <c r="D89" s="38">
        <f>M3B2jGradRateBaseline</f>
        <v>0</v>
      </c>
      <c r="E89" s="38" t="s">
        <v>493</v>
      </c>
      <c r="F89" s="110" t="s">
        <v>658</v>
      </c>
      <c r="H89" s="55"/>
      <c r="I89" s="13" t="str">
        <f t="shared" si="1"/>
        <v>M3B2FALSE</v>
      </c>
      <c r="T89"/>
    </row>
    <row r="90" spans="1:20" ht="12.75" customHeight="1" x14ac:dyDescent="0.25">
      <c r="A90" t="s">
        <v>659</v>
      </c>
      <c r="B90" t="s">
        <v>659</v>
      </c>
      <c r="C90" s="32" t="str" cm="1">
        <f t="array" aca="1" ref="C90" ca="1">"'='" &amp; MID(CELL("address",INDIRECT(B90)),$K$2+1,100)</f>
        <v>'='CNPIs Education'!$H$25</v>
      </c>
      <c r="D90" s="38">
        <f>M3B2jGradRateTarget</f>
        <v>0</v>
      </c>
      <c r="E90" s="38" t="s">
        <v>493</v>
      </c>
      <c r="F90" s="110" t="s">
        <v>659</v>
      </c>
      <c r="H90" s="55"/>
      <c r="I90" s="13" t="str">
        <f t="shared" si="1"/>
        <v>M3B2FALSE</v>
      </c>
      <c r="T90"/>
    </row>
    <row r="91" spans="1:20" ht="12.75" customHeight="1" x14ac:dyDescent="0.25">
      <c r="A91" s="13" t="s">
        <v>1310</v>
      </c>
      <c r="B91" s="13" t="s">
        <v>1310</v>
      </c>
      <c r="C91" s="32" t="str" cm="1">
        <f t="array" aca="1" ref="C91" ca="1">"'='" &amp; MID(CELL("address",INDIRECT(B91)),$K$2+1,100)</f>
        <v>'='CNPIs Education'!$I$25</v>
      </c>
      <c r="D91" s="38" t="str">
        <f>M3B2jGradRateExpectChng</f>
        <v/>
      </c>
      <c r="E91" s="38" t="s">
        <v>493</v>
      </c>
      <c r="F91" s="13" t="s">
        <v>1310</v>
      </c>
      <c r="I91" s="13" t="str">
        <f t="shared" si="1"/>
        <v>M3B2FALSE</v>
      </c>
      <c r="T91"/>
    </row>
    <row r="92" spans="1:20" ht="12.75" customHeight="1" x14ac:dyDescent="0.25">
      <c r="A92" t="s">
        <v>660</v>
      </c>
      <c r="B92" t="s">
        <v>660</v>
      </c>
      <c r="C92" s="32" t="str" cm="1">
        <f t="array" aca="1" ref="C92" ca="1">"'='" &amp; MID(CELL("address",INDIRECT(B92)),$K$2+1,100)</f>
        <v>'='CNPIs Education'!$J$25</v>
      </c>
      <c r="D92" s="38">
        <f>M3B2jGradRateResults</f>
        <v>0</v>
      </c>
      <c r="E92" s="38" t="s">
        <v>493</v>
      </c>
      <c r="F92" s="110" t="s">
        <v>660</v>
      </c>
      <c r="H92" s="55"/>
      <c r="I92" s="13" t="str">
        <f t="shared" si="1"/>
        <v>M3B2FALSE</v>
      </c>
      <c r="T92"/>
    </row>
    <row r="93" spans="1:20" ht="12.75" customHeight="1" x14ac:dyDescent="0.25">
      <c r="A93" s="13" t="s">
        <v>1311</v>
      </c>
      <c r="B93" s="13" t="s">
        <v>1311</v>
      </c>
      <c r="C93" s="32" t="str" cm="1">
        <f t="array" aca="1" ref="C93" ca="1">"'='" &amp; MID(CELL("address",INDIRECT(B93)),$K$2+1,100)</f>
        <v>'='CNPIs Education'!$K$25</v>
      </c>
      <c r="D93" s="38" t="str">
        <f>M3B2jGradRateActualChng</f>
        <v/>
      </c>
      <c r="E93" s="38" t="s">
        <v>493</v>
      </c>
      <c r="F93" s="13" t="s">
        <v>1311</v>
      </c>
      <c r="I93" s="13" t="str">
        <f t="shared" si="1"/>
        <v>M3B2FALSE</v>
      </c>
      <c r="T93"/>
    </row>
    <row r="94" spans="1:20" ht="12.75" customHeight="1" x14ac:dyDescent="0.25">
      <c r="A94" s="13" t="s">
        <v>1312</v>
      </c>
      <c r="B94" s="13" t="s">
        <v>1312</v>
      </c>
      <c r="C94" s="32" t="str" cm="1">
        <f t="array" aca="1" ref="C94" ca="1">"'='" &amp; MID(CELL("address",INDIRECT(B94)),$K$2+1,100)</f>
        <v>'='CNPIs Education'!$L$25</v>
      </c>
      <c r="D94" s="38" t="str">
        <f>M3B2jGradRateAccuracy</f>
        <v/>
      </c>
      <c r="E94" s="38" t="s">
        <v>493</v>
      </c>
      <c r="F94" s="13" t="s">
        <v>1312</v>
      </c>
      <c r="I94" s="13" t="str">
        <f t="shared" si="1"/>
        <v>M3B2FALSE</v>
      </c>
      <c r="T94"/>
    </row>
    <row r="95" spans="1:20" ht="12.75" customHeight="1" x14ac:dyDescent="0.25">
      <c r="A95" t="s">
        <v>661</v>
      </c>
      <c r="B95" t="s">
        <v>661</v>
      </c>
      <c r="C95" s="32" t="str" cm="1">
        <f t="array" aca="1" ref="C95" ca="1">"'='" &amp; MID(CELL("address",INDIRECT(B95)),$K$2+1,100)</f>
        <v>'='CNPIs Education'!$G$26</v>
      </c>
      <c r="D95" s="38">
        <f>M3B2kYouthPostSecAttendBaseline</f>
        <v>0</v>
      </c>
      <c r="E95" s="38" t="s">
        <v>493</v>
      </c>
      <c r="F95" s="110" t="s">
        <v>661</v>
      </c>
      <c r="H95" s="55"/>
      <c r="I95" s="13" t="str">
        <f t="shared" si="1"/>
        <v>M3B2FALSE</v>
      </c>
      <c r="T95"/>
    </row>
    <row r="96" spans="1:20" ht="12.75" customHeight="1" x14ac:dyDescent="0.25">
      <c r="A96" t="s">
        <v>662</v>
      </c>
      <c r="B96" t="s">
        <v>662</v>
      </c>
      <c r="C96" s="32" t="str" cm="1">
        <f t="array" aca="1" ref="C96" ca="1">"'='" &amp; MID(CELL("address",INDIRECT(B96)),$K$2+1,100)</f>
        <v>'='CNPIs Education'!$H$26</v>
      </c>
      <c r="D96" s="38">
        <f>M3B2kYouthPostSecAttendTarget</f>
        <v>0</v>
      </c>
      <c r="E96" s="38" t="s">
        <v>493</v>
      </c>
      <c r="F96" s="110" t="s">
        <v>662</v>
      </c>
      <c r="H96" s="55"/>
      <c r="I96" s="13" t="str">
        <f t="shared" si="1"/>
        <v>M3B2FALSE</v>
      </c>
      <c r="T96"/>
    </row>
    <row r="97" spans="1:20" ht="12.75" customHeight="1" x14ac:dyDescent="0.25">
      <c r="A97" s="13" t="s">
        <v>1313</v>
      </c>
      <c r="B97" s="13" t="s">
        <v>1313</v>
      </c>
      <c r="C97" s="32" t="str" cm="1">
        <f t="array" aca="1" ref="C97" ca="1">"'='" &amp; MID(CELL("address",INDIRECT(B97)),$K$2+1,100)</f>
        <v>'='CNPIs Education'!$I$26</v>
      </c>
      <c r="D97" s="38" t="str">
        <f>M3B2kYouthPostSecAttendExpectChng</f>
        <v/>
      </c>
      <c r="E97" s="38" t="s">
        <v>493</v>
      </c>
      <c r="F97" s="13" t="s">
        <v>1313</v>
      </c>
      <c r="I97" s="13" t="str">
        <f t="shared" si="1"/>
        <v>M3B2FALSE</v>
      </c>
      <c r="T97"/>
    </row>
    <row r="98" spans="1:20" ht="12.75" customHeight="1" x14ac:dyDescent="0.25">
      <c r="A98" t="s">
        <v>663</v>
      </c>
      <c r="B98" t="s">
        <v>663</v>
      </c>
      <c r="C98" s="32" t="str" cm="1">
        <f t="array" aca="1" ref="C98" ca="1">"'='" &amp; MID(CELL("address",INDIRECT(B98)),$K$2+1,100)</f>
        <v>'='CNPIs Education'!$J$26</v>
      </c>
      <c r="D98" s="38">
        <f>M3B2kYouthPostSecAttendResults</f>
        <v>0</v>
      </c>
      <c r="E98" s="38" t="s">
        <v>493</v>
      </c>
      <c r="F98" s="110" t="s">
        <v>663</v>
      </c>
      <c r="H98" s="55"/>
      <c r="I98" s="13" t="str">
        <f t="shared" si="1"/>
        <v>M3B2FALSE</v>
      </c>
      <c r="T98"/>
    </row>
    <row r="99" spans="1:20" ht="12.75" customHeight="1" x14ac:dyDescent="0.25">
      <c r="A99" s="13" t="s">
        <v>1314</v>
      </c>
      <c r="B99" s="13" t="s">
        <v>1314</v>
      </c>
      <c r="C99" s="32" t="str" cm="1">
        <f t="array" aca="1" ref="C99" ca="1">"'='" &amp; MID(CELL("address",INDIRECT(B99)),$K$2+1,100)</f>
        <v>'='CNPIs Education'!$K$26</v>
      </c>
      <c r="D99" s="38" t="str">
        <f>M3B2kYouthPostSecAttendActualChng</f>
        <v/>
      </c>
      <c r="E99" s="38" t="s">
        <v>493</v>
      </c>
      <c r="F99" s="13" t="s">
        <v>1314</v>
      </c>
      <c r="I99" s="13" t="str">
        <f t="shared" si="1"/>
        <v>M3B2FALSE</v>
      </c>
      <c r="T99"/>
    </row>
    <row r="100" spans="1:20" ht="12.75" customHeight="1" x14ac:dyDescent="0.25">
      <c r="A100" s="13" t="s">
        <v>1315</v>
      </c>
      <c r="B100" s="13" t="s">
        <v>1315</v>
      </c>
      <c r="C100" s="32" t="str" cm="1">
        <f t="array" aca="1" ref="C100" ca="1">"'='" &amp; MID(CELL("address",INDIRECT(B100)),$K$2+1,100)</f>
        <v>'='CNPIs Education'!$L$26</v>
      </c>
      <c r="D100" s="38" t="str">
        <f>M3B2kYouthPostSecAttendAccuracy</f>
        <v/>
      </c>
      <c r="E100" s="38" t="s">
        <v>493</v>
      </c>
      <c r="F100" s="13" t="s">
        <v>1315</v>
      </c>
      <c r="I100" s="13" t="str">
        <f t="shared" si="1"/>
        <v>M3B2FALSE</v>
      </c>
      <c r="T100"/>
    </row>
    <row r="101" spans="1:20" ht="12.75" customHeight="1" x14ac:dyDescent="0.25">
      <c r="A101" t="s">
        <v>664</v>
      </c>
      <c r="B101" t="s">
        <v>664</v>
      </c>
      <c r="C101" s="32" t="str" cm="1">
        <f t="array" aca="1" ref="C101" ca="1">"'='" &amp; MID(CELL("address",INDIRECT(B101)),$K$2+1,100)</f>
        <v>'='CNPIs Education'!$G$27</v>
      </c>
      <c r="D101" s="38">
        <f>M3B2lYouthPostSecGradBaseline</f>
        <v>0</v>
      </c>
      <c r="E101" s="38" t="s">
        <v>493</v>
      </c>
      <c r="F101" s="110" t="s">
        <v>664</v>
      </c>
      <c r="H101" s="55"/>
      <c r="I101" s="13" t="str">
        <f t="shared" si="1"/>
        <v>M3B2FALSE</v>
      </c>
      <c r="T101"/>
    </row>
    <row r="102" spans="1:20" ht="12.75" customHeight="1" x14ac:dyDescent="0.25">
      <c r="A102" t="s">
        <v>665</v>
      </c>
      <c r="B102" t="s">
        <v>665</v>
      </c>
      <c r="C102" s="32" t="str" cm="1">
        <f t="array" aca="1" ref="C102" ca="1">"'='" &amp; MID(CELL("address",INDIRECT(B102)),$K$2+1,100)</f>
        <v>'='CNPIs Education'!$H$27</v>
      </c>
      <c r="D102" s="38">
        <f>M3B2lYouthPostSecGradTarget</f>
        <v>0</v>
      </c>
      <c r="E102" s="38" t="s">
        <v>493</v>
      </c>
      <c r="F102" s="110" t="s">
        <v>665</v>
      </c>
      <c r="H102" s="55"/>
      <c r="I102" s="13" t="str">
        <f t="shared" si="1"/>
        <v>M3B2FALSE</v>
      </c>
      <c r="T102"/>
    </row>
    <row r="103" spans="1:20" ht="12.75" customHeight="1" x14ac:dyDescent="0.25">
      <c r="A103" s="13" t="s">
        <v>1316</v>
      </c>
      <c r="B103" s="13" t="s">
        <v>1316</v>
      </c>
      <c r="C103" s="32" t="str" cm="1">
        <f t="array" aca="1" ref="C103" ca="1">"'='" &amp; MID(CELL("address",INDIRECT(B103)),$K$2+1,100)</f>
        <v>'='CNPIs Education'!$I$27</v>
      </c>
      <c r="D103" s="38" t="str">
        <f>M3B2lYouthPostSecGradExpectChng</f>
        <v/>
      </c>
      <c r="E103" s="38" t="s">
        <v>493</v>
      </c>
      <c r="F103" s="13" t="s">
        <v>1316</v>
      </c>
      <c r="I103" s="13" t="str">
        <f t="shared" si="1"/>
        <v>M3B2FALSE</v>
      </c>
      <c r="T103"/>
    </row>
    <row r="104" spans="1:20" ht="12.75" customHeight="1" x14ac:dyDescent="0.25">
      <c r="A104" t="s">
        <v>666</v>
      </c>
      <c r="B104" t="s">
        <v>666</v>
      </c>
      <c r="C104" s="32" t="str" cm="1">
        <f t="array" aca="1" ref="C104" ca="1">"'='" &amp; MID(CELL("address",INDIRECT(B104)),$K$2+1,100)</f>
        <v>'='CNPIs Education'!$J$27</v>
      </c>
      <c r="D104" s="38">
        <f>M3B2lYouthPostSecGradResults</f>
        <v>0</v>
      </c>
      <c r="E104" s="38" t="s">
        <v>493</v>
      </c>
      <c r="F104" s="110" t="s">
        <v>666</v>
      </c>
      <c r="H104" s="55"/>
      <c r="I104" s="13" t="str">
        <f t="shared" si="1"/>
        <v>M3B2FALSE</v>
      </c>
      <c r="T104"/>
    </row>
    <row r="105" spans="1:20" ht="12.75" customHeight="1" x14ac:dyDescent="0.25">
      <c r="A105" s="13" t="s">
        <v>1317</v>
      </c>
      <c r="B105" s="13" t="s">
        <v>1317</v>
      </c>
      <c r="C105" s="32" t="str" cm="1">
        <f t="array" aca="1" ref="C105" ca="1">"'='" &amp; MID(CELL("address",INDIRECT(B105)),$K$2+1,100)</f>
        <v>'='CNPIs Education'!$K$27</v>
      </c>
      <c r="D105" s="38" t="str">
        <f>M3B2lYouthPostSecGradActualChng</f>
        <v/>
      </c>
      <c r="E105" s="38" t="s">
        <v>493</v>
      </c>
      <c r="F105" s="13" t="s">
        <v>1317</v>
      </c>
      <c r="I105" s="13" t="str">
        <f t="shared" si="1"/>
        <v>M3B2FALSE</v>
      </c>
      <c r="T105"/>
    </row>
    <row r="106" spans="1:20" ht="12.75" customHeight="1" x14ac:dyDescent="0.25">
      <c r="A106" s="13" t="s">
        <v>1318</v>
      </c>
      <c r="B106" s="13" t="s">
        <v>1318</v>
      </c>
      <c r="C106" s="32" t="str" cm="1">
        <f t="array" aca="1" ref="C106" ca="1">"'='" &amp; MID(CELL("address",INDIRECT(B106)),$K$2+1,100)</f>
        <v>'='CNPIs Education'!$L$27</v>
      </c>
      <c r="D106" s="38" t="str">
        <f>M3B2lYouthPostSecGradAccuracy</f>
        <v/>
      </c>
      <c r="E106" s="38" t="s">
        <v>493</v>
      </c>
      <c r="F106" s="13" t="s">
        <v>1318</v>
      </c>
      <c r="I106" s="13" t="str">
        <f t="shared" ref="I106:I169" si="2">LEFT(A106,4) &amp; AND(D106&lt;&gt;"",D106&lt;&gt;0)</f>
        <v>M3B2FALSE</v>
      </c>
      <c r="T106"/>
    </row>
    <row r="107" spans="1:20" ht="12.75" customHeight="1" x14ac:dyDescent="0.25">
      <c r="A107" t="s">
        <v>667</v>
      </c>
      <c r="B107" t="s">
        <v>667</v>
      </c>
      <c r="C107" s="32" t="str" cm="1">
        <f t="array" aca="1" ref="C107" ca="1">"'='" &amp; MID(CELL("address",INDIRECT(B107)),$K$2+1,100)</f>
        <v>'='CNPIs Education'!$G$28</v>
      </c>
      <c r="D107" s="38">
        <f>M3B2mAdultPostSecAttendBaseline</f>
        <v>0</v>
      </c>
      <c r="E107" s="38" t="s">
        <v>493</v>
      </c>
      <c r="F107" s="110" t="s">
        <v>667</v>
      </c>
      <c r="H107" s="55"/>
      <c r="I107" s="13" t="str">
        <f t="shared" si="2"/>
        <v>M3B2FALSE</v>
      </c>
      <c r="T107"/>
    </row>
    <row r="108" spans="1:20" ht="12.75" customHeight="1" x14ac:dyDescent="0.25">
      <c r="A108" t="s">
        <v>668</v>
      </c>
      <c r="B108" t="s">
        <v>668</v>
      </c>
      <c r="C108" s="32" t="str" cm="1">
        <f t="array" aca="1" ref="C108" ca="1">"'='" &amp; MID(CELL("address",INDIRECT(B108)),$K$2+1,100)</f>
        <v>'='CNPIs Education'!$H$28</v>
      </c>
      <c r="D108" s="38">
        <f>M3B2mAdultPostSecAttendTarget</f>
        <v>0</v>
      </c>
      <c r="E108" s="38" t="s">
        <v>493</v>
      </c>
      <c r="F108" s="110" t="s">
        <v>668</v>
      </c>
      <c r="H108" s="55"/>
      <c r="I108" s="13" t="str">
        <f t="shared" si="2"/>
        <v>M3B2FALSE</v>
      </c>
      <c r="T108"/>
    </row>
    <row r="109" spans="1:20" ht="12.75" customHeight="1" x14ac:dyDescent="0.25">
      <c r="A109" s="13" t="s">
        <v>1319</v>
      </c>
      <c r="B109" s="13" t="s">
        <v>1319</v>
      </c>
      <c r="C109" s="32" t="str" cm="1">
        <f t="array" aca="1" ref="C109" ca="1">"'='" &amp; MID(CELL("address",INDIRECT(B109)),$K$2+1,100)</f>
        <v>'='CNPIs Education'!$I$28</v>
      </c>
      <c r="D109" s="38" t="str">
        <f>M3B2mAdultPostSecAttendExpectChng</f>
        <v/>
      </c>
      <c r="E109" s="38" t="s">
        <v>493</v>
      </c>
      <c r="F109" s="13" t="s">
        <v>1319</v>
      </c>
      <c r="I109" s="13" t="str">
        <f t="shared" si="2"/>
        <v>M3B2FALSE</v>
      </c>
      <c r="T109"/>
    </row>
    <row r="110" spans="1:20" ht="12.75" customHeight="1" x14ac:dyDescent="0.25">
      <c r="A110" t="s">
        <v>669</v>
      </c>
      <c r="B110" t="s">
        <v>669</v>
      </c>
      <c r="C110" s="32" t="str" cm="1">
        <f t="array" aca="1" ref="C110" ca="1">"'='" &amp; MID(CELL("address",INDIRECT(B110)),$K$2+1,100)</f>
        <v>'='CNPIs Education'!$J$28</v>
      </c>
      <c r="D110" s="38">
        <f>M3B2mAdultPostSecAttendResults</f>
        <v>0</v>
      </c>
      <c r="E110" s="38" t="s">
        <v>493</v>
      </c>
      <c r="F110" s="110" t="s">
        <v>669</v>
      </c>
      <c r="H110" s="55"/>
      <c r="I110" s="13" t="str">
        <f t="shared" si="2"/>
        <v>M3B2FALSE</v>
      </c>
      <c r="T110"/>
    </row>
    <row r="111" spans="1:20" ht="12.75" customHeight="1" x14ac:dyDescent="0.25">
      <c r="A111" s="13" t="s">
        <v>1320</v>
      </c>
      <c r="B111" s="13" t="s">
        <v>1320</v>
      </c>
      <c r="C111" s="32" t="str" cm="1">
        <f t="array" aca="1" ref="C111" ca="1">"'='" &amp; MID(CELL("address",INDIRECT(B111)),$K$2+1,100)</f>
        <v>'='CNPIs Education'!$K$28</v>
      </c>
      <c r="D111" s="38" t="str">
        <f>M3B2mAdultPostSecAttendActualChng</f>
        <v/>
      </c>
      <c r="E111" s="38" t="s">
        <v>493</v>
      </c>
      <c r="F111" s="13" t="s">
        <v>1320</v>
      </c>
      <c r="I111" s="13" t="str">
        <f t="shared" si="2"/>
        <v>M3B2FALSE</v>
      </c>
      <c r="T111"/>
    </row>
    <row r="112" spans="1:20" ht="12.75" customHeight="1" x14ac:dyDescent="0.25">
      <c r="A112" s="13" t="s">
        <v>1321</v>
      </c>
      <c r="B112" s="13" t="s">
        <v>1321</v>
      </c>
      <c r="C112" s="32" t="str" cm="1">
        <f t="array" aca="1" ref="C112" ca="1">"'='" &amp; MID(CELL("address",INDIRECT(B112)),$K$2+1,100)</f>
        <v>'='CNPIs Education'!$L$28</v>
      </c>
      <c r="D112" s="38" t="str">
        <f>M3B2mAdultPostSecAttendAccuracy</f>
        <v/>
      </c>
      <c r="E112" s="38" t="s">
        <v>493</v>
      </c>
      <c r="F112" s="13" t="s">
        <v>1321</v>
      </c>
      <c r="I112" s="13" t="str">
        <f t="shared" si="2"/>
        <v>M3B2FALSE</v>
      </c>
      <c r="T112"/>
    </row>
    <row r="113" spans="1:20" ht="12.75" customHeight="1" x14ac:dyDescent="0.25">
      <c r="A113" t="s">
        <v>670</v>
      </c>
      <c r="B113" t="s">
        <v>670</v>
      </c>
      <c r="C113" s="32" t="str" cm="1">
        <f t="array" aca="1" ref="C113" ca="1">"'='" &amp; MID(CELL("address",INDIRECT(B113)),$K$2+1,100)</f>
        <v>'='CNPIs Education'!$G$29</v>
      </c>
      <c r="D113" s="38">
        <f>M3B2nAdultPostSecGradBaseline</f>
        <v>0</v>
      </c>
      <c r="E113" s="38" t="s">
        <v>493</v>
      </c>
      <c r="F113" s="110" t="s">
        <v>670</v>
      </c>
      <c r="H113" s="55"/>
      <c r="I113" s="13" t="str">
        <f t="shared" si="2"/>
        <v>M3B2FALSE</v>
      </c>
      <c r="T113"/>
    </row>
    <row r="114" spans="1:20" ht="12.75" customHeight="1" x14ac:dyDescent="0.25">
      <c r="A114" t="s">
        <v>671</v>
      </c>
      <c r="B114" t="s">
        <v>671</v>
      </c>
      <c r="C114" s="32" t="str" cm="1">
        <f t="array" aca="1" ref="C114" ca="1">"'='" &amp; MID(CELL("address",INDIRECT(B114)),$K$2+1,100)</f>
        <v>'='CNPIs Education'!$H$29</v>
      </c>
      <c r="D114" s="38">
        <f>M3B2nAdultPostSecGradTarget</f>
        <v>0</v>
      </c>
      <c r="E114" s="38" t="s">
        <v>493</v>
      </c>
      <c r="F114" s="110" t="s">
        <v>671</v>
      </c>
      <c r="H114" s="55"/>
      <c r="I114" s="13" t="str">
        <f t="shared" si="2"/>
        <v>M3B2FALSE</v>
      </c>
      <c r="T114"/>
    </row>
    <row r="115" spans="1:20" ht="12.75" customHeight="1" x14ac:dyDescent="0.25">
      <c r="A115" s="13" t="s">
        <v>1322</v>
      </c>
      <c r="B115" s="13" t="s">
        <v>1322</v>
      </c>
      <c r="C115" s="32" t="str" cm="1">
        <f t="array" aca="1" ref="C115" ca="1">"'='" &amp; MID(CELL("address",INDIRECT(B115)),$K$2+1,100)</f>
        <v>'='CNPIs Education'!$I$29</v>
      </c>
      <c r="D115" s="38" t="str">
        <f>M3B2nAdultPostSecGradExpectChng</f>
        <v/>
      </c>
      <c r="E115" s="38" t="s">
        <v>493</v>
      </c>
      <c r="F115" s="13" t="s">
        <v>1322</v>
      </c>
      <c r="I115" s="13" t="str">
        <f t="shared" si="2"/>
        <v>M3B2FALSE</v>
      </c>
      <c r="T115"/>
    </row>
    <row r="116" spans="1:20" ht="12.75" customHeight="1" x14ac:dyDescent="0.25">
      <c r="A116" t="s">
        <v>672</v>
      </c>
      <c r="B116" t="s">
        <v>672</v>
      </c>
      <c r="C116" s="32" t="str" cm="1">
        <f t="array" aca="1" ref="C116" ca="1">"'='" &amp; MID(CELL("address",INDIRECT(B116)),$K$2+1,100)</f>
        <v>'='CNPIs Education'!$J$29</v>
      </c>
      <c r="D116" s="38">
        <f>M3B2nAdultPostSecGradResults</f>
        <v>0</v>
      </c>
      <c r="E116" s="38" t="s">
        <v>493</v>
      </c>
      <c r="F116" s="110" t="s">
        <v>672</v>
      </c>
      <c r="H116" s="55"/>
      <c r="I116" s="13" t="str">
        <f t="shared" si="2"/>
        <v>M3B2FALSE</v>
      </c>
      <c r="T116"/>
    </row>
    <row r="117" spans="1:20" ht="12.75" customHeight="1" x14ac:dyDescent="0.25">
      <c r="A117" s="13" t="s">
        <v>1323</v>
      </c>
      <c r="B117" s="13" t="s">
        <v>1323</v>
      </c>
      <c r="C117" s="32" t="str" cm="1">
        <f t="array" aca="1" ref="C117" ca="1">"'='" &amp; MID(CELL("address",INDIRECT(B117)),$K$2+1,100)</f>
        <v>'='CNPIs Education'!$K$29</v>
      </c>
      <c r="D117" s="38" t="str">
        <f>M3B2nAdultPostSecGradActualChng</f>
        <v/>
      </c>
      <c r="E117" s="38" t="s">
        <v>493</v>
      </c>
      <c r="F117" s="13" t="s">
        <v>1323</v>
      </c>
      <c r="I117" s="13" t="str">
        <f t="shared" si="2"/>
        <v>M3B2FALSE</v>
      </c>
      <c r="T117"/>
    </row>
    <row r="118" spans="1:20" ht="12.75" customHeight="1" x14ac:dyDescent="0.25">
      <c r="A118" s="13" t="s">
        <v>1324</v>
      </c>
      <c r="B118" s="13" t="s">
        <v>1324</v>
      </c>
      <c r="C118" s="32" t="str" cm="1">
        <f t="array" aca="1" ref="C118" ca="1">"'='" &amp; MID(CELL("address",INDIRECT(B118)),$K$2+1,100)</f>
        <v>'='CNPIs Education'!$L$29</v>
      </c>
      <c r="D118" s="38" t="str">
        <f>M3B2nAdultPostSecGradAccuracy</f>
        <v/>
      </c>
      <c r="E118" s="38" t="s">
        <v>493</v>
      </c>
      <c r="F118" s="13" t="s">
        <v>1324</v>
      </c>
      <c r="I118" s="13" t="str">
        <f t="shared" si="2"/>
        <v>M3B2FALSE</v>
      </c>
      <c r="T118"/>
    </row>
    <row r="119" spans="1:20" ht="12.75" customHeight="1" x14ac:dyDescent="0.25">
      <c r="A119" t="s">
        <v>673</v>
      </c>
      <c r="B119" t="s">
        <v>673</v>
      </c>
      <c r="C119" s="32" t="str" cm="1">
        <f t="array" aca="1" ref="C119" ca="1">"'='" &amp; MID(CELL("address",INDIRECT(B119)),$K$2+1,100)</f>
        <v>'='CNPIs Education'!$G$30</v>
      </c>
      <c r="D119" s="38">
        <f>M3B2oLitRateBaseline</f>
        <v>0</v>
      </c>
      <c r="E119" s="38" t="s">
        <v>493</v>
      </c>
      <c r="F119" s="110" t="s">
        <v>673</v>
      </c>
      <c r="H119" s="55"/>
      <c r="I119" s="13" t="str">
        <f t="shared" si="2"/>
        <v>M3B2FALSE</v>
      </c>
      <c r="T119"/>
    </row>
    <row r="120" spans="1:20" ht="12.75" customHeight="1" x14ac:dyDescent="0.25">
      <c r="A120" t="s">
        <v>674</v>
      </c>
      <c r="B120" t="s">
        <v>674</v>
      </c>
      <c r="C120" s="32" t="str" cm="1">
        <f t="array" aca="1" ref="C120" ca="1">"'='" &amp; MID(CELL("address",INDIRECT(B120)),$K$2+1,100)</f>
        <v>'='CNPIs Education'!$H$30</v>
      </c>
      <c r="D120" s="38">
        <f>M3B2oLitRateTarget</f>
        <v>0</v>
      </c>
      <c r="E120" s="38" t="s">
        <v>493</v>
      </c>
      <c r="F120" s="110" t="s">
        <v>674</v>
      </c>
      <c r="H120" s="55"/>
      <c r="I120" s="13" t="str">
        <f t="shared" si="2"/>
        <v>M3B2FALSE</v>
      </c>
      <c r="T120"/>
    </row>
    <row r="121" spans="1:20" ht="12.75" customHeight="1" x14ac:dyDescent="0.25">
      <c r="A121" s="13" t="s">
        <v>1325</v>
      </c>
      <c r="B121" s="13" t="s">
        <v>1325</v>
      </c>
      <c r="C121" s="32" t="str" cm="1">
        <f t="array" aca="1" ref="C121" ca="1">"'='" &amp; MID(CELL("address",INDIRECT(B121)),$K$2+1,100)</f>
        <v>'='CNPIs Education'!$I$30</v>
      </c>
      <c r="D121" s="38" t="str">
        <f>M3B2oLitRateExpectChng</f>
        <v/>
      </c>
      <c r="E121" s="38" t="s">
        <v>493</v>
      </c>
      <c r="F121" s="13" t="s">
        <v>1325</v>
      </c>
      <c r="I121" s="13" t="str">
        <f t="shared" si="2"/>
        <v>M3B2FALSE</v>
      </c>
      <c r="T121"/>
    </row>
    <row r="122" spans="1:20" ht="12.75" customHeight="1" x14ac:dyDescent="0.25">
      <c r="A122" t="s">
        <v>675</v>
      </c>
      <c r="B122" t="s">
        <v>675</v>
      </c>
      <c r="C122" s="32" t="str" cm="1">
        <f t="array" aca="1" ref="C122" ca="1">"'='" &amp; MID(CELL("address",INDIRECT(B122)),$K$2+1,100)</f>
        <v>'='CNPIs Education'!$J$30</v>
      </c>
      <c r="D122" s="38">
        <f>M3B2oLitRateResults</f>
        <v>0</v>
      </c>
      <c r="E122" s="38" t="s">
        <v>493</v>
      </c>
      <c r="F122" s="110" t="s">
        <v>675</v>
      </c>
      <c r="H122" s="55"/>
      <c r="I122" s="13" t="str">
        <f t="shared" si="2"/>
        <v>M3B2FALSE</v>
      </c>
      <c r="T122"/>
    </row>
    <row r="123" spans="1:20" ht="12.75" customHeight="1" x14ac:dyDescent="0.25">
      <c r="A123" s="13" t="s">
        <v>1326</v>
      </c>
      <c r="B123" s="13" t="s">
        <v>1326</v>
      </c>
      <c r="C123" s="32" t="str" cm="1">
        <f t="array" aca="1" ref="C123" ca="1">"'='" &amp; MID(CELL("address",INDIRECT(B123)),$K$2+1,100)</f>
        <v>'='CNPIs Education'!$K$30</v>
      </c>
      <c r="D123" s="38" t="str">
        <f>M3B2oLitRateActualChng</f>
        <v/>
      </c>
      <c r="E123" s="38" t="s">
        <v>493</v>
      </c>
      <c r="F123" s="13" t="s">
        <v>1326</v>
      </c>
      <c r="I123" s="13" t="str">
        <f t="shared" si="2"/>
        <v>M3B2FALSE</v>
      </c>
      <c r="T123"/>
    </row>
    <row r="124" spans="1:20" ht="12.75" customHeight="1" x14ac:dyDescent="0.25">
      <c r="A124" s="13" t="s">
        <v>1327</v>
      </c>
      <c r="B124" s="13" t="s">
        <v>1327</v>
      </c>
      <c r="C124" s="32" t="str" cm="1">
        <f t="array" aca="1" ref="C124" ca="1">"'='" &amp; MID(CELL("address",INDIRECT(B124)),$K$2+1,100)</f>
        <v>'='CNPIs Education'!$L$30</v>
      </c>
      <c r="D124" s="38" t="str">
        <f>M3B2oLitRateAccuracy</f>
        <v/>
      </c>
      <c r="E124" s="38" t="s">
        <v>493</v>
      </c>
      <c r="F124" s="13" t="s">
        <v>1327</v>
      </c>
      <c r="I124" s="13" t="str">
        <f t="shared" si="2"/>
        <v>M3B2FALSE</v>
      </c>
      <c r="T124"/>
    </row>
    <row r="125" spans="1:20" ht="12.75" customHeight="1" x14ac:dyDescent="0.25">
      <c r="A125" t="s">
        <v>643</v>
      </c>
      <c r="B125" t="s">
        <v>643</v>
      </c>
      <c r="C125" s="32" t="str" cm="1">
        <f t="array" aca="1" ref="C125" ca="1">"'='" &amp; MID(CELL("address",INDIRECT(B125)),$K$2+1,100)</f>
        <v>'='CNPIs Education'!$C$33</v>
      </c>
      <c r="D125" s="38">
        <f>M3B2z4OtherEdCogDev4Name</f>
        <v>0</v>
      </c>
      <c r="E125" s="38" t="s">
        <v>284</v>
      </c>
      <c r="F125" s="110" t="s">
        <v>643</v>
      </c>
      <c r="G125" s="38">
        <v>1000</v>
      </c>
      <c r="H125" s="55"/>
      <c r="I125" s="13" t="str">
        <f t="shared" si="2"/>
        <v>M3B2FALSE</v>
      </c>
      <c r="T125"/>
    </row>
    <row r="126" spans="1:20" ht="12.75" customHeight="1" x14ac:dyDescent="0.25">
      <c r="A126" t="s">
        <v>681</v>
      </c>
      <c r="B126" t="s">
        <v>681</v>
      </c>
      <c r="C126" s="32" t="str" cm="1">
        <f t="array" aca="1" ref="C126" ca="1">"'='" &amp; MID(CELL("address",INDIRECT(B126)),$K$2+1,100)</f>
        <v>'='CNPIs Education'!$G$33</v>
      </c>
      <c r="D126" s="38">
        <f>M3B2z4OtherEdCogDev4Baseline</f>
        <v>0</v>
      </c>
      <c r="E126" s="38" t="s">
        <v>493</v>
      </c>
      <c r="F126" s="110" t="s">
        <v>681</v>
      </c>
      <c r="H126" s="55"/>
      <c r="I126" s="13" t="str">
        <f t="shared" si="2"/>
        <v>M3B2FALSE</v>
      </c>
      <c r="T126"/>
    </row>
    <row r="127" spans="1:20" ht="12.75" customHeight="1" x14ac:dyDescent="0.25">
      <c r="A127" t="s">
        <v>644</v>
      </c>
      <c r="B127" t="s">
        <v>644</v>
      </c>
      <c r="C127" s="32" t="str" cm="1">
        <f t="array" aca="1" ref="C127" ca="1">"'='" &amp; MID(CELL("address",INDIRECT(B127)),$K$2+1,100)</f>
        <v>'='CNPIs Education'!$H$33</v>
      </c>
      <c r="D127" s="38">
        <f>M3B2z4OtherEdCogDev4Target</f>
        <v>0</v>
      </c>
      <c r="E127" s="38" t="s">
        <v>493</v>
      </c>
      <c r="F127" s="110" t="s">
        <v>644</v>
      </c>
      <c r="H127" s="55"/>
      <c r="I127" s="13" t="str">
        <f t="shared" si="2"/>
        <v>M3B2FALSE</v>
      </c>
      <c r="T127"/>
    </row>
    <row r="128" spans="1:20" ht="12.75" customHeight="1" x14ac:dyDescent="0.25">
      <c r="A128" s="13" t="s">
        <v>1331</v>
      </c>
      <c r="B128" s="13" t="s">
        <v>1331</v>
      </c>
      <c r="C128" s="32" t="str" cm="1">
        <f t="array" aca="1" ref="C128" ca="1">"'='" &amp; MID(CELL("address",INDIRECT(B128)),$K$2+1,100)</f>
        <v>'='CNPIs Education'!$I$33</v>
      </c>
      <c r="D128" s="38" t="str">
        <f>M3B2z4OtherEdCogDev4ExpectChng</f>
        <v/>
      </c>
      <c r="E128" s="38" t="s">
        <v>493</v>
      </c>
      <c r="F128" s="13" t="s">
        <v>1331</v>
      </c>
      <c r="I128" s="13" t="str">
        <f t="shared" si="2"/>
        <v>M3B2FALSE</v>
      </c>
      <c r="T128"/>
    </row>
    <row r="129" spans="1:20" ht="12.75" customHeight="1" x14ac:dyDescent="0.25">
      <c r="A129" t="s">
        <v>645</v>
      </c>
      <c r="B129" t="s">
        <v>645</v>
      </c>
      <c r="C129" s="32" t="str" cm="1">
        <f t="array" aca="1" ref="C129" ca="1">"'='" &amp; MID(CELL("address",INDIRECT(B129)),$K$2+1,100)</f>
        <v>'='CNPIs Education'!$J$33</v>
      </c>
      <c r="D129" s="38">
        <f>M3B2z4OtherEdCogDev4Results</f>
        <v>0</v>
      </c>
      <c r="E129" s="38" t="s">
        <v>493</v>
      </c>
      <c r="F129" s="110" t="s">
        <v>645</v>
      </c>
      <c r="H129" s="55"/>
      <c r="I129" s="13" t="str">
        <f t="shared" si="2"/>
        <v>M3B2FALSE</v>
      </c>
      <c r="T129"/>
    </row>
    <row r="130" spans="1:20" ht="12.75" customHeight="1" x14ac:dyDescent="0.25">
      <c r="A130" s="13" t="s">
        <v>1332</v>
      </c>
      <c r="B130" s="13" t="s">
        <v>1332</v>
      </c>
      <c r="C130" s="32" t="str" cm="1">
        <f t="array" aca="1" ref="C130" ca="1">"'='" &amp; MID(CELL("address",INDIRECT(B130)),$K$2+1,100)</f>
        <v>'='CNPIs Education'!$K$33</v>
      </c>
      <c r="D130" s="38" t="str">
        <f>M3B2z4OtherEdCogDev4ActualChng</f>
        <v/>
      </c>
      <c r="E130" s="38" t="s">
        <v>493</v>
      </c>
      <c r="F130" s="13" t="s">
        <v>1332</v>
      </c>
      <c r="I130" s="13" t="str">
        <f t="shared" si="2"/>
        <v>M3B2FALSE</v>
      </c>
      <c r="T130"/>
    </row>
    <row r="131" spans="1:20" ht="12.75" customHeight="1" x14ac:dyDescent="0.25">
      <c r="A131" s="13" t="s">
        <v>1333</v>
      </c>
      <c r="B131" s="13" t="s">
        <v>1333</v>
      </c>
      <c r="C131" s="32" t="str" cm="1">
        <f t="array" aca="1" ref="C131" ca="1">"'='" &amp; MID(CELL("address",INDIRECT(B131)),$K$2+1,100)</f>
        <v>'='CNPIs Education'!$L$33</v>
      </c>
      <c r="D131" s="38" t="str">
        <f>M3B2z4OtherEdCogDev4Accuracy</f>
        <v/>
      </c>
      <c r="E131" s="38" t="s">
        <v>493</v>
      </c>
      <c r="F131" s="13" t="s">
        <v>1333</v>
      </c>
      <c r="I131" s="13" t="str">
        <f t="shared" si="2"/>
        <v>M3B2FALSE</v>
      </c>
      <c r="T131"/>
    </row>
    <row r="132" spans="1:20" ht="12.75" customHeight="1" x14ac:dyDescent="0.25">
      <c r="A132" t="s">
        <v>646</v>
      </c>
      <c r="B132" t="s">
        <v>646</v>
      </c>
      <c r="C132" s="32" t="str" cm="1">
        <f t="array" aca="1" ref="C132" ca="1">"'='" &amp; MID(CELL("address",INDIRECT(B132)),$K$2+1,100)</f>
        <v>'='CNPIs Education'!$C$34</v>
      </c>
      <c r="D132" s="38">
        <f>M3B2z5OtherEdCogDev5Name</f>
        <v>0</v>
      </c>
      <c r="E132" s="38" t="s">
        <v>284</v>
      </c>
      <c r="F132" s="110" t="s">
        <v>646</v>
      </c>
      <c r="G132" s="38">
        <v>1000</v>
      </c>
      <c r="H132" s="55"/>
      <c r="I132" s="13" t="str">
        <f t="shared" si="2"/>
        <v>M3B2FALSE</v>
      </c>
      <c r="T132"/>
    </row>
    <row r="133" spans="1:20" ht="12.75" customHeight="1" x14ac:dyDescent="0.25">
      <c r="A133" t="s">
        <v>680</v>
      </c>
      <c r="B133" t="s">
        <v>680</v>
      </c>
      <c r="C133" s="32" t="str" cm="1">
        <f t="array" aca="1" ref="C133" ca="1">"'='" &amp; MID(CELL("address",INDIRECT(B133)),$K$2+1,100)</f>
        <v>'='CNPIs Education'!$G$34</v>
      </c>
      <c r="D133" s="38">
        <f>M3B2z5OtherEdCogDev5Baseline</f>
        <v>0</v>
      </c>
      <c r="E133" s="38" t="s">
        <v>493</v>
      </c>
      <c r="F133" s="110" t="s">
        <v>680</v>
      </c>
      <c r="H133" s="55"/>
      <c r="I133" s="13" t="str">
        <f t="shared" si="2"/>
        <v>M3B2FALSE</v>
      </c>
      <c r="T133"/>
    </row>
    <row r="134" spans="1:20" ht="12.75" customHeight="1" x14ac:dyDescent="0.25">
      <c r="A134" t="s">
        <v>647</v>
      </c>
      <c r="B134" t="s">
        <v>647</v>
      </c>
      <c r="C134" s="32" t="str" cm="1">
        <f t="array" aca="1" ref="C134" ca="1">"'='" &amp; MID(CELL("address",INDIRECT(B134)),$K$2+1,100)</f>
        <v>'='CNPIs Education'!$H$34</v>
      </c>
      <c r="D134" s="38">
        <f>M3B2z5OtherEdCogDev5Target</f>
        <v>0</v>
      </c>
      <c r="E134" s="38" t="s">
        <v>493</v>
      </c>
      <c r="F134" s="110" t="s">
        <v>647</v>
      </c>
      <c r="H134" s="55"/>
      <c r="I134" s="13" t="str">
        <f t="shared" si="2"/>
        <v>M3B2FALSE</v>
      </c>
      <c r="T134"/>
    </row>
    <row r="135" spans="1:20" ht="12.75" customHeight="1" x14ac:dyDescent="0.25">
      <c r="A135" s="13" t="s">
        <v>1334</v>
      </c>
      <c r="B135" s="13" t="s">
        <v>1334</v>
      </c>
      <c r="C135" s="32" t="str" cm="1">
        <f t="array" aca="1" ref="C135" ca="1">"'='" &amp; MID(CELL("address",INDIRECT(B135)),$K$2+1,100)</f>
        <v>'='CNPIs Education'!$I$34</v>
      </c>
      <c r="D135" s="38" t="str">
        <f>M3B2z5OtherEdCogDev5ExpectChng</f>
        <v/>
      </c>
      <c r="E135" s="38" t="s">
        <v>493</v>
      </c>
      <c r="F135" s="13" t="s">
        <v>1334</v>
      </c>
      <c r="I135" s="13" t="str">
        <f t="shared" si="2"/>
        <v>M3B2FALSE</v>
      </c>
      <c r="T135"/>
    </row>
    <row r="136" spans="1:20" ht="12.75" customHeight="1" x14ac:dyDescent="0.25">
      <c r="A136" t="s">
        <v>648</v>
      </c>
      <c r="B136" t="s">
        <v>648</v>
      </c>
      <c r="C136" s="32" t="str" cm="1">
        <f t="array" aca="1" ref="C136" ca="1">"'='" &amp; MID(CELL("address",INDIRECT(B136)),$K$2+1,100)</f>
        <v>'='CNPIs Education'!$J$34</v>
      </c>
      <c r="D136" s="38">
        <f>M3B2z5OtherEdCogDev5Results</f>
        <v>0</v>
      </c>
      <c r="E136" s="38" t="s">
        <v>493</v>
      </c>
      <c r="F136" s="110" t="s">
        <v>648</v>
      </c>
      <c r="H136" s="55"/>
      <c r="I136" s="13" t="str">
        <f t="shared" si="2"/>
        <v>M3B2FALSE</v>
      </c>
      <c r="T136"/>
    </row>
    <row r="137" spans="1:20" ht="12.75" customHeight="1" x14ac:dyDescent="0.25">
      <c r="A137" s="13" t="s">
        <v>1335</v>
      </c>
      <c r="B137" s="13" t="s">
        <v>1335</v>
      </c>
      <c r="C137" s="32" t="str" cm="1">
        <f t="array" aca="1" ref="C137" ca="1">"'='" &amp; MID(CELL("address",INDIRECT(B137)),$K$2+1,100)</f>
        <v>'='CNPIs Education'!$K$34</v>
      </c>
      <c r="D137" s="38" t="str">
        <f>M3B2z5OtherEdCogDev5ActualChng</f>
        <v/>
      </c>
      <c r="E137" s="38" t="s">
        <v>493</v>
      </c>
      <c r="F137" s="13" t="s">
        <v>1335</v>
      </c>
      <c r="I137" s="13" t="str">
        <f t="shared" si="2"/>
        <v>M3B2FALSE</v>
      </c>
      <c r="T137"/>
    </row>
    <row r="138" spans="1:20" ht="12.75" customHeight="1" x14ac:dyDescent="0.25">
      <c r="A138" s="13" t="s">
        <v>1336</v>
      </c>
      <c r="B138" s="13" t="s">
        <v>1336</v>
      </c>
      <c r="C138" s="32" t="str" cm="1">
        <f t="array" aca="1" ref="C138" ca="1">"'='" &amp; MID(CELL("address",INDIRECT(B138)),$K$2+1,100)</f>
        <v>'='CNPIs Education'!$L$34</v>
      </c>
      <c r="D138" s="38" t="str">
        <f>M3B2z5OtherEdCogDev5Accuracy</f>
        <v/>
      </c>
      <c r="E138" s="38" t="s">
        <v>493</v>
      </c>
      <c r="F138" s="13" t="s">
        <v>1336</v>
      </c>
      <c r="I138" s="13" t="str">
        <f t="shared" si="2"/>
        <v>M3B2FALSE</v>
      </c>
      <c r="T138"/>
    </row>
    <row r="139" spans="1:20" ht="12.75" customHeight="1" x14ac:dyDescent="0.25">
      <c r="A139" t="s">
        <v>676</v>
      </c>
      <c r="B139" t="s">
        <v>676</v>
      </c>
      <c r="C139" s="32" t="str" cm="1">
        <f t="array" aca="1" ref="C139" ca="1">"'='" &amp; MID(CELL("address",INDIRECT(B139)),$K$2+1,100)</f>
        <v>'='CNPIs Education'!$C$35</v>
      </c>
      <c r="D139" s="38">
        <f>M3B2z6OtherEdCogDev6Name</f>
        <v>0</v>
      </c>
      <c r="E139" s="38" t="s">
        <v>284</v>
      </c>
      <c r="F139" s="110" t="s">
        <v>676</v>
      </c>
      <c r="G139" s="38">
        <v>1000</v>
      </c>
      <c r="H139" s="55"/>
      <c r="I139" s="13" t="str">
        <f t="shared" si="2"/>
        <v>M3B2FALSE</v>
      </c>
      <c r="T139"/>
    </row>
    <row r="140" spans="1:20" ht="12.75" customHeight="1" x14ac:dyDescent="0.25">
      <c r="A140" t="s">
        <v>677</v>
      </c>
      <c r="B140" t="s">
        <v>677</v>
      </c>
      <c r="C140" s="32" t="str" cm="1">
        <f t="array" aca="1" ref="C140" ca="1">"'='" &amp; MID(CELL("address",INDIRECT(B140)),$K$2+1,100)</f>
        <v>'='CNPIs Education'!$G$35</v>
      </c>
      <c r="D140" s="38">
        <f>M3B2z6OtherEdCogDev6Baseline</f>
        <v>0</v>
      </c>
      <c r="E140" s="38" t="s">
        <v>493</v>
      </c>
      <c r="F140" s="110" t="s">
        <v>677</v>
      </c>
      <c r="H140" s="55"/>
      <c r="I140" s="13" t="str">
        <f t="shared" si="2"/>
        <v>M3B2FALSE</v>
      </c>
      <c r="T140"/>
    </row>
    <row r="141" spans="1:20" ht="12.75" customHeight="1" x14ac:dyDescent="0.25">
      <c r="A141" t="s">
        <v>678</v>
      </c>
      <c r="B141" t="s">
        <v>678</v>
      </c>
      <c r="C141" s="32" t="str" cm="1">
        <f t="array" aca="1" ref="C141" ca="1">"'='" &amp; MID(CELL("address",INDIRECT(B141)),$K$2+1,100)</f>
        <v>'='CNPIs Education'!$H$35</v>
      </c>
      <c r="D141" s="38">
        <f>M3B2z6OtherEdCogDev6Target</f>
        <v>0</v>
      </c>
      <c r="E141" s="38" t="s">
        <v>493</v>
      </c>
      <c r="F141" s="110" t="s">
        <v>678</v>
      </c>
      <c r="H141" s="55"/>
      <c r="I141" s="13" t="str">
        <f t="shared" si="2"/>
        <v>M3B2FALSE</v>
      </c>
      <c r="T141"/>
    </row>
    <row r="142" spans="1:20" ht="12.75" customHeight="1" x14ac:dyDescent="0.25">
      <c r="A142" s="13" t="s">
        <v>1337</v>
      </c>
      <c r="B142" s="13" t="s">
        <v>1337</v>
      </c>
      <c r="C142" s="32" t="str" cm="1">
        <f t="array" aca="1" ref="C142" ca="1">"'='" &amp; MID(CELL("address",INDIRECT(B142)),$K$2+1,100)</f>
        <v>'='CNPIs Education'!$I$35</v>
      </c>
      <c r="D142" s="38" t="str">
        <f>M3B2z6OtherEdCogDev6ExpectChng</f>
        <v/>
      </c>
      <c r="E142" s="38" t="s">
        <v>493</v>
      </c>
      <c r="F142" s="13" t="s">
        <v>1337</v>
      </c>
      <c r="I142" s="13" t="str">
        <f t="shared" si="2"/>
        <v>M3B2FALSE</v>
      </c>
      <c r="T142"/>
    </row>
    <row r="143" spans="1:20" ht="12.75" customHeight="1" x14ac:dyDescent="0.25">
      <c r="A143" t="s">
        <v>679</v>
      </c>
      <c r="B143" t="s">
        <v>679</v>
      </c>
      <c r="C143" s="32" t="str" cm="1">
        <f t="array" aca="1" ref="C143" ca="1">"'='" &amp; MID(CELL("address",INDIRECT(B143)),$K$2+1,100)</f>
        <v>'='CNPIs Education'!$J$35</v>
      </c>
      <c r="D143" s="38">
        <f>M3B2z6OtherEdCogDev6Results</f>
        <v>0</v>
      </c>
      <c r="E143" s="38" t="s">
        <v>493</v>
      </c>
      <c r="F143" s="110" t="s">
        <v>679</v>
      </c>
      <c r="H143" s="55"/>
      <c r="I143" s="13" t="str">
        <f t="shared" si="2"/>
        <v>M3B2FALSE</v>
      </c>
      <c r="T143"/>
    </row>
    <row r="144" spans="1:20" ht="12.75" customHeight="1" x14ac:dyDescent="0.25">
      <c r="A144" s="13" t="s">
        <v>1338</v>
      </c>
      <c r="B144" s="13" t="s">
        <v>1338</v>
      </c>
      <c r="C144" s="32" t="str" cm="1">
        <f t="array" aca="1" ref="C144" ca="1">"'='" &amp; MID(CELL("address",INDIRECT(B144)),$K$2+1,100)</f>
        <v>'='CNPIs Education'!$K$35</v>
      </c>
      <c r="D144" s="38" t="str">
        <f>M3B2z6OtherEdCogDev6ActualChng</f>
        <v/>
      </c>
      <c r="E144" s="38" t="s">
        <v>493</v>
      </c>
      <c r="F144" s="13" t="s">
        <v>1338</v>
      </c>
      <c r="I144" s="13" t="str">
        <f t="shared" si="2"/>
        <v>M3B2FALSE</v>
      </c>
      <c r="T144"/>
    </row>
    <row r="145" spans="1:20" ht="12.75" customHeight="1" x14ac:dyDescent="0.25">
      <c r="A145" s="13" t="s">
        <v>1339</v>
      </c>
      <c r="B145" s="13" t="s">
        <v>1339</v>
      </c>
      <c r="C145" s="32" t="str" cm="1">
        <f t="array" aca="1" ref="C145" ca="1">"'='" &amp; MID(CELL("address",INDIRECT(B145)),$K$2+1,100)</f>
        <v>'='CNPIs Education'!$L$35</v>
      </c>
      <c r="D145" s="38" t="str">
        <f>M3B2z6OtherEdCogDev6Accuracy</f>
        <v/>
      </c>
      <c r="E145" s="38" t="s">
        <v>493</v>
      </c>
      <c r="F145" s="13" t="s">
        <v>1339</v>
      </c>
      <c r="I145" s="13" t="str">
        <f t="shared" si="2"/>
        <v>M3B2FALSE</v>
      </c>
      <c r="T145"/>
    </row>
    <row r="146" spans="1:20" ht="12.75" customHeight="1" x14ac:dyDescent="0.25">
      <c r="A146" t="s">
        <v>908</v>
      </c>
      <c r="B146" t="s">
        <v>908</v>
      </c>
      <c r="C146" s="32" t="str" cm="1">
        <f t="array" aca="1" ref="C146" ca="1">"'='" &amp; MID(CELL("address",INDIRECT(B146)),$K$2+1,100)</f>
        <v>'='CNPIs Education'!$B$37</v>
      </c>
      <c r="D146" s="38">
        <f>M3B2Comments</f>
        <v>0</v>
      </c>
      <c r="E146" s="38" t="s">
        <v>284</v>
      </c>
      <c r="F146" s="110" t="s">
        <v>908</v>
      </c>
      <c r="G146" s="38">
        <v>5000</v>
      </c>
      <c r="H146" s="55"/>
      <c r="I146" s="13" t="str">
        <f t="shared" si="2"/>
        <v>M3B2FALSE</v>
      </c>
      <c r="T146"/>
    </row>
    <row r="147" spans="1:20" ht="12.75" customHeight="1" x14ac:dyDescent="0.25">
      <c r="A147" t="s">
        <v>1237</v>
      </c>
      <c r="B147" t="s">
        <v>1237</v>
      </c>
      <c r="C147" s="32" t="str" cm="1">
        <f t="array" aca="1" ref="C147" ca="1">"'='" &amp; MID(CELL("address",INDIRECT(B147)),$K$2+1,100)</f>
        <v>'='CNPIs Employment'!$J$9</v>
      </c>
      <c r="D147" s="38" cm="1">
        <f t="array" ref="D147">M3B1aJobIncrOppTarget</f>
        <v>0</v>
      </c>
      <c r="E147" s="38" t="s">
        <v>493</v>
      </c>
      <c r="F147" s="110" t="s">
        <v>1237</v>
      </c>
      <c r="H147" s="55"/>
      <c r="I147" s="13" t="str">
        <f t="shared" si="2"/>
        <v>M3B1FALSE</v>
      </c>
      <c r="T147"/>
    </row>
    <row r="148" spans="1:20" ht="12.75" customHeight="1" x14ac:dyDescent="0.25">
      <c r="A148" t="s">
        <v>1227</v>
      </c>
      <c r="B148" t="s">
        <v>1227</v>
      </c>
      <c r="C148" s="32" t="str" cm="1">
        <f t="array" aca="1" ref="C148" ca="1">"'='" &amp; MID(CELL("address",INDIRECT(B148)),$K$2+1,100)</f>
        <v>'='CNPIs Employment'!$K$9</v>
      </c>
      <c r="D148" s="38" cm="1">
        <f t="array" ref="D148">M3B1aJobIncrOppResults</f>
        <v>0</v>
      </c>
      <c r="E148" s="38" t="s">
        <v>493</v>
      </c>
      <c r="F148" s="110" t="s">
        <v>1227</v>
      </c>
      <c r="H148" s="55"/>
      <c r="I148" s="13" t="str">
        <f t="shared" si="2"/>
        <v>M3B1FALSE</v>
      </c>
      <c r="T148"/>
    </row>
    <row r="149" spans="1:20" ht="12.75" customHeight="1" x14ac:dyDescent="0.25">
      <c r="A149" s="13" t="s">
        <v>1269</v>
      </c>
      <c r="B149" s="13" t="s">
        <v>1269</v>
      </c>
      <c r="C149" s="32" t="str" cm="1">
        <f t="array" aca="1" ref="C149" ca="1">"'='" &amp; MID(CELL("address",INDIRECT(B149)),$K$2+1,100)</f>
        <v>'='CNPIs Employment'!$L$9</v>
      </c>
      <c r="D149" s="38" t="str">
        <f>M3B1aJobIncrOppAccuracy</f>
        <v/>
      </c>
      <c r="E149" s="38" t="s">
        <v>493</v>
      </c>
      <c r="F149" s="13" t="s">
        <v>1269</v>
      </c>
      <c r="I149" s="13" t="str">
        <f t="shared" si="2"/>
        <v>M3B1FALSE</v>
      </c>
      <c r="T149"/>
    </row>
    <row r="150" spans="1:20" ht="12.75" customHeight="1" x14ac:dyDescent="0.25">
      <c r="A150" t="s">
        <v>1238</v>
      </c>
      <c r="B150" t="s">
        <v>1238</v>
      </c>
      <c r="C150" s="32" t="str" cm="1">
        <f t="array" aca="1" ref="C150" ca="1">"'='" &amp; MID(CELL("address",INDIRECT(B150)),$K$2+1,100)</f>
        <v>'='CNPIs Employment'!$J$10</v>
      </c>
      <c r="D150" s="38" cm="1">
        <f t="array" ref="D150">M3B1bJobOppMainTarget</f>
        <v>0</v>
      </c>
      <c r="E150" s="38" t="s">
        <v>493</v>
      </c>
      <c r="F150" s="110" t="s">
        <v>1238</v>
      </c>
      <c r="H150" s="55"/>
      <c r="I150" s="13" t="str">
        <f t="shared" si="2"/>
        <v>M3B1FALSE</v>
      </c>
      <c r="T150"/>
    </row>
    <row r="151" spans="1:20" ht="12.75" customHeight="1" x14ac:dyDescent="0.25">
      <c r="A151" t="s">
        <v>1228</v>
      </c>
      <c r="B151" t="s">
        <v>1228</v>
      </c>
      <c r="C151" s="32" t="str" cm="1">
        <f t="array" aca="1" ref="C151" ca="1">"'='" &amp; MID(CELL("address",INDIRECT(B151)),$K$2+1,100)</f>
        <v>'='CNPIs Employment'!$K$10</v>
      </c>
      <c r="D151" s="38" cm="1">
        <f t="array" ref="D151">M3B1bJobOppMainResults</f>
        <v>0</v>
      </c>
      <c r="E151" s="38" t="s">
        <v>493</v>
      </c>
      <c r="F151" s="110" t="s">
        <v>1228</v>
      </c>
      <c r="H151" s="55"/>
      <c r="I151" s="13" t="str">
        <f t="shared" si="2"/>
        <v>M3B1FALSE</v>
      </c>
      <c r="T151"/>
    </row>
    <row r="152" spans="1:20" ht="12.75" customHeight="1" x14ac:dyDescent="0.25">
      <c r="A152" s="13" t="s">
        <v>1270</v>
      </c>
      <c r="B152" s="13" t="s">
        <v>1270</v>
      </c>
      <c r="C152" s="32" t="str" cm="1">
        <f t="array" aca="1" ref="C152" ca="1">"'='" &amp; MID(CELL("address",INDIRECT(B152)),$K$2+1,100)</f>
        <v>'='CNPIs Employment'!$L$10</v>
      </c>
      <c r="D152" s="38" t="str">
        <f>M3B1bJobOppMainAccuracy</f>
        <v/>
      </c>
      <c r="E152" s="38" t="s">
        <v>493</v>
      </c>
      <c r="F152" s="13" t="s">
        <v>1270</v>
      </c>
      <c r="I152" s="13" t="str">
        <f t="shared" si="2"/>
        <v>M3B1FALSE</v>
      </c>
      <c r="T152"/>
    </row>
    <row r="153" spans="1:20" ht="12.75" customHeight="1" x14ac:dyDescent="0.25">
      <c r="A153" t="s">
        <v>1239</v>
      </c>
      <c r="B153" t="s">
        <v>1239</v>
      </c>
      <c r="C153" s="32" t="str" cm="1">
        <f t="array" aca="1" ref="C153" ca="1">"'='" &amp; MID(CELL("address",INDIRECT(B153)),$K$2+1,100)</f>
        <v>'='CNPIs Employment'!$J$11</v>
      </c>
      <c r="D153" s="38" cm="1">
        <f t="array" ref="D153">M3B1cLivWageCreateTarget</f>
        <v>0</v>
      </c>
      <c r="E153" s="38" t="s">
        <v>493</v>
      </c>
      <c r="F153" s="110" t="s">
        <v>1239</v>
      </c>
      <c r="H153" s="55"/>
      <c r="I153" s="13" t="str">
        <f t="shared" si="2"/>
        <v>M3B1FALSE</v>
      </c>
      <c r="T153"/>
    </row>
    <row r="154" spans="1:20" ht="12.75" customHeight="1" x14ac:dyDescent="0.25">
      <c r="A154" t="s">
        <v>1229</v>
      </c>
      <c r="B154" t="s">
        <v>1229</v>
      </c>
      <c r="C154" s="32" t="str" cm="1">
        <f t="array" aca="1" ref="C154" ca="1">"'='" &amp; MID(CELL("address",INDIRECT(B154)),$K$2+1,100)</f>
        <v>'='CNPIs Employment'!$K$11</v>
      </c>
      <c r="D154" s="38" cm="1">
        <f t="array" ref="D154">M3B1cLivWageCreateResults</f>
        <v>0</v>
      </c>
      <c r="E154" s="38" t="s">
        <v>493</v>
      </c>
      <c r="F154" s="110" t="s">
        <v>1229</v>
      </c>
      <c r="H154" s="55"/>
      <c r="I154" s="13" t="str">
        <f t="shared" si="2"/>
        <v>M3B1FALSE</v>
      </c>
      <c r="T154"/>
    </row>
    <row r="155" spans="1:20" ht="12.75" customHeight="1" x14ac:dyDescent="0.25">
      <c r="A155" s="13" t="s">
        <v>1271</v>
      </c>
      <c r="B155" s="13" t="s">
        <v>1271</v>
      </c>
      <c r="C155" s="32" t="str" cm="1">
        <f t="array" aca="1" ref="C155" ca="1">"'='" &amp; MID(CELL("address",INDIRECT(B155)),$K$2+1,100)</f>
        <v>'='CNPIs Employment'!$L$11</v>
      </c>
      <c r="D155" s="38" t="str">
        <f>M3B1cLivWageCreateAccuracy</f>
        <v/>
      </c>
      <c r="E155" s="38" t="s">
        <v>493</v>
      </c>
      <c r="F155" s="13" t="s">
        <v>1271</v>
      </c>
      <c r="I155" s="13" t="str">
        <f t="shared" si="2"/>
        <v>M3B1FALSE</v>
      </c>
      <c r="T155"/>
    </row>
    <row r="156" spans="1:20" ht="12.75" customHeight="1" x14ac:dyDescent="0.25">
      <c r="A156" t="s">
        <v>1240</v>
      </c>
      <c r="B156" t="s">
        <v>1240</v>
      </c>
      <c r="C156" s="32" t="str" cm="1">
        <f t="array" aca="1" ref="C156" ca="1">"'='" &amp; MID(CELL("address",INDIRECT(B156)),$K$2+1,100)</f>
        <v>'='CNPIs Employment'!$J$12</v>
      </c>
      <c r="D156" s="38" cm="1">
        <f t="array" ref="D156">M3B1dLivWageMainTarget</f>
        <v>0</v>
      </c>
      <c r="E156" s="38" t="s">
        <v>493</v>
      </c>
      <c r="F156" s="110" t="s">
        <v>1240</v>
      </c>
      <c r="H156" s="55"/>
      <c r="I156" s="13" t="str">
        <f t="shared" si="2"/>
        <v>M3B1FALSE</v>
      </c>
      <c r="T156"/>
    </row>
    <row r="157" spans="1:20" ht="12.75" customHeight="1" x14ac:dyDescent="0.25">
      <c r="A157" t="s">
        <v>1230</v>
      </c>
      <c r="B157" t="s">
        <v>1230</v>
      </c>
      <c r="C157" s="32" t="str" cm="1">
        <f t="array" aca="1" ref="C157" ca="1">"'='" &amp; MID(CELL("address",INDIRECT(B157)),$K$2+1,100)</f>
        <v>'='CNPIs Employment'!$K$12</v>
      </c>
      <c r="D157" s="38" cm="1">
        <f t="array" ref="D157">M3B1dLivWageMainResults</f>
        <v>0</v>
      </c>
      <c r="E157" s="38" t="s">
        <v>493</v>
      </c>
      <c r="F157" s="110" t="s">
        <v>1230</v>
      </c>
      <c r="H157" s="55"/>
      <c r="I157" s="13" t="str">
        <f t="shared" si="2"/>
        <v>M3B1FALSE</v>
      </c>
      <c r="T157"/>
    </row>
    <row r="158" spans="1:20" ht="12.75" customHeight="1" x14ac:dyDescent="0.25">
      <c r="A158" s="13" t="s">
        <v>1272</v>
      </c>
      <c r="B158" s="13" t="s">
        <v>1272</v>
      </c>
      <c r="C158" s="32" t="str" cm="1">
        <f t="array" aca="1" ref="C158" ca="1">"'='" &amp; MID(CELL("address",INDIRECT(B158)),$K$2+1,100)</f>
        <v>'='CNPIs Employment'!$L$12</v>
      </c>
      <c r="D158" s="38" t="str">
        <f>M3B1dLivWageMainAccuracy</f>
        <v/>
      </c>
      <c r="E158" s="38" t="s">
        <v>493</v>
      </c>
      <c r="F158" s="13" t="s">
        <v>1272</v>
      </c>
      <c r="I158" s="13" t="str">
        <f t="shared" si="2"/>
        <v>M3B1FALSE</v>
      </c>
      <c r="T158"/>
    </row>
    <row r="159" spans="1:20" ht="12.75" customHeight="1" x14ac:dyDescent="0.25">
      <c r="A159" t="s">
        <v>1241</v>
      </c>
      <c r="B159" t="s">
        <v>1241</v>
      </c>
      <c r="C159" s="32" t="str" cm="1">
        <f t="array" aca="1" ref="C159" ca="1">"'='" &amp; MID(CELL("address",INDIRECT(B159)),$K$2+1,100)</f>
        <v>'='CNPIs Employment'!$J$13</v>
      </c>
      <c r="D159" s="38" cm="1">
        <f t="array" ref="D159">M3B1eBenPackTarget</f>
        <v>0</v>
      </c>
      <c r="E159" s="38" t="s">
        <v>493</v>
      </c>
      <c r="F159" s="110" t="s">
        <v>1241</v>
      </c>
      <c r="H159" s="55"/>
      <c r="I159" s="13" t="str">
        <f t="shared" si="2"/>
        <v>M3B1FALSE</v>
      </c>
      <c r="T159"/>
    </row>
    <row r="160" spans="1:20" ht="12.75" customHeight="1" x14ac:dyDescent="0.25">
      <c r="A160" t="s">
        <v>1231</v>
      </c>
      <c r="B160" t="s">
        <v>1231</v>
      </c>
      <c r="C160" s="32" t="str" cm="1">
        <f t="array" aca="1" ref="C160" ca="1">"'='" &amp; MID(CELL("address",INDIRECT(B160)),$K$2+1,100)</f>
        <v>'='CNPIs Employment'!$K$13</v>
      </c>
      <c r="D160" s="38" cm="1">
        <f t="array" ref="D160">M3B1eBenPackResults</f>
        <v>0</v>
      </c>
      <c r="E160" s="38" t="s">
        <v>493</v>
      </c>
      <c r="F160" s="110" t="s">
        <v>1231</v>
      </c>
      <c r="H160" s="55"/>
      <c r="I160" s="13" t="str">
        <f t="shared" si="2"/>
        <v>M3B1FALSE</v>
      </c>
      <c r="T160"/>
    </row>
    <row r="161" spans="1:20" ht="12.75" customHeight="1" x14ac:dyDescent="0.25">
      <c r="A161" s="13" t="s">
        <v>1273</v>
      </c>
      <c r="B161" s="13" t="s">
        <v>1273</v>
      </c>
      <c r="C161" s="32" t="str" cm="1">
        <f t="array" aca="1" ref="C161" ca="1">"'='" &amp; MID(CELL("address",INDIRECT(B161)),$K$2+1,100)</f>
        <v>'='CNPIs Employment'!$L$13</v>
      </c>
      <c r="D161" s="38" t="str">
        <f>M3B1eBenPackAccuracy</f>
        <v/>
      </c>
      <c r="E161" s="38" t="s">
        <v>493</v>
      </c>
      <c r="F161" s="13" t="s">
        <v>1273</v>
      </c>
      <c r="I161" s="13" t="str">
        <f t="shared" si="2"/>
        <v>M3B1FALSE</v>
      </c>
      <c r="T161"/>
    </row>
    <row r="162" spans="1:20" ht="12.75" customHeight="1" x14ac:dyDescent="0.25">
      <c r="A162" t="s">
        <v>1249</v>
      </c>
      <c r="B162" t="s">
        <v>1249</v>
      </c>
      <c r="C162" s="32" t="str" cm="1">
        <f t="array" aca="1" ref="C162" ca="1">"'='" &amp; MID(CELL("address",INDIRECT(B162)),$K$2+1,100)</f>
        <v>'='CNPIs Employment'!$C$17</v>
      </c>
      <c r="D162" s="38" cm="1">
        <f t="array" ref="D162">M3B1z1OtherEmploy1Name</f>
        <v>0</v>
      </c>
      <c r="E162" s="38" t="s">
        <v>284</v>
      </c>
      <c r="F162" s="110" t="s">
        <v>1249</v>
      </c>
      <c r="G162" s="38">
        <v>1000</v>
      </c>
      <c r="H162" s="55"/>
      <c r="I162" s="13" t="str">
        <f t="shared" si="2"/>
        <v>M3B1FALSE</v>
      </c>
      <c r="T162"/>
    </row>
    <row r="163" spans="1:20" ht="12.75" customHeight="1" x14ac:dyDescent="0.25">
      <c r="A163" t="s">
        <v>1250</v>
      </c>
      <c r="B163" t="s">
        <v>1250</v>
      </c>
      <c r="C163" s="32" t="str" cm="1">
        <f t="array" aca="1" ref="C163" ca="1">"'='" &amp; MID(CELL("address",INDIRECT(B163)),$K$2+1,100)</f>
        <v>'='CNPIs Employment'!$J$17</v>
      </c>
      <c r="D163" s="38" cm="1">
        <f t="array" ref="D163">M3B1z1OtherEmploy1Target</f>
        <v>0</v>
      </c>
      <c r="E163" s="38" t="s">
        <v>493</v>
      </c>
      <c r="F163" s="110" t="s">
        <v>1250</v>
      </c>
      <c r="H163" s="55"/>
      <c r="I163" s="13" t="str">
        <f t="shared" si="2"/>
        <v>M3B1FALSE</v>
      </c>
      <c r="T163"/>
    </row>
    <row r="164" spans="1:20" ht="12.75" customHeight="1" x14ac:dyDescent="0.25">
      <c r="A164" t="s">
        <v>1248</v>
      </c>
      <c r="B164" t="s">
        <v>1248</v>
      </c>
      <c r="C164" s="32" t="str" cm="1">
        <f t="array" aca="1" ref="C164" ca="1">"'='" &amp; MID(CELL("address",INDIRECT(B164)),$K$2+1,100)</f>
        <v>'='CNPIs Employment'!$K$17</v>
      </c>
      <c r="D164" s="38" cm="1">
        <f t="array" ref="D164">M3B1z1OtherEmploy1Results</f>
        <v>0</v>
      </c>
      <c r="E164" s="38" t="s">
        <v>493</v>
      </c>
      <c r="F164" s="110" t="s">
        <v>1248</v>
      </c>
      <c r="H164" s="55"/>
      <c r="I164" s="13" t="str">
        <f t="shared" si="2"/>
        <v>M3B1FALSE</v>
      </c>
      <c r="T164"/>
    </row>
    <row r="165" spans="1:20" ht="12.75" customHeight="1" x14ac:dyDescent="0.25">
      <c r="A165" s="13" t="s">
        <v>1283</v>
      </c>
      <c r="B165" s="13" t="s">
        <v>1283</v>
      </c>
      <c r="C165" s="32" t="str" cm="1">
        <f t="array" aca="1" ref="C165" ca="1">"'='" &amp; MID(CELL("address",INDIRECT(B165)),$K$2+1,100)</f>
        <v>'='CNPIs Employment'!$L$17</v>
      </c>
      <c r="D165" s="38" t="str">
        <f>M3B1z1OtherEmploy1Accuracy</f>
        <v/>
      </c>
      <c r="E165" s="38" t="s">
        <v>493</v>
      </c>
      <c r="F165" s="13" t="s">
        <v>1283</v>
      </c>
      <c r="I165" s="13" t="str">
        <f t="shared" si="2"/>
        <v>M3B1FALSE</v>
      </c>
      <c r="T165"/>
    </row>
    <row r="166" spans="1:20" ht="12.75" customHeight="1" x14ac:dyDescent="0.25">
      <c r="A166" t="s">
        <v>1252</v>
      </c>
      <c r="B166" t="s">
        <v>1252</v>
      </c>
      <c r="C166" s="32" t="str" cm="1">
        <f t="array" aca="1" ref="C166" ca="1">"'='" &amp; MID(CELL("address",INDIRECT(B166)),$K$2+1,100)</f>
        <v>'='CNPIs Employment'!$C$18</v>
      </c>
      <c r="D166" s="38" cm="1">
        <f t="array" ref="D166">M3B1z2OtherEmploy2Name</f>
        <v>0</v>
      </c>
      <c r="E166" s="38" t="s">
        <v>284</v>
      </c>
      <c r="F166" s="110" t="s">
        <v>1252</v>
      </c>
      <c r="G166" s="38">
        <v>1000</v>
      </c>
      <c r="H166" s="55"/>
      <c r="I166" s="13" t="str">
        <f t="shared" si="2"/>
        <v>M3B1FALSE</v>
      </c>
      <c r="T166"/>
    </row>
    <row r="167" spans="1:20" ht="12.75" customHeight="1" x14ac:dyDescent="0.25">
      <c r="A167" t="s">
        <v>1253</v>
      </c>
      <c r="B167" t="s">
        <v>1253</v>
      </c>
      <c r="C167" s="32" t="str" cm="1">
        <f t="array" aca="1" ref="C167" ca="1">"'='" &amp; MID(CELL("address",INDIRECT(B167)),$K$2+1,100)</f>
        <v>'='CNPIs Employment'!$J$18</v>
      </c>
      <c r="D167" s="38" cm="1">
        <f t="array" ref="D167">M3B1z2OtherEmploy2Target</f>
        <v>0</v>
      </c>
      <c r="E167" s="38" t="s">
        <v>493</v>
      </c>
      <c r="F167" s="110" t="s">
        <v>1253</v>
      </c>
      <c r="H167" s="55"/>
      <c r="I167" s="13" t="str">
        <f t="shared" si="2"/>
        <v>M3B1FALSE</v>
      </c>
      <c r="T167"/>
    </row>
    <row r="168" spans="1:20" ht="12.75" customHeight="1" x14ac:dyDescent="0.25">
      <c r="A168" t="s">
        <v>1251</v>
      </c>
      <c r="B168" t="s">
        <v>1251</v>
      </c>
      <c r="C168" s="32" t="str" cm="1">
        <f t="array" aca="1" ref="C168" ca="1">"'='" &amp; MID(CELL("address",INDIRECT(B168)),$K$2+1,100)</f>
        <v>'='CNPIs Employment'!$K$18</v>
      </c>
      <c r="D168" s="38" cm="1">
        <f t="array" ref="D168">M3B1z2OtherEmploy2Results</f>
        <v>0</v>
      </c>
      <c r="E168" s="38" t="s">
        <v>493</v>
      </c>
      <c r="F168" s="110" t="s">
        <v>1251</v>
      </c>
      <c r="H168" s="55"/>
      <c r="I168" s="13" t="str">
        <f t="shared" si="2"/>
        <v>M3B1FALSE</v>
      </c>
      <c r="T168"/>
    </row>
    <row r="169" spans="1:20" ht="12.75" customHeight="1" x14ac:dyDescent="0.25">
      <c r="A169" s="13" t="s">
        <v>1284</v>
      </c>
      <c r="B169" s="13" t="s">
        <v>1284</v>
      </c>
      <c r="C169" s="32" t="str" cm="1">
        <f t="array" aca="1" ref="C169" ca="1">"'='" &amp; MID(CELL("address",INDIRECT(B169)),$K$2+1,100)</f>
        <v>'='CNPIs Employment'!$L$18</v>
      </c>
      <c r="D169" s="38" t="str">
        <f>M3B1z2OtherEmploy2Accuracy</f>
        <v/>
      </c>
      <c r="E169" s="38" t="s">
        <v>493</v>
      </c>
      <c r="F169" s="13" t="s">
        <v>1284</v>
      </c>
      <c r="I169" s="13" t="str">
        <f t="shared" si="2"/>
        <v>M3B1FALSE</v>
      </c>
      <c r="T169"/>
    </row>
    <row r="170" spans="1:20" ht="12.75" customHeight="1" x14ac:dyDescent="0.25">
      <c r="A170" t="s">
        <v>1255</v>
      </c>
      <c r="B170" t="s">
        <v>1255</v>
      </c>
      <c r="C170" s="32" t="str" cm="1">
        <f t="array" aca="1" ref="C170" ca="1">"'='" &amp; MID(CELL("address",INDIRECT(B170)),$K$2+1,100)</f>
        <v>'='CNPIs Employment'!$C$19</v>
      </c>
      <c r="D170" s="38" cm="1">
        <f t="array" ref="D170">M3B1z3OtherEmploy3Name</f>
        <v>0</v>
      </c>
      <c r="E170" s="38" t="s">
        <v>284</v>
      </c>
      <c r="F170" s="110" t="s">
        <v>1255</v>
      </c>
      <c r="G170" s="38">
        <v>1000</v>
      </c>
      <c r="H170" s="55"/>
      <c r="I170" s="13" t="str">
        <f t="shared" ref="I170:I233" si="3">LEFT(A170,4) &amp; AND(D170&lt;&gt;"",D170&lt;&gt;0)</f>
        <v>M3B1FALSE</v>
      </c>
      <c r="T170"/>
    </row>
    <row r="171" spans="1:20" ht="12.75" customHeight="1" x14ac:dyDescent="0.25">
      <c r="A171" t="s">
        <v>1256</v>
      </c>
      <c r="B171" t="s">
        <v>1256</v>
      </c>
      <c r="C171" s="32" t="str" cm="1">
        <f t="array" aca="1" ref="C171" ca="1">"'='" &amp; MID(CELL("address",INDIRECT(B171)),$K$2+1,100)</f>
        <v>'='CNPIs Employment'!$J$19</v>
      </c>
      <c r="D171" s="38" cm="1">
        <f t="array" ref="D171">M3B1z3OtherEmploy3Target</f>
        <v>0</v>
      </c>
      <c r="E171" s="38" t="s">
        <v>493</v>
      </c>
      <c r="F171" s="110" t="s">
        <v>1256</v>
      </c>
      <c r="H171" s="55"/>
      <c r="I171" s="13" t="str">
        <f t="shared" si="3"/>
        <v>M3B1FALSE</v>
      </c>
      <c r="T171"/>
    </row>
    <row r="172" spans="1:20" ht="12.75" customHeight="1" x14ac:dyDescent="0.25">
      <c r="A172" t="s">
        <v>1254</v>
      </c>
      <c r="B172" t="s">
        <v>1254</v>
      </c>
      <c r="C172" s="32" t="str" cm="1">
        <f t="array" aca="1" ref="C172" ca="1">"'='" &amp; MID(CELL("address",INDIRECT(B172)),$K$2+1,100)</f>
        <v>'='CNPIs Employment'!$K$19</v>
      </c>
      <c r="D172" s="38" cm="1">
        <f t="array" ref="D172">M3B1z3OtherEmploy3Results</f>
        <v>0</v>
      </c>
      <c r="E172" s="38" t="s">
        <v>493</v>
      </c>
      <c r="F172" s="110" t="s">
        <v>1254</v>
      </c>
      <c r="H172" s="55"/>
      <c r="I172" s="13" t="str">
        <f t="shared" si="3"/>
        <v>M3B1FALSE</v>
      </c>
      <c r="T172"/>
    </row>
    <row r="173" spans="1:20" ht="12.75" customHeight="1" x14ac:dyDescent="0.25">
      <c r="A173" s="13" t="s">
        <v>1285</v>
      </c>
      <c r="B173" s="13" t="s">
        <v>1285</v>
      </c>
      <c r="C173" s="32" t="str" cm="1">
        <f t="array" aca="1" ref="C173" ca="1">"'='" &amp; MID(CELL("address",INDIRECT(B173)),$K$2+1,100)</f>
        <v>'='CNPIs Employment'!$L$19</v>
      </c>
      <c r="D173" s="38" t="str">
        <f>M3B1z3OtherEmploy3Accuracy</f>
        <v/>
      </c>
      <c r="E173" s="38" t="s">
        <v>493</v>
      </c>
      <c r="F173" s="13" t="s">
        <v>1285</v>
      </c>
      <c r="I173" s="13" t="str">
        <f t="shared" si="3"/>
        <v>M3B1FALSE</v>
      </c>
      <c r="T173"/>
    </row>
    <row r="174" spans="1:20" ht="12.75" customHeight="1" x14ac:dyDescent="0.25">
      <c r="A174" t="s">
        <v>1242</v>
      </c>
      <c r="B174" t="s">
        <v>1242</v>
      </c>
      <c r="C174" s="32" t="str" cm="1">
        <f t="array" aca="1" ref="C174" ca="1">"'='" &amp; MID(CELL("address",INDIRECT(B174)),$K$2+1,100)</f>
        <v>'='CNPIs Employment'!$G$22</v>
      </c>
      <c r="D174" s="38" cm="1">
        <f t="array" ref="D174">M3B1fUnemployRateBaseline</f>
        <v>0</v>
      </c>
      <c r="E174" s="38" t="s">
        <v>493</v>
      </c>
      <c r="F174" s="110" t="s">
        <v>1242</v>
      </c>
      <c r="H174" s="55"/>
      <c r="I174" s="13" t="str">
        <f t="shared" si="3"/>
        <v>M3B1FALSE</v>
      </c>
      <c r="T174"/>
    </row>
    <row r="175" spans="1:20" ht="12.75" customHeight="1" x14ac:dyDescent="0.25">
      <c r="A175" t="s">
        <v>1243</v>
      </c>
      <c r="B175" t="s">
        <v>1243</v>
      </c>
      <c r="C175" s="32" t="str" cm="1">
        <f t="array" aca="1" ref="C175" ca="1">"'='" &amp; MID(CELL("address",INDIRECT(B175)),$K$2+1,100)</f>
        <v>'='CNPIs Employment'!$H$22</v>
      </c>
      <c r="D175" s="38" cm="1">
        <f t="array" ref="D175">M3B1fUnemployRateTarget</f>
        <v>0</v>
      </c>
      <c r="E175" s="38" t="s">
        <v>493</v>
      </c>
      <c r="F175" s="110" t="s">
        <v>1243</v>
      </c>
      <c r="H175" s="55"/>
      <c r="I175" s="13" t="str">
        <f t="shared" si="3"/>
        <v>M3B1FALSE</v>
      </c>
      <c r="T175"/>
    </row>
    <row r="176" spans="1:20" ht="12.75" customHeight="1" x14ac:dyDescent="0.25">
      <c r="A176" s="13" t="s">
        <v>1274</v>
      </c>
      <c r="B176" s="13" t="s">
        <v>1274</v>
      </c>
      <c r="C176" s="32" t="str" cm="1">
        <f t="array" aca="1" ref="C176" ca="1">"'='" &amp; MID(CELL("address",INDIRECT(B176)),$K$2+1,100)</f>
        <v>'='CNPIs Employment'!$I$22</v>
      </c>
      <c r="D176" s="38" t="str">
        <f>M3B1fUnemployRateExpectChng</f>
        <v/>
      </c>
      <c r="E176" s="38" t="s">
        <v>493</v>
      </c>
      <c r="F176" s="13" t="s">
        <v>1274</v>
      </c>
      <c r="I176" s="13" t="str">
        <f t="shared" si="3"/>
        <v>M3B1FALSE</v>
      </c>
      <c r="T176"/>
    </row>
    <row r="177" spans="1:20" ht="12.75" customHeight="1" x14ac:dyDescent="0.25">
      <c r="A177" t="s">
        <v>1233</v>
      </c>
      <c r="B177" t="s">
        <v>1233</v>
      </c>
      <c r="C177" s="32" t="str" cm="1">
        <f t="array" aca="1" ref="C177" ca="1">"'='" &amp; MID(CELL("address",INDIRECT(B177)),$K$2+1,100)</f>
        <v>'='CNPIs Employment'!$J$22</v>
      </c>
      <c r="D177" s="38" cm="1">
        <f t="array" ref="D177">M3B1fUnemployRateResults</f>
        <v>0</v>
      </c>
      <c r="E177" s="38" t="s">
        <v>493</v>
      </c>
      <c r="F177" s="110" t="s">
        <v>1233</v>
      </c>
      <c r="H177" s="55"/>
      <c r="I177" s="13" t="str">
        <f t="shared" si="3"/>
        <v>M3B1FALSE</v>
      </c>
      <c r="T177"/>
    </row>
    <row r="178" spans="1:20" ht="12.75" customHeight="1" x14ac:dyDescent="0.25">
      <c r="A178" s="13" t="s">
        <v>1275</v>
      </c>
      <c r="B178" s="13" t="s">
        <v>1275</v>
      </c>
      <c r="C178" s="32" t="str" cm="1">
        <f t="array" aca="1" ref="C178" ca="1">"'='" &amp; MID(CELL("address",INDIRECT(B178)),$K$2+1,100)</f>
        <v>'='CNPIs Employment'!$K$22</v>
      </c>
      <c r="D178" s="38" t="str">
        <f>M3B1fUnemployRateActualChng</f>
        <v/>
      </c>
      <c r="E178" s="38" t="s">
        <v>493</v>
      </c>
      <c r="F178" s="13" t="s">
        <v>1275</v>
      </c>
      <c r="I178" s="13" t="str">
        <f t="shared" si="3"/>
        <v>M3B1FALSE</v>
      </c>
      <c r="T178"/>
    </row>
    <row r="179" spans="1:20" ht="12.75" customHeight="1" x14ac:dyDescent="0.25">
      <c r="A179" s="13" t="s">
        <v>1276</v>
      </c>
      <c r="B179" s="13" t="s">
        <v>1276</v>
      </c>
      <c r="C179" s="32" t="str" cm="1">
        <f t="array" aca="1" ref="C179" ca="1">"'='" &amp; MID(CELL("address",INDIRECT(B179)),$K$2+1,100)</f>
        <v>'='CNPIs Employment'!$L$22</v>
      </c>
      <c r="D179" s="38" t="str">
        <f>M3B1fUnemployRateAccuracy</f>
        <v/>
      </c>
      <c r="E179" s="38" t="s">
        <v>493</v>
      </c>
      <c r="F179" s="13" t="s">
        <v>1276</v>
      </c>
      <c r="I179" s="13" t="str">
        <f t="shared" si="3"/>
        <v>M3B1FALSE</v>
      </c>
      <c r="T179"/>
    </row>
    <row r="180" spans="1:20" ht="12.75" customHeight="1" x14ac:dyDescent="0.25">
      <c r="A180" t="s">
        <v>1244</v>
      </c>
      <c r="B180" t="s">
        <v>1244</v>
      </c>
      <c r="C180" s="32" t="str" cm="1">
        <f t="array" aca="1" ref="C180" ca="1">"'='" &amp; MID(CELL("address",INDIRECT(B180)),$K$2+1,100)</f>
        <v>'='CNPIs Employment'!$G$23</v>
      </c>
      <c r="D180" s="38" cm="1">
        <f t="array" ref="D180">M3B1gYouthUnemployRateBaseline</f>
        <v>0</v>
      </c>
      <c r="E180" s="38" t="s">
        <v>493</v>
      </c>
      <c r="F180" s="110" t="s">
        <v>1244</v>
      </c>
      <c r="H180" s="55"/>
      <c r="I180" s="13" t="str">
        <f t="shared" si="3"/>
        <v>M3B1FALSE</v>
      </c>
      <c r="T180"/>
    </row>
    <row r="181" spans="1:20" ht="12.75" customHeight="1" x14ac:dyDescent="0.25">
      <c r="A181" t="s">
        <v>1245</v>
      </c>
      <c r="B181" t="s">
        <v>1245</v>
      </c>
      <c r="C181" s="32" t="str" cm="1">
        <f t="array" aca="1" ref="C181" ca="1">"'='" &amp; MID(CELL("address",INDIRECT(B181)),$K$2+1,100)</f>
        <v>'='CNPIs Employment'!$H$23</v>
      </c>
      <c r="D181" s="38" cm="1">
        <f t="array" ref="D181">M3B1gYouthUnemployRateTarget</f>
        <v>0</v>
      </c>
      <c r="E181" s="38" t="s">
        <v>493</v>
      </c>
      <c r="F181" s="110" t="s">
        <v>1245</v>
      </c>
      <c r="H181" s="55"/>
      <c r="I181" s="13" t="str">
        <f t="shared" si="3"/>
        <v>M3B1FALSE</v>
      </c>
      <c r="T181"/>
    </row>
    <row r="182" spans="1:20" ht="12.75" customHeight="1" x14ac:dyDescent="0.25">
      <c r="A182" s="13" t="s">
        <v>1277</v>
      </c>
      <c r="B182" s="13" t="s">
        <v>1277</v>
      </c>
      <c r="C182" s="32" t="str" cm="1">
        <f t="array" aca="1" ref="C182" ca="1">"'='" &amp; MID(CELL("address",INDIRECT(B182)),$K$2+1,100)</f>
        <v>'='CNPIs Employment'!$I$23</v>
      </c>
      <c r="D182" s="38" t="str">
        <f>M3B1gYouthUnemployRateExpectChng</f>
        <v/>
      </c>
      <c r="E182" s="38" t="s">
        <v>493</v>
      </c>
      <c r="F182" s="13" t="s">
        <v>1277</v>
      </c>
      <c r="I182" s="13" t="str">
        <f t="shared" si="3"/>
        <v>M3B1FALSE</v>
      </c>
      <c r="T182"/>
    </row>
    <row r="183" spans="1:20" ht="12.75" customHeight="1" x14ac:dyDescent="0.25">
      <c r="A183" t="s">
        <v>1234</v>
      </c>
      <c r="B183" t="s">
        <v>1234</v>
      </c>
      <c r="C183" s="32" t="str" cm="1">
        <f t="array" aca="1" ref="C183" ca="1">"'='" &amp; MID(CELL("address",INDIRECT(B183)),$K$2+1,100)</f>
        <v>'='CNPIs Employment'!$J$23</v>
      </c>
      <c r="D183" s="38" cm="1">
        <f t="array" ref="D183">M3B1gYouthUnemployRateResults</f>
        <v>0</v>
      </c>
      <c r="E183" s="38" t="s">
        <v>493</v>
      </c>
      <c r="F183" s="110" t="s">
        <v>1234</v>
      </c>
      <c r="H183" s="55"/>
      <c r="I183" s="13" t="str">
        <f t="shared" si="3"/>
        <v>M3B1FALSE</v>
      </c>
      <c r="T183"/>
    </row>
    <row r="184" spans="1:20" ht="12.75" customHeight="1" x14ac:dyDescent="0.25">
      <c r="A184" s="13" t="s">
        <v>1278</v>
      </c>
      <c r="B184" s="13" t="s">
        <v>1278</v>
      </c>
      <c r="C184" s="32" t="str" cm="1">
        <f t="array" aca="1" ref="C184" ca="1">"'='" &amp; MID(CELL("address",INDIRECT(B184)),$K$2+1,100)</f>
        <v>'='CNPIs Employment'!$K$23</v>
      </c>
      <c r="D184" s="38" t="str">
        <f>M3B1gYouthUnemployRateActualChng</f>
        <v/>
      </c>
      <c r="E184" s="38" t="s">
        <v>493</v>
      </c>
      <c r="F184" s="13" t="s">
        <v>1278</v>
      </c>
      <c r="I184" s="13" t="str">
        <f t="shared" si="3"/>
        <v>M3B1FALSE</v>
      </c>
      <c r="T184"/>
    </row>
    <row r="185" spans="1:20" ht="12.75" customHeight="1" x14ac:dyDescent="0.25">
      <c r="A185" s="13" t="s">
        <v>1279</v>
      </c>
      <c r="B185" s="13" t="s">
        <v>1279</v>
      </c>
      <c r="C185" s="32" t="str" cm="1">
        <f t="array" aca="1" ref="C185" ca="1">"'='" &amp; MID(CELL("address",INDIRECT(B185)),$K$2+1,100)</f>
        <v>'='CNPIs Employment'!$L$23</v>
      </c>
      <c r="D185" s="38" t="str">
        <f>M3B1gYouthUnemployRateAccuracy</f>
        <v/>
      </c>
      <c r="E185" s="38" t="s">
        <v>493</v>
      </c>
      <c r="F185" s="13" t="s">
        <v>1279</v>
      </c>
      <c r="I185" s="13" t="str">
        <f t="shared" si="3"/>
        <v>M3B1FALSE</v>
      </c>
      <c r="T185"/>
    </row>
    <row r="186" spans="1:20" ht="12.75" customHeight="1" x14ac:dyDescent="0.25">
      <c r="A186" t="s">
        <v>1246</v>
      </c>
      <c r="B186" t="s">
        <v>1246</v>
      </c>
      <c r="C186" s="32" t="str" cm="1">
        <f t="array" aca="1" ref="C186" ca="1">"'='" &amp; MID(CELL("address",INDIRECT(B186)),$K$2+1,100)</f>
        <v>'='CNPIs Employment'!$G$24</v>
      </c>
      <c r="D186" s="38" cm="1">
        <f t="array" ref="D186">M3B1hUnderemployRateBaseline</f>
        <v>0</v>
      </c>
      <c r="E186" s="38" t="s">
        <v>493</v>
      </c>
      <c r="F186" s="110" t="s">
        <v>1246</v>
      </c>
      <c r="H186" s="55"/>
      <c r="I186" s="13" t="str">
        <f t="shared" si="3"/>
        <v>M3B1FALSE</v>
      </c>
      <c r="T186"/>
    </row>
    <row r="187" spans="1:20" ht="12.75" customHeight="1" x14ac:dyDescent="0.25">
      <c r="A187" t="s">
        <v>1247</v>
      </c>
      <c r="B187" t="s">
        <v>1247</v>
      </c>
      <c r="C187" s="32" t="str" cm="1">
        <f t="array" aca="1" ref="C187" ca="1">"'='" &amp; MID(CELL("address",INDIRECT(B187)),$K$2+1,100)</f>
        <v>'='CNPIs Employment'!$H$24</v>
      </c>
      <c r="D187" s="38" cm="1">
        <f t="array" ref="D187">M3B1hUnderemployRateTarget</f>
        <v>0</v>
      </c>
      <c r="E187" s="38" t="s">
        <v>493</v>
      </c>
      <c r="F187" s="110" t="s">
        <v>1247</v>
      </c>
      <c r="H187" s="55"/>
      <c r="I187" s="13" t="str">
        <f t="shared" si="3"/>
        <v>M3B1FALSE</v>
      </c>
      <c r="T187"/>
    </row>
    <row r="188" spans="1:20" ht="12.75" customHeight="1" x14ac:dyDescent="0.25">
      <c r="A188" s="13" t="s">
        <v>1280</v>
      </c>
      <c r="B188" s="13" t="s">
        <v>1280</v>
      </c>
      <c r="C188" s="32" t="str" cm="1">
        <f t="array" aca="1" ref="C188" ca="1">"'='" &amp; MID(CELL("address",INDIRECT(B188)),$K$2+1,100)</f>
        <v>'='CNPIs Employment'!$I$24</v>
      </c>
      <c r="D188" s="38" t="str">
        <f>M3B1hUnderemployRateExpectChng</f>
        <v/>
      </c>
      <c r="E188" s="38" t="s">
        <v>493</v>
      </c>
      <c r="F188" s="13" t="s">
        <v>1280</v>
      </c>
      <c r="I188" s="13" t="str">
        <f t="shared" si="3"/>
        <v>M3B1FALSE</v>
      </c>
      <c r="T188"/>
    </row>
    <row r="189" spans="1:20" ht="12.75" customHeight="1" x14ac:dyDescent="0.25">
      <c r="A189" t="s">
        <v>1235</v>
      </c>
      <c r="B189" t="s">
        <v>1235</v>
      </c>
      <c r="C189" s="32" t="str" cm="1">
        <f t="array" aca="1" ref="C189" ca="1">"'='" &amp; MID(CELL("address",INDIRECT(B189)),$K$2+1,100)</f>
        <v>'='CNPIs Employment'!$J$24</v>
      </c>
      <c r="D189" s="38" cm="1">
        <f t="array" ref="D189">M3B1hUnderemployRateResults</f>
        <v>0</v>
      </c>
      <c r="E189" s="38" t="s">
        <v>493</v>
      </c>
      <c r="F189" s="110" t="s">
        <v>1235</v>
      </c>
      <c r="H189" s="55"/>
      <c r="I189" s="13" t="str">
        <f t="shared" si="3"/>
        <v>M3B1FALSE</v>
      </c>
      <c r="T189"/>
    </row>
    <row r="190" spans="1:20" ht="12.75" customHeight="1" x14ac:dyDescent="0.25">
      <c r="A190" s="13" t="s">
        <v>1281</v>
      </c>
      <c r="B190" s="13" t="s">
        <v>1281</v>
      </c>
      <c r="C190" s="32" t="str" cm="1">
        <f t="array" aca="1" ref="C190" ca="1">"'='" &amp; MID(CELL("address",INDIRECT(B190)),$K$2+1,100)</f>
        <v>'='CNPIs Employment'!$K$24</v>
      </c>
      <c r="D190" s="38" t="str">
        <f>M3B1hUnderemployRateActualChng</f>
        <v/>
      </c>
      <c r="E190" s="38" t="s">
        <v>493</v>
      </c>
      <c r="F190" s="13" t="s">
        <v>1281</v>
      </c>
      <c r="I190" s="13" t="str">
        <f t="shared" si="3"/>
        <v>M3B1FALSE</v>
      </c>
      <c r="T190"/>
    </row>
    <row r="191" spans="1:20" ht="12.75" customHeight="1" x14ac:dyDescent="0.25">
      <c r="A191" s="13" t="s">
        <v>1282</v>
      </c>
      <c r="B191" s="13" t="s">
        <v>1282</v>
      </c>
      <c r="C191" s="32" t="str" cm="1">
        <f t="array" aca="1" ref="C191" ca="1">"'='" &amp; MID(CELL("address",INDIRECT(B191)),$K$2+1,100)</f>
        <v>'='CNPIs Employment'!$L$24</v>
      </c>
      <c r="D191" s="38" t="str">
        <f>M3B1hUnderemployRateAccuracy</f>
        <v/>
      </c>
      <c r="E191" s="38" t="s">
        <v>493</v>
      </c>
      <c r="F191" s="13" t="s">
        <v>1282</v>
      </c>
      <c r="I191" s="13" t="str">
        <f t="shared" si="3"/>
        <v>M3B1FALSE</v>
      </c>
      <c r="T191"/>
    </row>
    <row r="192" spans="1:20" ht="12.75" customHeight="1" x14ac:dyDescent="0.25">
      <c r="A192" t="s">
        <v>1259</v>
      </c>
      <c r="B192" t="s">
        <v>1259</v>
      </c>
      <c r="C192" s="32" t="str" cm="1">
        <f t="array" aca="1" ref="C192" ca="1">"'='" &amp; MID(CELL("address",INDIRECT(B192)),$K$2+1,100)</f>
        <v>'='CNPIs Employment'!$C$27</v>
      </c>
      <c r="D192" s="38" cm="1">
        <f t="array" ref="D192">M3B1z4OtherEmploy4Name</f>
        <v>0</v>
      </c>
      <c r="E192" s="38" t="s">
        <v>284</v>
      </c>
      <c r="F192" s="110" t="s">
        <v>1259</v>
      </c>
      <c r="G192" s="38">
        <v>1000</v>
      </c>
      <c r="H192" s="55"/>
      <c r="I192" s="13" t="str">
        <f t="shared" si="3"/>
        <v>M3B1FALSE</v>
      </c>
      <c r="T192"/>
    </row>
    <row r="193" spans="1:20" ht="12.75" customHeight="1" x14ac:dyDescent="0.25">
      <c r="A193" t="s">
        <v>1258</v>
      </c>
      <c r="B193" t="s">
        <v>1258</v>
      </c>
      <c r="C193" s="32" t="str" cm="1">
        <f t="array" aca="1" ref="C193" ca="1">"'='" &amp; MID(CELL("address",INDIRECT(B193)),$K$2+1,100)</f>
        <v>'='CNPIs Employment'!$G$27</v>
      </c>
      <c r="D193" s="38" cm="1">
        <f t="array" ref="D193">M3B1z4OtherEmploy4Baseline</f>
        <v>0</v>
      </c>
      <c r="E193" s="38" t="s">
        <v>493</v>
      </c>
      <c r="F193" s="110" t="s">
        <v>1258</v>
      </c>
      <c r="H193" s="55"/>
      <c r="I193" s="13" t="str">
        <f t="shared" si="3"/>
        <v>M3B1FALSE</v>
      </c>
      <c r="T193"/>
    </row>
    <row r="194" spans="1:20" ht="12.75" customHeight="1" x14ac:dyDescent="0.25">
      <c r="A194" t="s">
        <v>1260</v>
      </c>
      <c r="B194" t="s">
        <v>1260</v>
      </c>
      <c r="C194" s="32" t="str" cm="1">
        <f t="array" aca="1" ref="C194" ca="1">"'='" &amp; MID(CELL("address",INDIRECT(B194)),$K$2+1,100)</f>
        <v>'='CNPIs Employment'!$H$27</v>
      </c>
      <c r="D194" s="38" cm="1">
        <f t="array" ref="D194">M3B1z4OtherEmploy4Target</f>
        <v>0</v>
      </c>
      <c r="E194" s="38" t="s">
        <v>493</v>
      </c>
      <c r="F194" s="110" t="s">
        <v>1260</v>
      </c>
      <c r="H194" s="55"/>
      <c r="I194" s="13" t="str">
        <f t="shared" si="3"/>
        <v>M3B1FALSE</v>
      </c>
      <c r="T194"/>
    </row>
    <row r="195" spans="1:20" ht="12.75" customHeight="1" x14ac:dyDescent="0.25">
      <c r="A195" s="13" t="s">
        <v>1286</v>
      </c>
      <c r="B195" s="13" t="s">
        <v>1286</v>
      </c>
      <c r="C195" s="32" t="str" cm="1">
        <f t="array" aca="1" ref="C195" ca="1">"'='" &amp; MID(CELL("address",INDIRECT(B195)),$K$2+1,100)</f>
        <v>'='CNPIs Employment'!$I$27</v>
      </c>
      <c r="D195" s="38" t="str">
        <f>M3B1z4OtherEmploy4ExpectChng</f>
        <v/>
      </c>
      <c r="E195" s="38" t="s">
        <v>493</v>
      </c>
      <c r="F195" s="13" t="s">
        <v>1286</v>
      </c>
      <c r="I195" s="13" t="str">
        <f t="shared" si="3"/>
        <v>M3B1FALSE</v>
      </c>
      <c r="T195"/>
    </row>
    <row r="196" spans="1:20" ht="12.75" customHeight="1" x14ac:dyDescent="0.25">
      <c r="A196" t="s">
        <v>1257</v>
      </c>
      <c r="B196" t="s">
        <v>1257</v>
      </c>
      <c r="C196" s="32" t="str" cm="1">
        <f t="array" aca="1" ref="C196" ca="1">"'='" &amp; MID(CELL("address",INDIRECT(B196)),$K$2+1,100)</f>
        <v>'='CNPIs Employment'!$J$27</v>
      </c>
      <c r="D196" s="38" cm="1">
        <f t="array" ref="D196">M3B1z4OtherEmploy4Results</f>
        <v>0</v>
      </c>
      <c r="E196" s="38" t="s">
        <v>493</v>
      </c>
      <c r="F196" s="110" t="s">
        <v>1257</v>
      </c>
      <c r="H196" s="55"/>
      <c r="I196" s="13" t="str">
        <f t="shared" si="3"/>
        <v>M3B1FALSE</v>
      </c>
      <c r="T196"/>
    </row>
    <row r="197" spans="1:20" ht="12.75" customHeight="1" x14ac:dyDescent="0.25">
      <c r="A197" s="13" t="s">
        <v>1287</v>
      </c>
      <c r="B197" s="13" t="s">
        <v>1287</v>
      </c>
      <c r="C197" s="32" t="str" cm="1">
        <f t="array" aca="1" ref="C197" ca="1">"'='" &amp; MID(CELL("address",INDIRECT(B197)),$K$2+1,100)</f>
        <v>'='CNPIs Employment'!$K$27</v>
      </c>
      <c r="D197" s="38" t="str">
        <f>M3B1z4OtherEmploy4ActualChng</f>
        <v/>
      </c>
      <c r="E197" s="38" t="s">
        <v>493</v>
      </c>
      <c r="F197" s="13" t="s">
        <v>1287</v>
      </c>
      <c r="I197" s="13" t="str">
        <f t="shared" si="3"/>
        <v>M3B1FALSE</v>
      </c>
      <c r="T197"/>
    </row>
    <row r="198" spans="1:20" ht="12.75" customHeight="1" x14ac:dyDescent="0.25">
      <c r="A198" s="13" t="s">
        <v>1288</v>
      </c>
      <c r="B198" s="13" t="s">
        <v>1288</v>
      </c>
      <c r="C198" s="32" t="str" cm="1">
        <f t="array" aca="1" ref="C198" ca="1">"'='" &amp; MID(CELL("address",INDIRECT(B198)),$K$2+1,100)</f>
        <v>'='CNPIs Employment'!$L$27</v>
      </c>
      <c r="D198" s="38" t="str">
        <f>M3B1z4OtherEmploy4Accuracy</f>
        <v/>
      </c>
      <c r="E198" s="38" t="s">
        <v>493</v>
      </c>
      <c r="F198" s="13" t="s">
        <v>1288</v>
      </c>
      <c r="I198" s="13" t="str">
        <f t="shared" si="3"/>
        <v>M3B1FALSE</v>
      </c>
      <c r="T198"/>
    </row>
    <row r="199" spans="1:20" ht="12.75" customHeight="1" x14ac:dyDescent="0.25">
      <c r="A199" t="s">
        <v>1263</v>
      </c>
      <c r="B199" t="s">
        <v>1263</v>
      </c>
      <c r="C199" s="32" t="str" cm="1">
        <f t="array" aca="1" ref="C199" ca="1">"'='" &amp; MID(CELL("address",INDIRECT(B199)),$K$2+1,100)</f>
        <v>'='CNPIs Employment'!$C$28</v>
      </c>
      <c r="D199" s="38" cm="1">
        <f t="array" ref="D199">M3B1z5OtherEmploy5Name</f>
        <v>0</v>
      </c>
      <c r="E199" s="38" t="s">
        <v>284</v>
      </c>
      <c r="F199" s="110" t="s">
        <v>1263</v>
      </c>
      <c r="G199" s="38">
        <v>1000</v>
      </c>
      <c r="H199" s="55"/>
      <c r="I199" s="13" t="str">
        <f t="shared" si="3"/>
        <v>M3B1FALSE</v>
      </c>
      <c r="T199"/>
    </row>
    <row r="200" spans="1:20" ht="12.75" customHeight="1" x14ac:dyDescent="0.25">
      <c r="A200" t="s">
        <v>1262</v>
      </c>
      <c r="B200" t="s">
        <v>1262</v>
      </c>
      <c r="C200" s="32" t="str" cm="1">
        <f t="array" aca="1" ref="C200" ca="1">"'='" &amp; MID(CELL("address",INDIRECT(B200)),$K$2+1,100)</f>
        <v>'='CNPIs Employment'!$G$28</v>
      </c>
      <c r="D200" s="38" cm="1">
        <f t="array" ref="D200">M3B1z5OtherEmploy5Baseline</f>
        <v>0</v>
      </c>
      <c r="E200" s="38" t="s">
        <v>493</v>
      </c>
      <c r="F200" s="110" t="s">
        <v>1262</v>
      </c>
      <c r="H200" s="55"/>
      <c r="I200" s="13" t="str">
        <f t="shared" si="3"/>
        <v>M3B1FALSE</v>
      </c>
      <c r="T200"/>
    </row>
    <row r="201" spans="1:20" ht="12.75" customHeight="1" x14ac:dyDescent="0.25">
      <c r="A201" t="s">
        <v>1264</v>
      </c>
      <c r="B201" t="s">
        <v>1264</v>
      </c>
      <c r="C201" s="32" t="str" cm="1">
        <f t="array" aca="1" ref="C201" ca="1">"'='" &amp; MID(CELL("address",INDIRECT(B201)),$K$2+1,100)</f>
        <v>'='CNPIs Employment'!$H$28</v>
      </c>
      <c r="D201" s="38" cm="1">
        <f t="array" ref="D201">M3B1z5OtherEmploy5Target</f>
        <v>0</v>
      </c>
      <c r="E201" s="38" t="s">
        <v>493</v>
      </c>
      <c r="F201" s="110" t="s">
        <v>1264</v>
      </c>
      <c r="H201" s="55"/>
      <c r="I201" s="13" t="str">
        <f t="shared" si="3"/>
        <v>M3B1FALSE</v>
      </c>
      <c r="T201"/>
    </row>
    <row r="202" spans="1:20" ht="12.75" customHeight="1" x14ac:dyDescent="0.25">
      <c r="A202" s="13" t="s">
        <v>1289</v>
      </c>
      <c r="B202" s="13" t="s">
        <v>1289</v>
      </c>
      <c r="C202" s="32" t="str" cm="1">
        <f t="array" aca="1" ref="C202" ca="1">"'='" &amp; MID(CELL("address",INDIRECT(B202)),$K$2+1,100)</f>
        <v>'='CNPIs Employment'!$I$28</v>
      </c>
      <c r="D202" s="38" t="str">
        <f>M3B1z5OtherEmploy5ExpectChng</f>
        <v/>
      </c>
      <c r="E202" s="38" t="s">
        <v>493</v>
      </c>
      <c r="F202" s="13" t="s">
        <v>1289</v>
      </c>
      <c r="I202" s="13" t="str">
        <f t="shared" si="3"/>
        <v>M3B1FALSE</v>
      </c>
      <c r="T202"/>
    </row>
    <row r="203" spans="1:20" ht="12.75" customHeight="1" x14ac:dyDescent="0.25">
      <c r="A203" t="s">
        <v>1261</v>
      </c>
      <c r="B203" t="s">
        <v>1261</v>
      </c>
      <c r="C203" s="32" t="str" cm="1">
        <f t="array" aca="1" ref="C203" ca="1">"'='" &amp; MID(CELL("address",INDIRECT(B203)),$K$2+1,100)</f>
        <v>'='CNPIs Employment'!$J$28</v>
      </c>
      <c r="D203" s="38" cm="1">
        <f t="array" ref="D203">M3B1z5OtherEmploy5Results</f>
        <v>0</v>
      </c>
      <c r="E203" s="38" t="s">
        <v>493</v>
      </c>
      <c r="F203" s="110" t="s">
        <v>1261</v>
      </c>
      <c r="H203" s="55"/>
      <c r="I203" s="13" t="str">
        <f t="shared" si="3"/>
        <v>M3B1FALSE</v>
      </c>
      <c r="T203"/>
    </row>
    <row r="204" spans="1:20" ht="12.75" customHeight="1" x14ac:dyDescent="0.25">
      <c r="A204" s="13" t="s">
        <v>1290</v>
      </c>
      <c r="B204" s="13" t="s">
        <v>1290</v>
      </c>
      <c r="C204" s="32" t="str" cm="1">
        <f t="array" aca="1" ref="C204" ca="1">"'='" &amp; MID(CELL("address",INDIRECT(B204)),$K$2+1,100)</f>
        <v>'='CNPIs Employment'!$K$28</v>
      </c>
      <c r="D204" s="38" t="str">
        <f>M3B1z5OtherEmploy5ActualChng</f>
        <v/>
      </c>
      <c r="E204" s="38" t="s">
        <v>493</v>
      </c>
      <c r="F204" s="13" t="s">
        <v>1290</v>
      </c>
      <c r="I204" s="13" t="str">
        <f t="shared" si="3"/>
        <v>M3B1FALSE</v>
      </c>
      <c r="T204"/>
    </row>
    <row r="205" spans="1:20" ht="12.75" customHeight="1" x14ac:dyDescent="0.25">
      <c r="A205" s="13" t="s">
        <v>1291</v>
      </c>
      <c r="B205" s="13" t="s">
        <v>1291</v>
      </c>
      <c r="C205" s="32" t="str" cm="1">
        <f t="array" aca="1" ref="C205" ca="1">"'='" &amp; MID(CELL("address",INDIRECT(B205)),$K$2+1,100)</f>
        <v>'='CNPIs Employment'!$L$28</v>
      </c>
      <c r="D205" s="38" t="str">
        <f>M3B1z5OtherEmploy5Accuracy</f>
        <v/>
      </c>
      <c r="E205" s="38" t="s">
        <v>493</v>
      </c>
      <c r="F205" s="13" t="s">
        <v>1291</v>
      </c>
      <c r="I205" s="13" t="str">
        <f t="shared" si="3"/>
        <v>M3B1FALSE</v>
      </c>
      <c r="T205"/>
    </row>
    <row r="206" spans="1:20" ht="12.75" customHeight="1" x14ac:dyDescent="0.25">
      <c r="A206" t="s">
        <v>1267</v>
      </c>
      <c r="B206" t="s">
        <v>1267</v>
      </c>
      <c r="C206" s="32" t="str" cm="1">
        <f t="array" aca="1" ref="C206" ca="1">"'='" &amp; MID(CELL("address",INDIRECT(B206)),$K$2+1,100)</f>
        <v>'='CNPIs Employment'!$C$29</v>
      </c>
      <c r="D206" s="38" cm="1">
        <f t="array" ref="D206">M3B1z6OtherEmploy6Name</f>
        <v>0</v>
      </c>
      <c r="E206" s="38" t="s">
        <v>284</v>
      </c>
      <c r="F206" s="110" t="s">
        <v>1267</v>
      </c>
      <c r="G206" s="38">
        <v>1000</v>
      </c>
      <c r="H206" s="55"/>
      <c r="I206" s="13" t="str">
        <f t="shared" si="3"/>
        <v>M3B1FALSE</v>
      </c>
      <c r="T206"/>
    </row>
    <row r="207" spans="1:20" ht="12.75" customHeight="1" x14ac:dyDescent="0.25">
      <c r="A207" t="s">
        <v>1266</v>
      </c>
      <c r="B207" t="s">
        <v>1266</v>
      </c>
      <c r="C207" s="32" t="str" cm="1">
        <f t="array" aca="1" ref="C207" ca="1">"'='" &amp; MID(CELL("address",INDIRECT(B207)),$K$2+1,100)</f>
        <v>'='CNPIs Employment'!$G$29</v>
      </c>
      <c r="D207" s="38" cm="1">
        <f t="array" ref="D207">M3B1z6OtherEmploy6Baseline</f>
        <v>0</v>
      </c>
      <c r="E207" s="38" t="s">
        <v>493</v>
      </c>
      <c r="F207" s="110" t="s">
        <v>1266</v>
      </c>
      <c r="H207" s="55"/>
      <c r="I207" s="13" t="str">
        <f t="shared" si="3"/>
        <v>M3B1FALSE</v>
      </c>
      <c r="T207"/>
    </row>
    <row r="208" spans="1:20" ht="12.75" customHeight="1" x14ac:dyDescent="0.25">
      <c r="A208" t="s">
        <v>1268</v>
      </c>
      <c r="B208" t="s">
        <v>1268</v>
      </c>
      <c r="C208" s="32" t="str" cm="1">
        <f t="array" aca="1" ref="C208" ca="1">"'='" &amp; MID(CELL("address",INDIRECT(B208)),$K$2+1,100)</f>
        <v>'='CNPIs Employment'!$H$29</v>
      </c>
      <c r="D208" s="38" cm="1">
        <f t="array" ref="D208">M3B1z6OtherEmploy6Target</f>
        <v>0</v>
      </c>
      <c r="E208" s="38" t="s">
        <v>493</v>
      </c>
      <c r="F208" s="110" t="s">
        <v>1268</v>
      </c>
      <c r="H208" s="55"/>
      <c r="I208" s="13" t="str">
        <f t="shared" si="3"/>
        <v>M3B1FALSE</v>
      </c>
      <c r="T208"/>
    </row>
    <row r="209" spans="1:20" ht="12.75" customHeight="1" x14ac:dyDescent="0.25">
      <c r="A209" s="13" t="s">
        <v>1292</v>
      </c>
      <c r="B209" s="13" t="s">
        <v>1292</v>
      </c>
      <c r="C209" s="32" t="str" cm="1">
        <f t="array" aca="1" ref="C209" ca="1">"'='" &amp; MID(CELL("address",INDIRECT(B209)),$K$2+1,100)</f>
        <v>'='CNPIs Employment'!$I$29</v>
      </c>
      <c r="D209" s="38" t="str">
        <f>M3B1z6OtherEmploy6ExpectChng</f>
        <v/>
      </c>
      <c r="E209" s="38" t="s">
        <v>493</v>
      </c>
      <c r="F209" s="13" t="s">
        <v>1292</v>
      </c>
      <c r="I209" s="13" t="str">
        <f t="shared" si="3"/>
        <v>M3B1FALSE</v>
      </c>
      <c r="T209"/>
    </row>
    <row r="210" spans="1:20" ht="12.75" customHeight="1" x14ac:dyDescent="0.25">
      <c r="A210" t="s">
        <v>1265</v>
      </c>
      <c r="B210" t="s">
        <v>1265</v>
      </c>
      <c r="C210" s="32" t="str" cm="1">
        <f t="array" aca="1" ref="C210" ca="1">"'='" &amp; MID(CELL("address",INDIRECT(B210)),$K$2+1,100)</f>
        <v>'='CNPIs Employment'!$J$29</v>
      </c>
      <c r="D210" s="38" cm="1">
        <f t="array" ref="D210">M3B1z6OtherEmploy6Results</f>
        <v>0</v>
      </c>
      <c r="E210" s="38" t="s">
        <v>493</v>
      </c>
      <c r="F210" s="110" t="s">
        <v>1265</v>
      </c>
      <c r="H210" s="55"/>
      <c r="I210" s="13" t="str">
        <f t="shared" si="3"/>
        <v>M3B1FALSE</v>
      </c>
      <c r="T210"/>
    </row>
    <row r="211" spans="1:20" ht="12.75" customHeight="1" x14ac:dyDescent="0.25">
      <c r="A211" s="13" t="s">
        <v>1293</v>
      </c>
      <c r="B211" s="13" t="s">
        <v>1293</v>
      </c>
      <c r="C211" s="32" t="str" cm="1">
        <f t="array" aca="1" ref="C211" ca="1">"'='" &amp; MID(CELL("address",INDIRECT(B211)),$K$2+1,100)</f>
        <v>'='CNPIs Employment'!$K$29</v>
      </c>
      <c r="D211" s="38" t="str">
        <f>M3B1z6OtherEmploy6ActualChng</f>
        <v/>
      </c>
      <c r="E211" s="38" t="s">
        <v>493</v>
      </c>
      <c r="F211" s="13" t="s">
        <v>1293</v>
      </c>
      <c r="I211" s="13" t="str">
        <f t="shared" si="3"/>
        <v>M3B1FALSE</v>
      </c>
      <c r="T211"/>
    </row>
    <row r="212" spans="1:20" ht="12.75" customHeight="1" x14ac:dyDescent="0.25">
      <c r="A212" s="13" t="s">
        <v>1294</v>
      </c>
      <c r="B212" s="13" t="s">
        <v>1294</v>
      </c>
      <c r="C212" s="32" t="str" cm="1">
        <f t="array" aca="1" ref="C212" ca="1">"'='" &amp; MID(CELL("address",INDIRECT(B212)),$K$2+1,100)</f>
        <v>'='CNPIs Employment'!$L$29</v>
      </c>
      <c r="D212" s="38" t="str">
        <f>M3B1z6OtherEmploy6Accuracy</f>
        <v/>
      </c>
      <c r="E212" s="38" t="s">
        <v>493</v>
      </c>
      <c r="F212" s="13" t="s">
        <v>1294</v>
      </c>
      <c r="I212" s="13" t="str">
        <f t="shared" si="3"/>
        <v>M3B1FALSE</v>
      </c>
      <c r="T212"/>
    </row>
    <row r="213" spans="1:20" ht="12.75" customHeight="1" x14ac:dyDescent="0.25">
      <c r="A213" t="s">
        <v>907</v>
      </c>
      <c r="B213" t="s">
        <v>907</v>
      </c>
      <c r="C213" s="32" t="str" cm="1">
        <f t="array" aca="1" ref="C213" ca="1">"'='" &amp; MID(CELL("address",INDIRECT(B213)),$K$2+1,100)</f>
        <v>'='CNPIs Employment'!$B$32</v>
      </c>
      <c r="D213" s="38">
        <f>M3B1Comments</f>
        <v>0</v>
      </c>
      <c r="E213" s="38" t="s">
        <v>284</v>
      </c>
      <c r="F213" s="110" t="s">
        <v>907</v>
      </c>
      <c r="G213" s="38">
        <v>5000</v>
      </c>
      <c r="H213" s="55"/>
      <c r="I213" s="13" t="str">
        <f t="shared" si="3"/>
        <v>M3B1FALSE</v>
      </c>
      <c r="T213"/>
    </row>
    <row r="214" spans="1:20" ht="12.75" customHeight="1" x14ac:dyDescent="0.25">
      <c r="A214" t="s">
        <v>868</v>
      </c>
      <c r="B214" t="s">
        <v>868</v>
      </c>
      <c r="C214" s="32" t="str" cm="1">
        <f t="array" aca="1" ref="C214" ca="1">"'='" &amp; MID(CELL("address",INDIRECT(B214)),$K$2+1,100)</f>
        <v>'='CNPIs G2 Civic Engagement'!$G$10</v>
      </c>
      <c r="D214" s="38">
        <f>M3B6G2aDonatedTimeBaseline</f>
        <v>0</v>
      </c>
      <c r="E214" s="38" t="s">
        <v>493</v>
      </c>
      <c r="F214" s="110" t="s">
        <v>868</v>
      </c>
      <c r="I214" s="13" t="str">
        <f t="shared" si="3"/>
        <v>M3B6FALSE</v>
      </c>
      <c r="T214"/>
    </row>
    <row r="215" spans="1:20" ht="12.75" customHeight="1" x14ac:dyDescent="0.25">
      <c r="A215" t="s">
        <v>869</v>
      </c>
      <c r="B215" t="s">
        <v>869</v>
      </c>
      <c r="C215" s="32" t="str" cm="1">
        <f t="array" aca="1" ref="C215" ca="1">"'='" &amp; MID(CELL("address",INDIRECT(B215)),$K$2+1,100)</f>
        <v>'='CNPIs G2 Civic Engagement'!$H$10</v>
      </c>
      <c r="D215" s="38">
        <f>M3B6G2aDonatedTimeTarget</f>
        <v>0</v>
      </c>
      <c r="E215" s="38" t="s">
        <v>493</v>
      </c>
      <c r="F215" s="110" t="s">
        <v>869</v>
      </c>
      <c r="I215" s="13" t="str">
        <f t="shared" si="3"/>
        <v>M3B6FALSE</v>
      </c>
      <c r="T215"/>
    </row>
    <row r="216" spans="1:20" ht="12.75" customHeight="1" x14ac:dyDescent="0.25">
      <c r="A216" s="13" t="s">
        <v>1478</v>
      </c>
      <c r="B216" s="13" t="s">
        <v>1478</v>
      </c>
      <c r="C216" s="32" t="str" cm="1">
        <f t="array" aca="1" ref="C216" ca="1">"'='" &amp; MID(CELL("address",INDIRECT(B216)),$K$2+1,100)</f>
        <v>'='CNPIs G2 Civic Engagement'!$I$10</v>
      </c>
      <c r="D216" s="38" t="str">
        <f>M3B6G2aDonatedTimeExpectChng</f>
        <v/>
      </c>
      <c r="E216" s="38" t="s">
        <v>493</v>
      </c>
      <c r="F216" s="13" t="s">
        <v>1478</v>
      </c>
      <c r="I216" s="13" t="str">
        <f t="shared" si="3"/>
        <v>M3B6FALSE</v>
      </c>
      <c r="T216"/>
    </row>
    <row r="217" spans="1:20" ht="12.75" customHeight="1" x14ac:dyDescent="0.25">
      <c r="A217" t="s">
        <v>870</v>
      </c>
      <c r="B217" t="s">
        <v>870</v>
      </c>
      <c r="C217" s="32" t="str" cm="1">
        <f t="array" aca="1" ref="C217" ca="1">"'='" &amp; MID(CELL("address",INDIRECT(B217)),$K$2+1,100)</f>
        <v>'='CNPIs G2 Civic Engagement'!$J$10</v>
      </c>
      <c r="D217" s="38">
        <f>M3B6G2aDonatedTimeResults</f>
        <v>0</v>
      </c>
      <c r="E217" s="38" t="s">
        <v>493</v>
      </c>
      <c r="F217" s="110" t="s">
        <v>870</v>
      </c>
      <c r="I217" s="13" t="str">
        <f t="shared" si="3"/>
        <v>M3B6FALSE</v>
      </c>
      <c r="T217"/>
    </row>
    <row r="218" spans="1:20" ht="12.75" customHeight="1" x14ac:dyDescent="0.25">
      <c r="A218" s="13" t="s">
        <v>1479</v>
      </c>
      <c r="B218" s="13" t="s">
        <v>1479</v>
      </c>
      <c r="C218" s="32" t="str" cm="1">
        <f t="array" aca="1" ref="C218" ca="1">"'='" &amp; MID(CELL("address",INDIRECT(B218)),$K$2+1,100)</f>
        <v>'='CNPIs G2 Civic Engagement'!$K$10</v>
      </c>
      <c r="D218" s="38" t="str">
        <f>M3B6G2aDonatedTimeActualChng</f>
        <v/>
      </c>
      <c r="E218" s="38" t="s">
        <v>493</v>
      </c>
      <c r="F218" s="13" t="s">
        <v>1479</v>
      </c>
      <c r="I218" s="13" t="str">
        <f t="shared" si="3"/>
        <v>M3B6FALSE</v>
      </c>
      <c r="T218"/>
    </row>
    <row r="219" spans="1:20" ht="12.75" customHeight="1" x14ac:dyDescent="0.25">
      <c r="A219" s="13" t="s">
        <v>1480</v>
      </c>
      <c r="B219" s="13" t="s">
        <v>1480</v>
      </c>
      <c r="C219" s="32" t="str" cm="1">
        <f t="array" aca="1" ref="C219" ca="1">"'='" &amp; MID(CELL("address",INDIRECT(B219)),$K$2+1,100)</f>
        <v>'='CNPIs G2 Civic Engagement'!$L$10</v>
      </c>
      <c r="D219" s="38" t="str">
        <f>M3B6G2aDonatedTimeAccuracy</f>
        <v/>
      </c>
      <c r="E219" s="38" t="s">
        <v>493</v>
      </c>
      <c r="F219" s="13" t="s">
        <v>1480</v>
      </c>
      <c r="I219" s="13" t="str">
        <f t="shared" si="3"/>
        <v>M3B6FALSE</v>
      </c>
      <c r="T219"/>
    </row>
    <row r="220" spans="1:20" ht="12.75" customHeight="1" x14ac:dyDescent="0.25">
      <c r="A220" t="s">
        <v>871</v>
      </c>
      <c r="B220" t="s">
        <v>871</v>
      </c>
      <c r="C220" s="32" t="str" cm="1">
        <f t="array" aca="1" ref="C220" ca="1">"'='" &amp; MID(CELL("address",INDIRECT(B220)),$K$2+1,100)</f>
        <v>'='CNPIs G2 Civic Engagement'!$G$11</v>
      </c>
      <c r="D220" s="38">
        <f>M3B6G2bDonatedResourcesBaseline</f>
        <v>0</v>
      </c>
      <c r="E220" s="38" t="s">
        <v>493</v>
      </c>
      <c r="F220" s="110" t="s">
        <v>871</v>
      </c>
      <c r="I220" s="13" t="str">
        <f t="shared" si="3"/>
        <v>M3B6FALSE</v>
      </c>
      <c r="T220"/>
    </row>
    <row r="221" spans="1:20" ht="12.75" customHeight="1" x14ac:dyDescent="0.25">
      <c r="A221" t="s">
        <v>872</v>
      </c>
      <c r="B221" t="s">
        <v>872</v>
      </c>
      <c r="C221" s="32" t="str" cm="1">
        <f t="array" aca="1" ref="C221" ca="1">"'='" &amp; MID(CELL("address",INDIRECT(B221)),$K$2+1,100)</f>
        <v>'='CNPIs G2 Civic Engagement'!$H$11</v>
      </c>
      <c r="D221" s="38">
        <f>M3B6G2bDonatedResourcesTarget</f>
        <v>0</v>
      </c>
      <c r="E221" s="38" t="s">
        <v>493</v>
      </c>
      <c r="F221" s="110" t="s">
        <v>872</v>
      </c>
      <c r="I221" s="13" t="str">
        <f t="shared" si="3"/>
        <v>M3B6FALSE</v>
      </c>
      <c r="T221"/>
    </row>
    <row r="222" spans="1:20" ht="12.75" customHeight="1" x14ac:dyDescent="0.25">
      <c r="A222" s="13" t="s">
        <v>1481</v>
      </c>
      <c r="B222" s="13" t="s">
        <v>1481</v>
      </c>
      <c r="C222" s="32" t="str" cm="1">
        <f t="array" aca="1" ref="C222" ca="1">"'='" &amp; MID(CELL("address",INDIRECT(B222)),$K$2+1,100)</f>
        <v>'='CNPIs G2 Civic Engagement'!$I$11</v>
      </c>
      <c r="D222" s="38" t="str">
        <f>M3B6G2bDonatedResourcesExpectChng</f>
        <v/>
      </c>
      <c r="E222" s="38" t="s">
        <v>493</v>
      </c>
      <c r="F222" s="13" t="s">
        <v>1481</v>
      </c>
      <c r="I222" s="13" t="str">
        <f t="shared" si="3"/>
        <v>M3B6FALSE</v>
      </c>
      <c r="T222"/>
    </row>
    <row r="223" spans="1:20" ht="12.75" customHeight="1" x14ac:dyDescent="0.25">
      <c r="A223" t="s">
        <v>873</v>
      </c>
      <c r="B223" t="s">
        <v>873</v>
      </c>
      <c r="C223" s="32" t="str" cm="1">
        <f t="array" aca="1" ref="C223" ca="1">"'='" &amp; MID(CELL("address",INDIRECT(B223)),$K$2+1,100)</f>
        <v>'='CNPIs G2 Civic Engagement'!$J$11</v>
      </c>
      <c r="D223" s="38">
        <f>M3B6G2bDonatedResourcesResults</f>
        <v>0</v>
      </c>
      <c r="E223" s="38" t="s">
        <v>493</v>
      </c>
      <c r="F223" s="110" t="s">
        <v>873</v>
      </c>
      <c r="I223" s="13" t="str">
        <f t="shared" si="3"/>
        <v>M3B6FALSE</v>
      </c>
      <c r="T223"/>
    </row>
    <row r="224" spans="1:20" ht="12.75" customHeight="1" x14ac:dyDescent="0.25">
      <c r="A224" s="13" t="s">
        <v>1482</v>
      </c>
      <c r="B224" s="13" t="s">
        <v>1482</v>
      </c>
      <c r="C224" s="32" t="str" cm="1">
        <f t="array" aca="1" ref="C224" ca="1">"'='" &amp; MID(CELL("address",INDIRECT(B224)),$K$2+1,100)</f>
        <v>'='CNPIs G2 Civic Engagement'!$K$11</v>
      </c>
      <c r="D224" s="38" t="str">
        <f>M3B6G2bDonatedResourcesActualChng</f>
        <v/>
      </c>
      <c r="E224" s="38" t="s">
        <v>493</v>
      </c>
      <c r="F224" s="13" t="s">
        <v>1482</v>
      </c>
      <c r="I224" s="13" t="str">
        <f t="shared" si="3"/>
        <v>M3B6FALSE</v>
      </c>
      <c r="T224"/>
    </row>
    <row r="225" spans="1:20" ht="12.75" customHeight="1" x14ac:dyDescent="0.25">
      <c r="A225" s="13" t="s">
        <v>1483</v>
      </c>
      <c r="B225" s="13" t="s">
        <v>1483</v>
      </c>
      <c r="C225" s="32" t="str" cm="1">
        <f t="array" aca="1" ref="C225" ca="1">"'='" &amp; MID(CELL("address",INDIRECT(B225)),$K$2+1,100)</f>
        <v>'='CNPIs G2 Civic Engagement'!$L$11</v>
      </c>
      <c r="D225" s="38" t="str">
        <f>M3B6G2bDonatedResourcesAccuracy</f>
        <v/>
      </c>
      <c r="E225" s="38" t="s">
        <v>493</v>
      </c>
      <c r="F225" s="13" t="s">
        <v>1483</v>
      </c>
      <c r="I225" s="13" t="str">
        <f t="shared" si="3"/>
        <v>M3B6FALSE</v>
      </c>
      <c r="T225"/>
    </row>
    <row r="226" spans="1:20" ht="12.75" customHeight="1" x14ac:dyDescent="0.25">
      <c r="A226" t="s">
        <v>874</v>
      </c>
      <c r="B226" t="s">
        <v>874</v>
      </c>
      <c r="C226" s="32" t="str" cm="1">
        <f t="array" aca="1" ref="C226" ca="1">"'='" &amp; MID(CELL("address",INDIRECT(B226)),$K$2+1,100)</f>
        <v>'='CNPIs G2 Civic Engagement'!$G$12</v>
      </c>
      <c r="D226" s="38">
        <f>M3B6G2cPeoplePartBaseline</f>
        <v>0</v>
      </c>
      <c r="E226" s="38" t="s">
        <v>493</v>
      </c>
      <c r="F226" s="110" t="s">
        <v>874</v>
      </c>
      <c r="I226" s="13" t="str">
        <f t="shared" si="3"/>
        <v>M3B6FALSE</v>
      </c>
      <c r="T226"/>
    </row>
    <row r="227" spans="1:20" ht="12.75" customHeight="1" x14ac:dyDescent="0.25">
      <c r="A227" t="s">
        <v>875</v>
      </c>
      <c r="B227" t="s">
        <v>875</v>
      </c>
      <c r="C227" s="32" t="str" cm="1">
        <f t="array" aca="1" ref="C227" ca="1">"'='" &amp; MID(CELL("address",INDIRECT(B227)),$K$2+1,100)</f>
        <v>'='CNPIs G2 Civic Engagement'!$H$12</v>
      </c>
      <c r="D227" s="38">
        <f>M3B6G2cPeoplePartTarget</f>
        <v>0</v>
      </c>
      <c r="E227" s="38" t="s">
        <v>493</v>
      </c>
      <c r="F227" s="110" t="s">
        <v>875</v>
      </c>
      <c r="I227" s="13" t="str">
        <f t="shared" si="3"/>
        <v>M3B6FALSE</v>
      </c>
      <c r="T227"/>
    </row>
    <row r="228" spans="1:20" ht="12.75" customHeight="1" x14ac:dyDescent="0.25">
      <c r="A228" s="13" t="s">
        <v>1484</v>
      </c>
      <c r="B228" s="13" t="s">
        <v>1484</v>
      </c>
      <c r="C228" s="32" t="str" cm="1">
        <f t="array" aca="1" ref="C228" ca="1">"'='" &amp; MID(CELL("address",INDIRECT(B228)),$K$2+1,100)</f>
        <v>'='CNPIs G2 Civic Engagement'!$I$12</v>
      </c>
      <c r="D228" s="38" t="str">
        <f>M3B6G2cPeoplePartExpectChng</f>
        <v/>
      </c>
      <c r="E228" s="38" t="s">
        <v>493</v>
      </c>
      <c r="F228" s="13" t="s">
        <v>1484</v>
      </c>
      <c r="I228" s="13" t="str">
        <f t="shared" si="3"/>
        <v>M3B6FALSE</v>
      </c>
      <c r="T228"/>
    </row>
    <row r="229" spans="1:20" ht="12.75" customHeight="1" x14ac:dyDescent="0.25">
      <c r="A229" t="s">
        <v>876</v>
      </c>
      <c r="B229" t="s">
        <v>876</v>
      </c>
      <c r="C229" s="32" t="str" cm="1">
        <f t="array" aca="1" ref="C229" ca="1">"'='" &amp; MID(CELL("address",INDIRECT(B229)),$K$2+1,100)</f>
        <v>'='CNPIs G2 Civic Engagement'!$J$12</v>
      </c>
      <c r="D229" s="38">
        <f>M3B6G2cPeoplePartResults</f>
        <v>0</v>
      </c>
      <c r="E229" s="38" t="s">
        <v>493</v>
      </c>
      <c r="F229" s="110" t="s">
        <v>876</v>
      </c>
      <c r="I229" s="13" t="str">
        <f t="shared" si="3"/>
        <v>M3B6FALSE</v>
      </c>
      <c r="T229"/>
    </row>
    <row r="230" spans="1:20" ht="12.75" customHeight="1" x14ac:dyDescent="0.25">
      <c r="A230" s="13" t="s">
        <v>1485</v>
      </c>
      <c r="B230" s="13" t="s">
        <v>1485</v>
      </c>
      <c r="C230" s="32" t="str" cm="1">
        <f t="array" aca="1" ref="C230" ca="1">"'='" &amp; MID(CELL("address",INDIRECT(B230)),$K$2+1,100)</f>
        <v>'='CNPIs G2 Civic Engagement'!$K$12</v>
      </c>
      <c r="D230" s="38" t="str">
        <f>M3B6G2cPeoplePartActualChng</f>
        <v/>
      </c>
      <c r="E230" s="38" t="s">
        <v>493</v>
      </c>
      <c r="F230" s="13" t="s">
        <v>1485</v>
      </c>
      <c r="I230" s="13" t="str">
        <f t="shared" si="3"/>
        <v>M3B6FALSE</v>
      </c>
      <c r="T230"/>
    </row>
    <row r="231" spans="1:20" ht="12.75" customHeight="1" x14ac:dyDescent="0.25">
      <c r="A231" s="13" t="s">
        <v>1486</v>
      </c>
      <c r="B231" s="13" t="s">
        <v>1486</v>
      </c>
      <c r="C231" s="32" t="str" cm="1">
        <f t="array" aca="1" ref="C231" ca="1">"'='" &amp; MID(CELL("address",INDIRECT(B231)),$K$2+1,100)</f>
        <v>'='CNPIs G2 Civic Engagement'!$L$12</v>
      </c>
      <c r="D231" s="38" t="str">
        <f>M3B6G2cPeoplePartAccuracy</f>
        <v/>
      </c>
      <c r="E231" s="38" t="s">
        <v>493</v>
      </c>
      <c r="F231" s="13" t="s">
        <v>1486</v>
      </c>
      <c r="I231" s="13" t="str">
        <f t="shared" si="3"/>
        <v>M3B6FALSE</v>
      </c>
      <c r="T231"/>
    </row>
    <row r="232" spans="1:20" ht="12.75" customHeight="1" x14ac:dyDescent="0.25">
      <c r="A232" t="s">
        <v>877</v>
      </c>
      <c r="B232" t="s">
        <v>877</v>
      </c>
      <c r="C232" s="32" t="str" cm="1">
        <f t="array" aca="1" ref="C232" ca="1">"'='" &amp; MID(CELL("address",INDIRECT(B232)),$K$2+1,100)</f>
        <v>'='CNPIs G2 Civic Engagement'!$C$15</v>
      </c>
      <c r="D232" s="38">
        <f>M3B6G2z1OtherCivicEngG21Name</f>
        <v>0</v>
      </c>
      <c r="E232" s="38" t="s">
        <v>284</v>
      </c>
      <c r="F232" s="110" t="s">
        <v>877</v>
      </c>
      <c r="G232" s="38">
        <v>1000</v>
      </c>
      <c r="I232" s="13" t="str">
        <f t="shared" si="3"/>
        <v>M3B6FALSE</v>
      </c>
      <c r="T232"/>
    </row>
    <row r="233" spans="1:20" ht="12.75" customHeight="1" x14ac:dyDescent="0.25">
      <c r="A233" t="s">
        <v>878</v>
      </c>
      <c r="B233" t="s">
        <v>878</v>
      </c>
      <c r="C233" s="32" t="str" cm="1">
        <f t="array" aca="1" ref="C233" ca="1">"'='" &amp; MID(CELL("address",INDIRECT(B233)),$K$2+1,100)</f>
        <v>'='CNPIs G2 Civic Engagement'!$G$15</v>
      </c>
      <c r="D233" s="38">
        <f>M3B6G2z1OtherCivicEngG21Baseline</f>
        <v>0</v>
      </c>
      <c r="E233" s="38" t="s">
        <v>493</v>
      </c>
      <c r="F233" s="110" t="s">
        <v>878</v>
      </c>
      <c r="I233" s="13" t="str">
        <f t="shared" si="3"/>
        <v>M3B6FALSE</v>
      </c>
      <c r="T233"/>
    </row>
    <row r="234" spans="1:20" ht="12.75" customHeight="1" x14ac:dyDescent="0.25">
      <c r="A234" t="s">
        <v>879</v>
      </c>
      <c r="B234" t="s">
        <v>879</v>
      </c>
      <c r="C234" s="32" t="str" cm="1">
        <f t="array" aca="1" ref="C234" ca="1">"'='" &amp; MID(CELL("address",INDIRECT(B234)),$K$2+1,100)</f>
        <v>'='CNPIs G2 Civic Engagement'!$H$15</v>
      </c>
      <c r="D234" s="38">
        <f>M3B6G2z1OtherCivicEngG21Target</f>
        <v>0</v>
      </c>
      <c r="E234" s="38" t="s">
        <v>493</v>
      </c>
      <c r="F234" s="110" t="s">
        <v>879</v>
      </c>
      <c r="I234" s="13" t="str">
        <f t="shared" ref="I234:I297" si="4">LEFT(A234,4) &amp; AND(D234&lt;&gt;"",D234&lt;&gt;0)</f>
        <v>M3B6FALSE</v>
      </c>
      <c r="T234"/>
    </row>
    <row r="235" spans="1:20" ht="12.75" customHeight="1" x14ac:dyDescent="0.25">
      <c r="A235" s="13" t="s">
        <v>1487</v>
      </c>
      <c r="B235" s="13" t="s">
        <v>1487</v>
      </c>
      <c r="C235" s="32" t="str" cm="1">
        <f t="array" aca="1" ref="C235" ca="1">"'='" &amp; MID(CELL("address",INDIRECT(B235)),$K$2+1,100)</f>
        <v>'='CNPIs G2 Civic Engagement'!$I$15</v>
      </c>
      <c r="D235" s="38" t="str">
        <f>M3B6G2z1OtherCivicEngG21ExpectChng</f>
        <v/>
      </c>
      <c r="E235" s="38" t="s">
        <v>493</v>
      </c>
      <c r="F235" s="13" t="s">
        <v>1487</v>
      </c>
      <c r="I235" s="13" t="str">
        <f t="shared" si="4"/>
        <v>M3B6FALSE</v>
      </c>
      <c r="T235"/>
    </row>
    <row r="236" spans="1:20" ht="12.75" customHeight="1" x14ac:dyDescent="0.25">
      <c r="A236" t="s">
        <v>880</v>
      </c>
      <c r="B236" t="s">
        <v>880</v>
      </c>
      <c r="C236" s="32" t="str" cm="1">
        <f t="array" aca="1" ref="C236" ca="1">"'='" &amp; MID(CELL("address",INDIRECT(B236)),$K$2+1,100)</f>
        <v>'='CNPIs G2 Civic Engagement'!$J$15</v>
      </c>
      <c r="D236" s="38">
        <f>M3B6G2z1OtherCivicEngG21Results</f>
        <v>0</v>
      </c>
      <c r="E236" s="38" t="s">
        <v>493</v>
      </c>
      <c r="F236" s="110" t="s">
        <v>880</v>
      </c>
      <c r="I236" s="13" t="str">
        <f t="shared" si="4"/>
        <v>M3B6FALSE</v>
      </c>
      <c r="T236"/>
    </row>
    <row r="237" spans="1:20" ht="12.75" customHeight="1" x14ac:dyDescent="0.25">
      <c r="A237" s="13" t="s">
        <v>1488</v>
      </c>
      <c r="B237" s="13" t="s">
        <v>1488</v>
      </c>
      <c r="C237" s="32" t="str" cm="1">
        <f t="array" aca="1" ref="C237" ca="1">"'='" &amp; MID(CELL("address",INDIRECT(B237)),$K$2+1,100)</f>
        <v>'='CNPIs G2 Civic Engagement'!$K$15</v>
      </c>
      <c r="D237" s="38" t="str">
        <f>M3B6G2z1OtherCivicEngG21ActualChng</f>
        <v/>
      </c>
      <c r="E237" s="38" t="s">
        <v>493</v>
      </c>
      <c r="F237" s="13" t="s">
        <v>1488</v>
      </c>
      <c r="I237" s="13" t="str">
        <f t="shared" si="4"/>
        <v>M3B6FALSE</v>
      </c>
      <c r="T237"/>
    </row>
    <row r="238" spans="1:20" ht="12.75" customHeight="1" x14ac:dyDescent="0.25">
      <c r="A238" s="13" t="s">
        <v>1489</v>
      </c>
      <c r="B238" s="13" t="s">
        <v>1489</v>
      </c>
      <c r="C238" s="32" t="str" cm="1">
        <f t="array" aca="1" ref="C238" ca="1">"'='" &amp; MID(CELL("address",INDIRECT(B238)),$K$2+1,100)</f>
        <v>'='CNPIs G2 Civic Engagement'!$L$15</v>
      </c>
      <c r="D238" s="38" t="str">
        <f>M3B6G2z1OtherCivicEngG21Accuracy</f>
        <v/>
      </c>
      <c r="E238" s="38" t="s">
        <v>493</v>
      </c>
      <c r="F238" s="13" t="s">
        <v>1489</v>
      </c>
      <c r="I238" s="13" t="str">
        <f t="shared" si="4"/>
        <v>M3B6FALSE</v>
      </c>
      <c r="T238"/>
    </row>
    <row r="239" spans="1:20" ht="12.75" customHeight="1" x14ac:dyDescent="0.25">
      <c r="A239" t="s">
        <v>881</v>
      </c>
      <c r="B239" t="s">
        <v>881</v>
      </c>
      <c r="C239" s="32" t="str" cm="1">
        <f t="array" aca="1" ref="C239" ca="1">"'='" &amp; MID(CELL("address",INDIRECT(B239)),$K$2+1,100)</f>
        <v>'='CNPIs G2 Civic Engagement'!$C$16</v>
      </c>
      <c r="D239" s="38">
        <f>M3B6G2z2OtherCivicEngG22Name</f>
        <v>0</v>
      </c>
      <c r="E239" s="38" t="s">
        <v>284</v>
      </c>
      <c r="F239" s="110" t="s">
        <v>881</v>
      </c>
      <c r="G239" s="38">
        <v>1000</v>
      </c>
      <c r="I239" s="13" t="str">
        <f t="shared" si="4"/>
        <v>M3B6FALSE</v>
      </c>
      <c r="T239"/>
    </row>
    <row r="240" spans="1:20" ht="12.75" customHeight="1" x14ac:dyDescent="0.25">
      <c r="A240" t="s">
        <v>882</v>
      </c>
      <c r="B240" t="s">
        <v>882</v>
      </c>
      <c r="C240" s="32" t="str" cm="1">
        <f t="array" aca="1" ref="C240" ca="1">"'='" &amp; MID(CELL("address",INDIRECT(B240)),$K$2+1,100)</f>
        <v>'='CNPIs G2 Civic Engagement'!$G$16</v>
      </c>
      <c r="D240" s="38">
        <f>M3B6G2z2OtherCivicEngG22Baseline</f>
        <v>0</v>
      </c>
      <c r="E240" s="38" t="s">
        <v>493</v>
      </c>
      <c r="F240" s="110" t="s">
        <v>882</v>
      </c>
      <c r="I240" s="13" t="str">
        <f t="shared" si="4"/>
        <v>M3B6FALSE</v>
      </c>
      <c r="T240"/>
    </row>
    <row r="241" spans="1:20" ht="12.75" customHeight="1" x14ac:dyDescent="0.25">
      <c r="A241" t="s">
        <v>883</v>
      </c>
      <c r="B241" t="s">
        <v>883</v>
      </c>
      <c r="C241" s="32" t="str" cm="1">
        <f t="array" aca="1" ref="C241" ca="1">"'='" &amp; MID(CELL("address",INDIRECT(B241)),$K$2+1,100)</f>
        <v>'='CNPIs G2 Civic Engagement'!$H$16</v>
      </c>
      <c r="D241" s="38">
        <f>M3B6G2z2OtherCivicEngG22Target</f>
        <v>0</v>
      </c>
      <c r="E241" s="38" t="s">
        <v>493</v>
      </c>
      <c r="F241" s="110" t="s">
        <v>883</v>
      </c>
      <c r="I241" s="13" t="str">
        <f t="shared" si="4"/>
        <v>M3B6FALSE</v>
      </c>
      <c r="T241"/>
    </row>
    <row r="242" spans="1:20" ht="12.75" customHeight="1" x14ac:dyDescent="0.25">
      <c r="A242" s="13" t="s">
        <v>1490</v>
      </c>
      <c r="B242" s="13" t="s">
        <v>1490</v>
      </c>
      <c r="C242" s="32" t="str" cm="1">
        <f t="array" aca="1" ref="C242" ca="1">"'='" &amp; MID(CELL("address",INDIRECT(B242)),$K$2+1,100)</f>
        <v>'='CNPIs G2 Civic Engagement'!$I$16</v>
      </c>
      <c r="D242" s="38" t="str">
        <f>M3B6G2z2OtherCivicEngG22ExpectChng</f>
        <v/>
      </c>
      <c r="E242" s="38" t="s">
        <v>493</v>
      </c>
      <c r="F242" s="13" t="s">
        <v>1490</v>
      </c>
      <c r="I242" s="13" t="str">
        <f t="shared" si="4"/>
        <v>M3B6FALSE</v>
      </c>
      <c r="T242"/>
    </row>
    <row r="243" spans="1:20" ht="12.75" customHeight="1" x14ac:dyDescent="0.25">
      <c r="A243" t="s">
        <v>884</v>
      </c>
      <c r="B243" t="s">
        <v>884</v>
      </c>
      <c r="C243" s="32" t="str" cm="1">
        <f t="array" aca="1" ref="C243" ca="1">"'='" &amp; MID(CELL("address",INDIRECT(B243)),$K$2+1,100)</f>
        <v>'='CNPIs G2 Civic Engagement'!$J$16</v>
      </c>
      <c r="D243" s="38">
        <f>M3B6G2z2OtherCivicEngG22Results</f>
        <v>0</v>
      </c>
      <c r="E243" s="38" t="s">
        <v>493</v>
      </c>
      <c r="F243" s="110" t="s">
        <v>884</v>
      </c>
      <c r="I243" s="13" t="str">
        <f t="shared" si="4"/>
        <v>M3B6FALSE</v>
      </c>
      <c r="T243"/>
    </row>
    <row r="244" spans="1:20" ht="12.75" customHeight="1" x14ac:dyDescent="0.25">
      <c r="A244" s="13" t="s">
        <v>1491</v>
      </c>
      <c r="B244" s="13" t="s">
        <v>1491</v>
      </c>
      <c r="C244" s="32" t="str" cm="1">
        <f t="array" aca="1" ref="C244" ca="1">"'='" &amp; MID(CELL("address",INDIRECT(B244)),$K$2+1,100)</f>
        <v>'='CNPIs G2 Civic Engagement'!$K$16</v>
      </c>
      <c r="D244" s="38" t="str">
        <f>M3B6G2z2OtherCivicEngG22ActualChng</f>
        <v/>
      </c>
      <c r="E244" s="38" t="s">
        <v>493</v>
      </c>
      <c r="F244" s="13" t="s">
        <v>1491</v>
      </c>
      <c r="I244" s="13" t="str">
        <f t="shared" si="4"/>
        <v>M3B6FALSE</v>
      </c>
      <c r="T244"/>
    </row>
    <row r="245" spans="1:20" ht="12.75" customHeight="1" x14ac:dyDescent="0.25">
      <c r="A245" s="13" t="s">
        <v>1492</v>
      </c>
      <c r="B245" s="13" t="s">
        <v>1492</v>
      </c>
      <c r="C245" s="32" t="str" cm="1">
        <f t="array" aca="1" ref="C245" ca="1">"'='" &amp; MID(CELL("address",INDIRECT(B245)),$K$2+1,100)</f>
        <v>'='CNPIs G2 Civic Engagement'!$L$16</v>
      </c>
      <c r="D245" s="38" t="str">
        <f>M3B6G2z2OtherCivicEngG22Accuracy</f>
        <v/>
      </c>
      <c r="E245" s="38" t="s">
        <v>493</v>
      </c>
      <c r="F245" s="13" t="s">
        <v>1492</v>
      </c>
      <c r="I245" s="13" t="str">
        <f t="shared" si="4"/>
        <v>M3B6FALSE</v>
      </c>
      <c r="T245"/>
    </row>
    <row r="246" spans="1:20" ht="12.75" customHeight="1" x14ac:dyDescent="0.25">
      <c r="A246" t="s">
        <v>885</v>
      </c>
      <c r="B246" t="s">
        <v>885</v>
      </c>
      <c r="C246" s="32" t="str" cm="1">
        <f t="array" aca="1" ref="C246" ca="1">"'='" &amp; MID(CELL("address",INDIRECT(B246)),$K$2+1,100)</f>
        <v>'='CNPIs G2 Civic Engagement'!$C$17</v>
      </c>
      <c r="D246" s="38">
        <f>M3B6G2z3OtherCivicEngG23Name</f>
        <v>0</v>
      </c>
      <c r="E246" s="38" t="s">
        <v>284</v>
      </c>
      <c r="F246" s="110" t="s">
        <v>885</v>
      </c>
      <c r="G246" s="38">
        <v>1000</v>
      </c>
      <c r="I246" s="13" t="str">
        <f t="shared" si="4"/>
        <v>M3B6FALSE</v>
      </c>
      <c r="T246"/>
    </row>
    <row r="247" spans="1:20" ht="12.75" customHeight="1" x14ac:dyDescent="0.25">
      <c r="A247" t="s">
        <v>886</v>
      </c>
      <c r="B247" t="s">
        <v>886</v>
      </c>
      <c r="C247" s="32" t="str" cm="1">
        <f t="array" aca="1" ref="C247" ca="1">"'='" &amp; MID(CELL("address",INDIRECT(B247)),$K$2+1,100)</f>
        <v>'='CNPIs G2 Civic Engagement'!$G$17</v>
      </c>
      <c r="D247" s="38">
        <f>M3B6G2z3OtherCivicEngG23Baseline</f>
        <v>0</v>
      </c>
      <c r="E247" s="38" t="s">
        <v>493</v>
      </c>
      <c r="F247" s="110" t="s">
        <v>886</v>
      </c>
      <c r="I247" s="13" t="str">
        <f t="shared" si="4"/>
        <v>M3B6FALSE</v>
      </c>
      <c r="T247"/>
    </row>
    <row r="248" spans="1:20" ht="12.75" customHeight="1" x14ac:dyDescent="0.25">
      <c r="A248" t="s">
        <v>887</v>
      </c>
      <c r="B248" t="s">
        <v>887</v>
      </c>
      <c r="C248" s="32" t="str" cm="1">
        <f t="array" aca="1" ref="C248" ca="1">"'='" &amp; MID(CELL("address",INDIRECT(B248)),$K$2+1,100)</f>
        <v>'='CNPIs G2 Civic Engagement'!$H$17</v>
      </c>
      <c r="D248" s="38">
        <f>M3B6G2z3OtherCivicEngG23Target</f>
        <v>0</v>
      </c>
      <c r="E248" s="38" t="s">
        <v>493</v>
      </c>
      <c r="F248" s="110" t="s">
        <v>887</v>
      </c>
      <c r="I248" s="13" t="str">
        <f t="shared" si="4"/>
        <v>M3B6FALSE</v>
      </c>
      <c r="T248"/>
    </row>
    <row r="249" spans="1:20" ht="12.75" customHeight="1" x14ac:dyDescent="0.25">
      <c r="A249" s="13" t="s">
        <v>1493</v>
      </c>
      <c r="B249" s="13" t="s">
        <v>1493</v>
      </c>
      <c r="C249" s="32" t="str" cm="1">
        <f t="array" aca="1" ref="C249" ca="1">"'='" &amp; MID(CELL("address",INDIRECT(B249)),$K$2+1,100)</f>
        <v>'='CNPIs G2 Civic Engagement'!$I$17</v>
      </c>
      <c r="D249" s="38" t="str">
        <f>M3B6G2z3OtherCivicEngG23ExpectChng</f>
        <v/>
      </c>
      <c r="E249" s="38" t="s">
        <v>493</v>
      </c>
      <c r="F249" s="13" t="s">
        <v>1493</v>
      </c>
      <c r="I249" s="13" t="str">
        <f t="shared" si="4"/>
        <v>M3B6FALSE</v>
      </c>
      <c r="T249"/>
    </row>
    <row r="250" spans="1:20" ht="12.75" customHeight="1" x14ac:dyDescent="0.25">
      <c r="A250" t="s">
        <v>888</v>
      </c>
      <c r="B250" t="s">
        <v>888</v>
      </c>
      <c r="C250" s="32" t="str" cm="1">
        <f t="array" aca="1" ref="C250" ca="1">"'='" &amp; MID(CELL("address",INDIRECT(B250)),$K$2+1,100)</f>
        <v>'='CNPIs G2 Civic Engagement'!$J$17</v>
      </c>
      <c r="D250" s="38">
        <f>M3B6G2z3OtherCivicEngG23Results</f>
        <v>0</v>
      </c>
      <c r="E250" s="38" t="s">
        <v>493</v>
      </c>
      <c r="F250" s="110" t="s">
        <v>888</v>
      </c>
      <c r="I250" s="13" t="str">
        <f t="shared" si="4"/>
        <v>M3B6FALSE</v>
      </c>
      <c r="T250"/>
    </row>
    <row r="251" spans="1:20" ht="12.75" customHeight="1" x14ac:dyDescent="0.25">
      <c r="A251" s="13" t="s">
        <v>1494</v>
      </c>
      <c r="B251" s="13" t="s">
        <v>1494</v>
      </c>
      <c r="C251" s="32" t="str" cm="1">
        <f t="array" aca="1" ref="C251" ca="1">"'='" &amp; MID(CELL("address",INDIRECT(B251)),$K$2+1,100)</f>
        <v>'='CNPIs G2 Civic Engagement'!$K$17</v>
      </c>
      <c r="D251" s="38" t="str">
        <f>M3B6G2z3OtherCivicEngG23ActualChng</f>
        <v/>
      </c>
      <c r="E251" s="38" t="s">
        <v>493</v>
      </c>
      <c r="F251" s="13" t="s">
        <v>1494</v>
      </c>
      <c r="I251" s="13" t="str">
        <f t="shared" si="4"/>
        <v>M3B6FALSE</v>
      </c>
      <c r="T251"/>
    </row>
    <row r="252" spans="1:20" ht="12.75" customHeight="1" x14ac:dyDescent="0.25">
      <c r="A252" s="13" t="s">
        <v>1495</v>
      </c>
      <c r="B252" s="13" t="s">
        <v>1495</v>
      </c>
      <c r="C252" s="32" t="str" cm="1">
        <f t="array" aca="1" ref="C252" ca="1">"'='" &amp; MID(CELL("address",INDIRECT(B252)),$K$2+1,100)</f>
        <v>'='CNPIs G2 Civic Engagement'!$L$17</v>
      </c>
      <c r="D252" s="38" t="str">
        <f>M3B6G2z3OtherCivicEngG23Accuracy</f>
        <v/>
      </c>
      <c r="E252" s="38" t="s">
        <v>493</v>
      </c>
      <c r="F252" s="13" t="s">
        <v>1495</v>
      </c>
      <c r="I252" s="13" t="str">
        <f t="shared" si="4"/>
        <v>M3B6FALSE</v>
      </c>
      <c r="T252"/>
    </row>
    <row r="253" spans="1:20" ht="12.75" customHeight="1" x14ac:dyDescent="0.25">
      <c r="A253" t="s">
        <v>1567</v>
      </c>
      <c r="B253" t="s">
        <v>1567</v>
      </c>
      <c r="C253" s="32" t="str" cm="1">
        <f t="array" aca="1" ref="C253" ca="1">"'='" &amp; MID(CELL("address",INDIRECT(B253)),$K$2+1,100)</f>
        <v>'='CNPIs G2 Civic Engagement'!$C$20</v>
      </c>
      <c r="D253" s="38">
        <f>M3B6G2z4OtherCivicEngG24Name</f>
        <v>0</v>
      </c>
      <c r="E253" s="38" t="s">
        <v>284</v>
      </c>
      <c r="F253" s="110" t="s">
        <v>1567</v>
      </c>
      <c r="G253" s="38">
        <v>1000</v>
      </c>
      <c r="I253" s="13" t="str">
        <f t="shared" si="4"/>
        <v>M3B6FALSE</v>
      </c>
      <c r="T253"/>
    </row>
    <row r="254" spans="1:20" ht="12.75" customHeight="1" x14ac:dyDescent="0.25">
      <c r="A254" t="s">
        <v>1568</v>
      </c>
      <c r="B254" t="s">
        <v>1568</v>
      </c>
      <c r="C254" s="32" t="str" cm="1">
        <f t="array" aca="1" ref="C254" ca="1">"'='" &amp; MID(CELL("address",INDIRECT(B254)),$K$2+1,100)</f>
        <v>'='CNPIs G2 Civic Engagement'!$J$20</v>
      </c>
      <c r="D254" s="38">
        <f>M3B6G2z4OtherCivicEngG24Target</f>
        <v>0</v>
      </c>
      <c r="E254" s="38" t="s">
        <v>493</v>
      </c>
      <c r="F254" s="110" t="s">
        <v>1568</v>
      </c>
      <c r="I254" s="13" t="str">
        <f t="shared" si="4"/>
        <v>M3B6FALSE</v>
      </c>
      <c r="T254"/>
    </row>
    <row r="255" spans="1:20" ht="12.75" customHeight="1" x14ac:dyDescent="0.25">
      <c r="A255" t="s">
        <v>1569</v>
      </c>
      <c r="B255" t="s">
        <v>1569</v>
      </c>
      <c r="C255" s="32" t="str" cm="1">
        <f t="array" aca="1" ref="C255" ca="1">"'='" &amp; MID(CELL("address",INDIRECT(B255)),$K$2+1,100)</f>
        <v>'='CNPIs G2 Civic Engagement'!$K$20</v>
      </c>
      <c r="D255" s="38">
        <f>M3B6G2z4OtherCivicEngG24Results</f>
        <v>0</v>
      </c>
      <c r="E255" s="38" t="s">
        <v>493</v>
      </c>
      <c r="F255" s="110" t="s">
        <v>1569</v>
      </c>
      <c r="I255" s="13" t="str">
        <f t="shared" si="4"/>
        <v>M3B6FALSE</v>
      </c>
      <c r="T255"/>
    </row>
    <row r="256" spans="1:20" ht="12.75" customHeight="1" x14ac:dyDescent="0.25">
      <c r="A256" s="13" t="s">
        <v>1570</v>
      </c>
      <c r="B256" s="13" t="s">
        <v>1570</v>
      </c>
      <c r="C256" s="32" t="str" cm="1">
        <f t="array" aca="1" ref="C256" ca="1">"'='" &amp; MID(CELL("address",INDIRECT(B256)),$K$2+1,100)</f>
        <v>'='CNPIs G2 Civic Engagement'!$L$20</v>
      </c>
      <c r="D256" s="38" t="str">
        <f>M3B6G2z4OtherCivicEngG24Accuracy</f>
        <v/>
      </c>
      <c r="E256" s="38" t="s">
        <v>493</v>
      </c>
      <c r="F256" s="13" t="s">
        <v>1570</v>
      </c>
      <c r="I256" s="13" t="str">
        <f t="shared" si="4"/>
        <v>M3B6FALSE</v>
      </c>
      <c r="T256"/>
    </row>
    <row r="257" spans="1:20" ht="12.75" customHeight="1" x14ac:dyDescent="0.25">
      <c r="A257" t="s">
        <v>1571</v>
      </c>
      <c r="B257" t="s">
        <v>1571</v>
      </c>
      <c r="C257" s="32" t="str" cm="1">
        <f t="array" aca="1" ref="C257" ca="1">"'='" &amp; MID(CELL("address",INDIRECT(B257)),$K$2+1,100)</f>
        <v>'='CNPIs G2 Civic Engagement'!$C$21</v>
      </c>
      <c r="D257" s="38">
        <f>M3B6G2z5OtherCivicEngG25Name</f>
        <v>0</v>
      </c>
      <c r="E257" s="38" t="s">
        <v>284</v>
      </c>
      <c r="F257" s="110" t="s">
        <v>1571</v>
      </c>
      <c r="G257" s="38">
        <v>1000</v>
      </c>
      <c r="I257" s="13" t="str">
        <f t="shared" si="4"/>
        <v>M3B6FALSE</v>
      </c>
      <c r="T257"/>
    </row>
    <row r="258" spans="1:20" ht="12.75" customHeight="1" x14ac:dyDescent="0.25">
      <c r="A258" t="s">
        <v>1572</v>
      </c>
      <c r="B258" t="s">
        <v>1572</v>
      </c>
      <c r="C258" s="32" t="str" cm="1">
        <f t="array" aca="1" ref="C258" ca="1">"'='" &amp; MID(CELL("address",INDIRECT(B258)),$K$2+1,100)</f>
        <v>'='CNPIs G2 Civic Engagement'!$J$21</v>
      </c>
      <c r="D258" s="38">
        <f>M3B6G2z5OtherCivicEngG25Target</f>
        <v>0</v>
      </c>
      <c r="E258" s="38" t="s">
        <v>493</v>
      </c>
      <c r="F258" s="110" t="s">
        <v>1572</v>
      </c>
      <c r="I258" s="13" t="str">
        <f t="shared" si="4"/>
        <v>M3B6FALSE</v>
      </c>
      <c r="T258"/>
    </row>
    <row r="259" spans="1:20" ht="12.75" customHeight="1" x14ac:dyDescent="0.25">
      <c r="A259" t="s">
        <v>1573</v>
      </c>
      <c r="B259" t="s">
        <v>1573</v>
      </c>
      <c r="C259" s="32" t="str" cm="1">
        <f t="array" aca="1" ref="C259" ca="1">"'='" &amp; MID(CELL("address",INDIRECT(B259)),$K$2+1,100)</f>
        <v>'='CNPIs G2 Civic Engagement'!$K$21</v>
      </c>
      <c r="D259" s="38">
        <f>M3B6G2z5OtherCivicEngG25Results</f>
        <v>0</v>
      </c>
      <c r="E259" s="38" t="s">
        <v>493</v>
      </c>
      <c r="F259" s="110" t="s">
        <v>1573</v>
      </c>
      <c r="I259" s="13" t="str">
        <f t="shared" si="4"/>
        <v>M3B6FALSE</v>
      </c>
      <c r="T259"/>
    </row>
    <row r="260" spans="1:20" ht="12.75" customHeight="1" x14ac:dyDescent="0.25">
      <c r="A260" s="13" t="s">
        <v>1574</v>
      </c>
      <c r="B260" s="13" t="s">
        <v>1574</v>
      </c>
      <c r="C260" s="32" t="str" cm="1">
        <f t="array" aca="1" ref="C260" ca="1">"'='" &amp; MID(CELL("address",INDIRECT(B260)),$K$2+1,100)</f>
        <v>'='CNPIs G2 Civic Engagement'!$L$21</v>
      </c>
      <c r="D260" s="38" t="str">
        <f>M3B6G2z5OtherCivicEngG25Accuracy</f>
        <v/>
      </c>
      <c r="E260" s="38" t="s">
        <v>493</v>
      </c>
      <c r="F260" s="13" t="s">
        <v>1574</v>
      </c>
      <c r="I260" s="13" t="str">
        <f t="shared" si="4"/>
        <v>M3B6FALSE</v>
      </c>
      <c r="T260"/>
    </row>
    <row r="261" spans="1:20" ht="12.75" customHeight="1" x14ac:dyDescent="0.25">
      <c r="A261" t="s">
        <v>1575</v>
      </c>
      <c r="B261" t="s">
        <v>1575</v>
      </c>
      <c r="C261" s="32" t="str" cm="1">
        <f t="array" aca="1" ref="C261" ca="1">"'='" &amp; MID(CELL("address",INDIRECT(B261)),$K$2+1,100)</f>
        <v>'='CNPIs G2 Civic Engagement'!$C$22</v>
      </c>
      <c r="D261" s="38">
        <f>M3B6G2z6OtherCivicEngG26Name</f>
        <v>0</v>
      </c>
      <c r="E261" s="38" t="s">
        <v>284</v>
      </c>
      <c r="F261" s="110" t="s">
        <v>1575</v>
      </c>
      <c r="G261" s="38">
        <v>1000</v>
      </c>
      <c r="I261" s="13" t="str">
        <f t="shared" si="4"/>
        <v>M3B6FALSE</v>
      </c>
      <c r="T261"/>
    </row>
    <row r="262" spans="1:20" ht="12.75" customHeight="1" x14ac:dyDescent="0.25">
      <c r="A262" t="s">
        <v>1576</v>
      </c>
      <c r="B262" t="s">
        <v>1576</v>
      </c>
      <c r="C262" s="32" t="str" cm="1">
        <f t="array" aca="1" ref="C262" ca="1">"'='" &amp; MID(CELL("address",INDIRECT(B262)),$K$2+1,100)</f>
        <v>'='CNPIs G2 Civic Engagement'!$J$22</v>
      </c>
      <c r="D262" s="38">
        <f>M3B6G2z6OtherCivicEngG26Target</f>
        <v>0</v>
      </c>
      <c r="E262" s="38" t="s">
        <v>493</v>
      </c>
      <c r="F262" s="110" t="s">
        <v>1576</v>
      </c>
      <c r="I262" s="13" t="str">
        <f t="shared" si="4"/>
        <v>M3B6FALSE</v>
      </c>
      <c r="T262"/>
    </row>
    <row r="263" spans="1:20" ht="12.75" customHeight="1" x14ac:dyDescent="0.25">
      <c r="A263" t="s">
        <v>1577</v>
      </c>
      <c r="B263" t="s">
        <v>1577</v>
      </c>
      <c r="C263" s="32" t="str" cm="1">
        <f t="array" aca="1" ref="C263" ca="1">"'='" &amp; MID(CELL("address",INDIRECT(B263)),$K$2+1,100)</f>
        <v>'='CNPIs G2 Civic Engagement'!$K$22</v>
      </c>
      <c r="D263" s="38">
        <f>M3B6G2z6OtherCivicEngG26Results</f>
        <v>0</v>
      </c>
      <c r="E263" s="38" t="s">
        <v>493</v>
      </c>
      <c r="F263" s="110" t="s">
        <v>1577</v>
      </c>
      <c r="I263" s="13" t="str">
        <f t="shared" si="4"/>
        <v>M3B6FALSE</v>
      </c>
      <c r="T263"/>
    </row>
    <row r="264" spans="1:20" ht="12.75" customHeight="1" x14ac:dyDescent="0.25">
      <c r="A264" s="13" t="s">
        <v>1578</v>
      </c>
      <c r="B264" s="13" t="s">
        <v>1578</v>
      </c>
      <c r="C264" s="32" t="str" cm="1">
        <f t="array" aca="1" ref="C264" ca="1">"'='" &amp; MID(CELL("address",INDIRECT(B264)),$K$2+1,100)</f>
        <v>'='CNPIs G2 Civic Engagement'!$L$22</v>
      </c>
      <c r="D264" s="38" t="str">
        <f>M3B6G2z6OtherCivicEngG26Accuracy</f>
        <v/>
      </c>
      <c r="E264" s="38" t="s">
        <v>493</v>
      </c>
      <c r="F264" s="13" t="s">
        <v>1578</v>
      </c>
      <c r="I264" s="13" t="str">
        <f t="shared" si="4"/>
        <v>M3B6FALSE</v>
      </c>
      <c r="T264"/>
    </row>
    <row r="265" spans="1:20" ht="12.75" customHeight="1" x14ac:dyDescent="0.25">
      <c r="A265" t="s">
        <v>912</v>
      </c>
      <c r="B265" t="s">
        <v>912</v>
      </c>
      <c r="C265" s="32" t="str" cm="1">
        <f t="array" aca="1" ref="C265" ca="1">"'='" &amp; MID(CELL("address",INDIRECT(B265)),$K$2+1,100)</f>
        <v>'='CNPIs G2 Civic Engagement'!$B$24</v>
      </c>
      <c r="D265" s="38">
        <f>M3B5G2Comments</f>
        <v>0</v>
      </c>
      <c r="E265" s="38" t="s">
        <v>284</v>
      </c>
      <c r="F265" s="110" t="s">
        <v>912</v>
      </c>
      <c r="G265" s="38">
        <v>5000</v>
      </c>
      <c r="I265" s="13" t="str">
        <f t="shared" si="4"/>
        <v>M3B5FALSE</v>
      </c>
      <c r="T265"/>
    </row>
    <row r="266" spans="1:20" ht="12.75" customHeight="1" x14ac:dyDescent="0.25">
      <c r="A266" t="s">
        <v>889</v>
      </c>
      <c r="B266" t="s">
        <v>889</v>
      </c>
      <c r="C266" s="32" t="str" cm="1">
        <f t="array" aca="1" ref="C266" ca="1">"'='" &amp; MID(CELL("address",INDIRECT(B266)),$K$2+1,100)</f>
        <v>'='CNPIs G3 Civic Engagement'!$G$10</v>
      </c>
      <c r="D266" s="38">
        <f>M3B6G3aSuppImplBaseline</f>
        <v>0</v>
      </c>
      <c r="E266" s="38" t="s">
        <v>493</v>
      </c>
      <c r="F266" s="110" t="s">
        <v>889</v>
      </c>
      <c r="I266" s="13" t="str">
        <f t="shared" si="4"/>
        <v>M3B6FALSE</v>
      </c>
      <c r="T266"/>
    </row>
    <row r="267" spans="1:20" ht="12.75" customHeight="1" x14ac:dyDescent="0.25">
      <c r="A267" t="s">
        <v>890</v>
      </c>
      <c r="B267" t="s">
        <v>890</v>
      </c>
      <c r="C267" s="32" t="str" cm="1">
        <f t="array" aca="1" ref="C267" ca="1">"'='" &amp; MID(CELL("address",INDIRECT(B267)),$K$2+1,100)</f>
        <v>'='CNPIs G3 Civic Engagement'!$H$10</v>
      </c>
      <c r="D267" s="38">
        <f>M3B6G3aSuppImplTarget</f>
        <v>0</v>
      </c>
      <c r="E267" s="38" t="s">
        <v>493</v>
      </c>
      <c r="F267" s="110" t="s">
        <v>890</v>
      </c>
      <c r="I267" s="13" t="str">
        <f t="shared" si="4"/>
        <v>M3B6FALSE</v>
      </c>
      <c r="T267"/>
    </row>
    <row r="268" spans="1:20" ht="12.75" customHeight="1" x14ac:dyDescent="0.25">
      <c r="A268" s="13" t="s">
        <v>1496</v>
      </c>
      <c r="B268" s="13" t="s">
        <v>1496</v>
      </c>
      <c r="C268" s="32" t="str" cm="1">
        <f t="array" aca="1" ref="C268" ca="1">"'='" &amp; MID(CELL("address",INDIRECT(B268)),$K$2+1,100)</f>
        <v>'='CNPIs G3 Civic Engagement'!$I$10</v>
      </c>
      <c r="D268" s="38" t="str">
        <f>M3B6G3aSuppImplExpectChng</f>
        <v/>
      </c>
      <c r="E268" s="38" t="s">
        <v>493</v>
      </c>
      <c r="F268" s="13" t="s">
        <v>1496</v>
      </c>
      <c r="I268" s="13" t="str">
        <f t="shared" si="4"/>
        <v>M3B6FALSE</v>
      </c>
      <c r="T268"/>
    </row>
    <row r="269" spans="1:20" ht="12.75" customHeight="1" x14ac:dyDescent="0.25">
      <c r="A269" t="s">
        <v>891</v>
      </c>
      <c r="B269" t="s">
        <v>891</v>
      </c>
      <c r="C269" s="32" t="str" cm="1">
        <f t="array" aca="1" ref="C269" ca="1">"'='" &amp; MID(CELL("address",INDIRECT(B269)),$K$2+1,100)</f>
        <v>'='CNPIs G3 Civic Engagement'!$J$10</v>
      </c>
      <c r="D269" s="38">
        <f>M3B6G3aSuppImplResults</f>
        <v>0</v>
      </c>
      <c r="E269" s="38" t="s">
        <v>493</v>
      </c>
      <c r="F269" s="110" t="s">
        <v>891</v>
      </c>
      <c r="H269" s="13"/>
      <c r="I269" s="13" t="str">
        <f t="shared" si="4"/>
        <v>M3B6FALSE</v>
      </c>
      <c r="T269"/>
    </row>
    <row r="270" spans="1:20" ht="12.75" customHeight="1" x14ac:dyDescent="0.25">
      <c r="A270" s="13" t="s">
        <v>1497</v>
      </c>
      <c r="B270" s="13" t="s">
        <v>1497</v>
      </c>
      <c r="C270" s="32" t="str" cm="1">
        <f t="array" aca="1" ref="C270" ca="1">"'='" &amp; MID(CELL("address",INDIRECT(B270)),$K$2+1,100)</f>
        <v>'='CNPIs G3 Civic Engagement'!$K$10</v>
      </c>
      <c r="D270" s="38" t="str">
        <f>M3B6G3aSuppImplActualChng</f>
        <v/>
      </c>
      <c r="E270" s="38" t="s">
        <v>493</v>
      </c>
      <c r="F270" s="13" t="s">
        <v>1497</v>
      </c>
      <c r="H270" s="13"/>
      <c r="I270" s="13" t="str">
        <f t="shared" si="4"/>
        <v>M3B6FALSE</v>
      </c>
      <c r="T270"/>
    </row>
    <row r="271" spans="1:20" ht="12.75" customHeight="1" x14ac:dyDescent="0.25">
      <c r="A271" s="13" t="s">
        <v>1498</v>
      </c>
      <c r="B271" s="13" t="s">
        <v>1498</v>
      </c>
      <c r="C271" s="32" t="str" cm="1">
        <f t="array" aca="1" ref="C271" ca="1">"'='" &amp; MID(CELL("address",INDIRECT(B271)),$K$2+1,100)</f>
        <v>'='CNPIs G3 Civic Engagement'!$L$10</v>
      </c>
      <c r="D271" s="38" t="str">
        <f>M3B6G3aSuppImplAccuracy</f>
        <v/>
      </c>
      <c r="E271" s="38" t="s">
        <v>493</v>
      </c>
      <c r="F271" s="13" t="s">
        <v>1498</v>
      </c>
      <c r="H271" s="13"/>
      <c r="I271" s="13" t="str">
        <f t="shared" si="4"/>
        <v>M3B6FALSE</v>
      </c>
      <c r="T271"/>
    </row>
    <row r="272" spans="1:20" ht="12.75" customHeight="1" x14ac:dyDescent="0.25">
      <c r="A272" t="s">
        <v>892</v>
      </c>
      <c r="B272" t="s">
        <v>892</v>
      </c>
      <c r="C272" s="32" t="str" cm="1">
        <f t="array" aca="1" ref="C272" ca="1">"'='" &amp; MID(CELL("address",INDIRECT(B272)),$K$2+1,100)</f>
        <v>'='CNPIs G3 Civic Engagement'!$G$11</v>
      </c>
      <c r="D272" s="38">
        <f>M3B6G3bLeadRoleBaseline</f>
        <v>0</v>
      </c>
      <c r="E272" s="38" t="s">
        <v>493</v>
      </c>
      <c r="F272" s="110" t="s">
        <v>892</v>
      </c>
      <c r="H272" s="13"/>
      <c r="I272" s="13" t="str">
        <f t="shared" si="4"/>
        <v>M3B6FALSE</v>
      </c>
      <c r="T272"/>
    </row>
    <row r="273" spans="1:20" ht="12.75" customHeight="1" x14ac:dyDescent="0.25">
      <c r="A273" t="s">
        <v>893</v>
      </c>
      <c r="B273" t="s">
        <v>893</v>
      </c>
      <c r="C273" s="32" t="str" cm="1">
        <f t="array" aca="1" ref="C273" ca="1">"'='" &amp; MID(CELL("address",INDIRECT(B273)),$K$2+1,100)</f>
        <v>'='CNPIs G3 Civic Engagement'!$H$11</v>
      </c>
      <c r="D273" s="38">
        <f>M3B6G3bLeadRoleTarget</f>
        <v>0</v>
      </c>
      <c r="E273" s="38" t="s">
        <v>493</v>
      </c>
      <c r="F273" s="110" t="s">
        <v>893</v>
      </c>
      <c r="H273" s="13"/>
      <c r="I273" s="13" t="str">
        <f t="shared" si="4"/>
        <v>M3B6FALSE</v>
      </c>
      <c r="T273"/>
    </row>
    <row r="274" spans="1:20" ht="12.75" customHeight="1" x14ac:dyDescent="0.25">
      <c r="A274" s="13" t="s">
        <v>1499</v>
      </c>
      <c r="B274" s="13" t="s">
        <v>1499</v>
      </c>
      <c r="C274" s="32" t="str" cm="1">
        <f t="array" aca="1" ref="C274" ca="1">"'='" &amp; MID(CELL("address",INDIRECT(B274)),$K$2+1,100)</f>
        <v>'='CNPIs G3 Civic Engagement'!$I$11</v>
      </c>
      <c r="D274" s="38" t="str">
        <f>M3B6G3bLeadRoleExpectChng</f>
        <v/>
      </c>
      <c r="E274" s="38" t="s">
        <v>493</v>
      </c>
      <c r="F274" s="13" t="s">
        <v>1499</v>
      </c>
      <c r="H274" s="13"/>
      <c r="I274" s="13" t="str">
        <f t="shared" si="4"/>
        <v>M3B6FALSE</v>
      </c>
      <c r="T274"/>
    </row>
    <row r="275" spans="1:20" ht="12.75" customHeight="1" x14ac:dyDescent="0.25">
      <c r="A275" t="s">
        <v>894</v>
      </c>
      <c r="B275" t="s">
        <v>894</v>
      </c>
      <c r="C275" s="32" t="str" cm="1">
        <f t="array" aca="1" ref="C275" ca="1">"'='" &amp; MID(CELL("address",INDIRECT(B275)),$K$2+1,100)</f>
        <v>'='CNPIs G3 Civic Engagement'!$J$11</v>
      </c>
      <c r="D275" s="38">
        <f>M3B6G3bLeadRoleResults</f>
        <v>0</v>
      </c>
      <c r="E275" s="38" t="s">
        <v>493</v>
      </c>
      <c r="F275" s="110" t="s">
        <v>894</v>
      </c>
      <c r="H275" s="13"/>
      <c r="I275" s="13" t="str">
        <f t="shared" si="4"/>
        <v>M3B6FALSE</v>
      </c>
      <c r="T275"/>
    </row>
    <row r="276" spans="1:20" ht="12.75" customHeight="1" x14ac:dyDescent="0.25">
      <c r="A276" s="13" t="s">
        <v>1500</v>
      </c>
      <c r="B276" s="13" t="s">
        <v>1500</v>
      </c>
      <c r="C276" s="32" t="str" cm="1">
        <f t="array" aca="1" ref="C276" ca="1">"'='" &amp; MID(CELL("address",INDIRECT(B276)),$K$2+1,100)</f>
        <v>'='CNPIs G3 Civic Engagement'!$K$11</v>
      </c>
      <c r="D276" s="38" t="str">
        <f>M3B6G3bLeadRoleActualChng</f>
        <v/>
      </c>
      <c r="E276" s="38" t="s">
        <v>493</v>
      </c>
      <c r="F276" s="13" t="s">
        <v>1500</v>
      </c>
      <c r="H276" s="13"/>
      <c r="I276" s="13" t="str">
        <f t="shared" si="4"/>
        <v>M3B6FALSE</v>
      </c>
      <c r="T276"/>
    </row>
    <row r="277" spans="1:20" ht="12.75" customHeight="1" x14ac:dyDescent="0.25">
      <c r="A277" s="13" t="s">
        <v>1501</v>
      </c>
      <c r="B277" s="13" t="s">
        <v>1501</v>
      </c>
      <c r="C277" s="32" t="str" cm="1">
        <f t="array" aca="1" ref="C277" ca="1">"'='" &amp; MID(CELL("address",INDIRECT(B277)),$K$2+1,100)</f>
        <v>'='CNPIs G3 Civic Engagement'!$L$11</v>
      </c>
      <c r="D277" s="38" t="str">
        <f>M3B6G3bLeadRoleAccuracy</f>
        <v/>
      </c>
      <c r="E277" s="38" t="s">
        <v>493</v>
      </c>
      <c r="F277" s="13" t="s">
        <v>1501</v>
      </c>
      <c r="H277" s="13"/>
      <c r="I277" s="13" t="str">
        <f t="shared" si="4"/>
        <v>M3B6FALSE</v>
      </c>
      <c r="T277"/>
    </row>
    <row r="278" spans="1:20" ht="12.75" customHeight="1" x14ac:dyDescent="0.25">
      <c r="A278" t="s">
        <v>895</v>
      </c>
      <c r="B278" t="s">
        <v>895</v>
      </c>
      <c r="C278" s="32" t="str" cm="1">
        <f t="array" aca="1" ref="C278" ca="1">"'='" &amp; MID(CELL("address",INDIRECT(B278)),$K$2+1,100)</f>
        <v>'='CNPIs G3 Civic Engagement'!$C$14</v>
      </c>
      <c r="D278" s="38">
        <f>M3B6G3z1OtherCivicEngG31Name</f>
        <v>0</v>
      </c>
      <c r="E278" s="38" t="s">
        <v>284</v>
      </c>
      <c r="F278" s="110" t="s">
        <v>895</v>
      </c>
      <c r="G278" s="38">
        <v>1000</v>
      </c>
      <c r="H278" s="13"/>
      <c r="I278" s="13" t="str">
        <f t="shared" si="4"/>
        <v>M3B6FALSE</v>
      </c>
      <c r="T278"/>
    </row>
    <row r="279" spans="1:20" ht="12.75" customHeight="1" x14ac:dyDescent="0.25">
      <c r="A279" t="s">
        <v>896</v>
      </c>
      <c r="B279" t="s">
        <v>896</v>
      </c>
      <c r="C279" s="32" t="str" cm="1">
        <f t="array" aca="1" ref="C279" ca="1">"'='" &amp; MID(CELL("address",INDIRECT(B279)),$K$2+1,100)</f>
        <v>'='CNPIs G3 Civic Engagement'!$G$14</v>
      </c>
      <c r="D279" s="38">
        <f>M3B6G3z1OtherCivicEngG31Baseline</f>
        <v>0</v>
      </c>
      <c r="E279" s="38" t="s">
        <v>493</v>
      </c>
      <c r="F279" s="110" t="s">
        <v>896</v>
      </c>
      <c r="H279" s="13"/>
      <c r="I279" s="13" t="str">
        <f t="shared" si="4"/>
        <v>M3B6FALSE</v>
      </c>
      <c r="T279"/>
    </row>
    <row r="280" spans="1:20" ht="12.75" customHeight="1" x14ac:dyDescent="0.25">
      <c r="A280" t="s">
        <v>897</v>
      </c>
      <c r="B280" t="s">
        <v>897</v>
      </c>
      <c r="C280" s="32" t="str" cm="1">
        <f t="array" aca="1" ref="C280" ca="1">"'='" &amp; MID(CELL("address",INDIRECT(B280)),$K$2+1,100)</f>
        <v>'='CNPIs G3 Civic Engagement'!$H$14</v>
      </c>
      <c r="D280" s="38">
        <f>M3B6G3z1OtherCivicEngG31Target</f>
        <v>0</v>
      </c>
      <c r="E280" s="38" t="s">
        <v>493</v>
      </c>
      <c r="F280" s="110" t="s">
        <v>897</v>
      </c>
      <c r="H280" s="13"/>
      <c r="I280" s="13" t="str">
        <f t="shared" si="4"/>
        <v>M3B6FALSE</v>
      </c>
      <c r="T280"/>
    </row>
    <row r="281" spans="1:20" ht="12.75" customHeight="1" x14ac:dyDescent="0.25">
      <c r="A281" s="13" t="s">
        <v>1502</v>
      </c>
      <c r="B281" s="13" t="s">
        <v>1502</v>
      </c>
      <c r="C281" s="32" t="str" cm="1">
        <f t="array" aca="1" ref="C281" ca="1">"'='" &amp; MID(CELL("address",INDIRECT(B281)),$K$2+1,100)</f>
        <v>'='CNPIs G3 Civic Engagement'!$I$14</v>
      </c>
      <c r="D281" s="38" t="str">
        <f>M3B6G3z1OtherCivicEngG31ExpectChng</f>
        <v/>
      </c>
      <c r="E281" s="38" t="s">
        <v>493</v>
      </c>
      <c r="F281" s="13" t="s">
        <v>1502</v>
      </c>
      <c r="H281" s="13"/>
      <c r="I281" s="13" t="str">
        <f t="shared" si="4"/>
        <v>M3B6FALSE</v>
      </c>
      <c r="T281"/>
    </row>
    <row r="282" spans="1:20" ht="12.75" customHeight="1" x14ac:dyDescent="0.25">
      <c r="A282" t="s">
        <v>898</v>
      </c>
      <c r="B282" t="s">
        <v>898</v>
      </c>
      <c r="C282" s="32" t="str" cm="1">
        <f t="array" aca="1" ref="C282" ca="1">"'='" &amp; MID(CELL("address",INDIRECT(B282)),$K$2+1,100)</f>
        <v>'='CNPIs G3 Civic Engagement'!$J$14</v>
      </c>
      <c r="D282" s="38">
        <f>M3B6G3z1OtherCivicEngG31Results</f>
        <v>0</v>
      </c>
      <c r="E282" s="38" t="s">
        <v>493</v>
      </c>
      <c r="F282" s="110" t="s">
        <v>898</v>
      </c>
      <c r="H282" s="13"/>
      <c r="I282" s="13" t="str">
        <f t="shared" si="4"/>
        <v>M3B6FALSE</v>
      </c>
      <c r="T282"/>
    </row>
    <row r="283" spans="1:20" ht="12.75" customHeight="1" x14ac:dyDescent="0.25">
      <c r="A283" s="13" t="s">
        <v>1503</v>
      </c>
      <c r="B283" s="13" t="s">
        <v>1503</v>
      </c>
      <c r="C283" s="32" t="str" cm="1">
        <f t="array" aca="1" ref="C283" ca="1">"'='" &amp; MID(CELL("address",INDIRECT(B283)),$K$2+1,100)</f>
        <v>'='CNPIs G3 Civic Engagement'!$K$14</v>
      </c>
      <c r="D283" s="38" t="str">
        <f>M3B6G3z1OtherCivicEngG31ActualChng</f>
        <v/>
      </c>
      <c r="E283" s="38" t="s">
        <v>493</v>
      </c>
      <c r="F283" s="13" t="s">
        <v>1503</v>
      </c>
      <c r="I283" s="13" t="str">
        <f t="shared" si="4"/>
        <v>M3B6FALSE</v>
      </c>
      <c r="T283"/>
    </row>
    <row r="284" spans="1:20" ht="12.75" customHeight="1" x14ac:dyDescent="0.25">
      <c r="A284" s="13" t="s">
        <v>1504</v>
      </c>
      <c r="B284" s="13" t="s">
        <v>1504</v>
      </c>
      <c r="C284" s="32" t="str" cm="1">
        <f t="array" aca="1" ref="C284" ca="1">"'='" &amp; MID(CELL("address",INDIRECT(B284)),$K$2+1,100)</f>
        <v>'='CNPIs G3 Civic Engagement'!$L$14</v>
      </c>
      <c r="D284" s="38" t="str">
        <f>M3B6G3z1OtherCivicEngG31Accuracy</f>
        <v/>
      </c>
      <c r="E284" s="38" t="s">
        <v>493</v>
      </c>
      <c r="F284" s="13" t="s">
        <v>1504</v>
      </c>
      <c r="I284" s="13" t="str">
        <f t="shared" si="4"/>
        <v>M3B6FALSE</v>
      </c>
      <c r="T284"/>
    </row>
    <row r="285" spans="1:20" ht="12.75" customHeight="1" x14ac:dyDescent="0.25">
      <c r="A285" t="s">
        <v>899</v>
      </c>
      <c r="B285" t="s">
        <v>899</v>
      </c>
      <c r="C285" s="32" t="str" cm="1">
        <f t="array" aca="1" ref="C285" ca="1">"'='" &amp; MID(CELL("address",INDIRECT(B285)),$K$2+1,100)</f>
        <v>'='CNPIs G3 Civic Engagement'!$C$15</v>
      </c>
      <c r="D285" s="38">
        <f>M3B6G3z2OtherCivicEngG32Name</f>
        <v>0</v>
      </c>
      <c r="E285" s="38" t="s">
        <v>284</v>
      </c>
      <c r="F285" s="110" t="s">
        <v>899</v>
      </c>
      <c r="G285" s="38">
        <v>1000</v>
      </c>
      <c r="I285" s="13" t="str">
        <f t="shared" si="4"/>
        <v>M3B6FALSE</v>
      </c>
      <c r="T285"/>
    </row>
    <row r="286" spans="1:20" ht="12.75" customHeight="1" x14ac:dyDescent="0.25">
      <c r="A286" t="s">
        <v>900</v>
      </c>
      <c r="B286" t="s">
        <v>900</v>
      </c>
      <c r="C286" s="32" t="str" cm="1">
        <f t="array" aca="1" ref="C286" ca="1">"'='" &amp; MID(CELL("address",INDIRECT(B286)),$K$2+1,100)</f>
        <v>'='CNPIs G3 Civic Engagement'!$G$15</v>
      </c>
      <c r="D286" s="38">
        <f>M3B6G3z2OtherCivicEngG32Baseline</f>
        <v>0</v>
      </c>
      <c r="E286" s="38" t="s">
        <v>493</v>
      </c>
      <c r="F286" s="110" t="s">
        <v>900</v>
      </c>
      <c r="I286" s="13" t="str">
        <f t="shared" si="4"/>
        <v>M3B6FALSE</v>
      </c>
      <c r="T286"/>
    </row>
    <row r="287" spans="1:20" ht="12.75" customHeight="1" x14ac:dyDescent="0.25">
      <c r="A287" t="s">
        <v>901</v>
      </c>
      <c r="B287" t="s">
        <v>901</v>
      </c>
      <c r="C287" s="32" t="str" cm="1">
        <f t="array" aca="1" ref="C287" ca="1">"'='" &amp; MID(CELL("address",INDIRECT(B287)),$K$2+1,100)</f>
        <v>'='CNPIs G3 Civic Engagement'!$H$15</v>
      </c>
      <c r="D287" s="38">
        <f>M3B6G3z2OtherCivicEngG32Target</f>
        <v>0</v>
      </c>
      <c r="E287" s="38" t="s">
        <v>493</v>
      </c>
      <c r="F287" s="110" t="s">
        <v>901</v>
      </c>
      <c r="I287" s="13" t="str">
        <f t="shared" si="4"/>
        <v>M3B6FALSE</v>
      </c>
      <c r="T287"/>
    </row>
    <row r="288" spans="1:20" ht="12.75" customHeight="1" x14ac:dyDescent="0.25">
      <c r="A288" s="13" t="s">
        <v>1505</v>
      </c>
      <c r="B288" s="13" t="s">
        <v>1505</v>
      </c>
      <c r="C288" s="32" t="str" cm="1">
        <f t="array" aca="1" ref="C288" ca="1">"'='" &amp; MID(CELL("address",INDIRECT(B288)),$K$2+1,100)</f>
        <v>'='CNPIs G3 Civic Engagement'!$I$15</v>
      </c>
      <c r="D288" s="38" t="str">
        <f>M3B6G3z2OtherCivicEngG32ExpectChng</f>
        <v/>
      </c>
      <c r="E288" s="38" t="s">
        <v>493</v>
      </c>
      <c r="F288" s="13" t="s">
        <v>1505</v>
      </c>
      <c r="I288" s="13" t="str">
        <f t="shared" si="4"/>
        <v>M3B6FALSE</v>
      </c>
      <c r="T288"/>
    </row>
    <row r="289" spans="1:20" ht="12.75" customHeight="1" x14ac:dyDescent="0.25">
      <c r="A289" t="s">
        <v>902</v>
      </c>
      <c r="B289" t="s">
        <v>902</v>
      </c>
      <c r="C289" s="32" t="str" cm="1">
        <f t="array" aca="1" ref="C289" ca="1">"'='" &amp; MID(CELL("address",INDIRECT(B289)),$K$2+1,100)</f>
        <v>'='CNPIs G3 Civic Engagement'!$J$15</v>
      </c>
      <c r="D289" s="38">
        <f>M3B6G3z2OtherCivicEngG32Results</f>
        <v>0</v>
      </c>
      <c r="E289" s="38" t="s">
        <v>493</v>
      </c>
      <c r="F289" s="110" t="s">
        <v>902</v>
      </c>
      <c r="I289" s="13" t="str">
        <f t="shared" si="4"/>
        <v>M3B6FALSE</v>
      </c>
      <c r="T289"/>
    </row>
    <row r="290" spans="1:20" ht="12.75" customHeight="1" x14ac:dyDescent="0.25">
      <c r="A290" s="13" t="s">
        <v>1506</v>
      </c>
      <c r="B290" s="13" t="s">
        <v>1506</v>
      </c>
      <c r="C290" s="32" t="str" cm="1">
        <f t="array" aca="1" ref="C290" ca="1">"'='" &amp; MID(CELL("address",INDIRECT(B290)),$K$2+1,100)</f>
        <v>'='CNPIs G3 Civic Engagement'!$K$15</v>
      </c>
      <c r="D290" s="38" t="str">
        <f>M3B6G3z2OtherCivicEngG32ActualChng</f>
        <v/>
      </c>
      <c r="E290" s="38" t="s">
        <v>493</v>
      </c>
      <c r="F290" s="13" t="s">
        <v>1506</v>
      </c>
      <c r="I290" s="13" t="str">
        <f t="shared" si="4"/>
        <v>M3B6FALSE</v>
      </c>
      <c r="T290"/>
    </row>
    <row r="291" spans="1:20" ht="12.75" customHeight="1" x14ac:dyDescent="0.25">
      <c r="A291" s="13" t="s">
        <v>1507</v>
      </c>
      <c r="B291" s="13" t="s">
        <v>1507</v>
      </c>
      <c r="C291" s="32" t="str" cm="1">
        <f t="array" aca="1" ref="C291" ca="1">"'='" &amp; MID(CELL("address",INDIRECT(B291)),$K$2+1,100)</f>
        <v>'='CNPIs G3 Civic Engagement'!$L$15</v>
      </c>
      <c r="D291" s="38" t="str">
        <f>M3B6G3z2OtherCivicEngG32Accuracy</f>
        <v/>
      </c>
      <c r="E291" s="38" t="s">
        <v>493</v>
      </c>
      <c r="F291" s="13" t="s">
        <v>1507</v>
      </c>
      <c r="I291" s="13" t="str">
        <f t="shared" si="4"/>
        <v>M3B6FALSE</v>
      </c>
      <c r="T291"/>
    </row>
    <row r="292" spans="1:20" ht="12.75" customHeight="1" x14ac:dyDescent="0.25">
      <c r="A292" t="s">
        <v>903</v>
      </c>
      <c r="B292" t="s">
        <v>903</v>
      </c>
      <c r="C292" s="32" t="str" cm="1">
        <f t="array" aca="1" ref="C292" ca="1">"'='" &amp; MID(CELL("address",INDIRECT(B292)),$K$2+1,100)</f>
        <v>'='CNPIs G3 Civic Engagement'!$C$16</v>
      </c>
      <c r="D292" s="38">
        <f>M3B6G3z3OtherCivicEngG33Name</f>
        <v>0</v>
      </c>
      <c r="E292" s="38" t="s">
        <v>284</v>
      </c>
      <c r="F292" s="110" t="s">
        <v>903</v>
      </c>
      <c r="G292" s="38">
        <v>1000</v>
      </c>
      <c r="I292" s="13" t="str">
        <f t="shared" si="4"/>
        <v>M3B6FALSE</v>
      </c>
      <c r="T292"/>
    </row>
    <row r="293" spans="1:20" ht="12.75" customHeight="1" x14ac:dyDescent="0.25">
      <c r="A293" t="s">
        <v>904</v>
      </c>
      <c r="B293" t="s">
        <v>904</v>
      </c>
      <c r="C293" s="32" t="str" cm="1">
        <f t="array" aca="1" ref="C293" ca="1">"'='" &amp; MID(CELL("address",INDIRECT(B293)),$K$2+1,100)</f>
        <v>'='CNPIs G3 Civic Engagement'!$G$16</v>
      </c>
      <c r="D293" s="38">
        <f>M3B6G3z3OtherCivicEngG33Baseline</f>
        <v>0</v>
      </c>
      <c r="E293" s="38" t="s">
        <v>493</v>
      </c>
      <c r="F293" s="110" t="s">
        <v>904</v>
      </c>
      <c r="I293" s="13" t="str">
        <f t="shared" si="4"/>
        <v>M3B6FALSE</v>
      </c>
      <c r="T293"/>
    </row>
    <row r="294" spans="1:20" ht="12.75" customHeight="1" x14ac:dyDescent="0.25">
      <c r="A294" t="s">
        <v>905</v>
      </c>
      <c r="B294" t="s">
        <v>905</v>
      </c>
      <c r="C294" s="32" t="str" cm="1">
        <f t="array" aca="1" ref="C294" ca="1">"'='" &amp; MID(CELL("address",INDIRECT(B294)),$K$2+1,100)</f>
        <v>'='CNPIs G3 Civic Engagement'!$H$16</v>
      </c>
      <c r="D294" s="38">
        <f>M3B6G3z3OtherCivicEngG33Target</f>
        <v>0</v>
      </c>
      <c r="E294" s="38" t="s">
        <v>493</v>
      </c>
      <c r="F294" s="110" t="s">
        <v>905</v>
      </c>
      <c r="I294" s="13" t="str">
        <f t="shared" si="4"/>
        <v>M3B6FALSE</v>
      </c>
      <c r="T294"/>
    </row>
    <row r="295" spans="1:20" ht="12.75" customHeight="1" x14ac:dyDescent="0.25">
      <c r="A295" s="13" t="s">
        <v>1508</v>
      </c>
      <c r="B295" s="13" t="s">
        <v>1508</v>
      </c>
      <c r="C295" s="32" t="str" cm="1">
        <f t="array" aca="1" ref="C295" ca="1">"'='" &amp; MID(CELL("address",INDIRECT(B295)),$K$2+1,100)</f>
        <v>'='CNPIs G3 Civic Engagement'!$I$16</v>
      </c>
      <c r="D295" s="38" t="str">
        <f>M3B6G3z3OtherCivicEngG33ExpectChng</f>
        <v/>
      </c>
      <c r="E295" s="38" t="s">
        <v>493</v>
      </c>
      <c r="F295" s="13" t="s">
        <v>1508</v>
      </c>
      <c r="I295" s="13" t="str">
        <f t="shared" si="4"/>
        <v>M3B6FALSE</v>
      </c>
      <c r="T295"/>
    </row>
    <row r="296" spans="1:20" ht="12.75" customHeight="1" x14ac:dyDescent="0.25">
      <c r="A296" t="s">
        <v>906</v>
      </c>
      <c r="B296" t="s">
        <v>906</v>
      </c>
      <c r="C296" s="32" t="str" cm="1">
        <f t="array" aca="1" ref="C296" ca="1">"'='" &amp; MID(CELL("address",INDIRECT(B296)),$K$2+1,100)</f>
        <v>'='CNPIs G3 Civic Engagement'!$J$16</v>
      </c>
      <c r="D296" s="38">
        <f>M3B6G3z3OtherCivicEngG33Results</f>
        <v>0</v>
      </c>
      <c r="E296" s="38" t="s">
        <v>493</v>
      </c>
      <c r="F296" s="110" t="s">
        <v>906</v>
      </c>
      <c r="I296" s="13" t="str">
        <f t="shared" si="4"/>
        <v>M3B6FALSE</v>
      </c>
      <c r="T296"/>
    </row>
    <row r="297" spans="1:20" ht="12.75" customHeight="1" x14ac:dyDescent="0.25">
      <c r="A297" s="13" t="s">
        <v>1509</v>
      </c>
      <c r="B297" s="13" t="s">
        <v>1509</v>
      </c>
      <c r="C297" s="32" t="str" cm="1">
        <f t="array" aca="1" ref="C297" ca="1">"'='" &amp; MID(CELL("address",INDIRECT(B297)),$K$2+1,100)</f>
        <v>'='CNPIs G3 Civic Engagement'!$K$16</v>
      </c>
      <c r="D297" s="38" t="str">
        <f>M3B6G3z3OtherCivicEngG33ActualChng</f>
        <v/>
      </c>
      <c r="E297" s="38" t="s">
        <v>493</v>
      </c>
      <c r="F297" s="13" t="s">
        <v>1509</v>
      </c>
      <c r="I297" s="13" t="str">
        <f t="shared" si="4"/>
        <v>M3B6FALSE</v>
      </c>
      <c r="T297"/>
    </row>
    <row r="298" spans="1:20" ht="12.75" customHeight="1" x14ac:dyDescent="0.25">
      <c r="A298" s="13" t="s">
        <v>1510</v>
      </c>
      <c r="B298" s="13" t="s">
        <v>1510</v>
      </c>
      <c r="C298" s="32" t="str" cm="1">
        <f t="array" aca="1" ref="C298" ca="1">"'='" &amp; MID(CELL("address",INDIRECT(B298)),$K$2+1,100)</f>
        <v>'='CNPIs G3 Civic Engagement'!$L$16</v>
      </c>
      <c r="D298" s="38" t="str">
        <f>M3B6G3z3OtherCivicEngG33Accuracy</f>
        <v/>
      </c>
      <c r="E298" s="38" t="s">
        <v>493</v>
      </c>
      <c r="F298" s="13" t="s">
        <v>1510</v>
      </c>
      <c r="I298" s="13" t="str">
        <f t="shared" ref="I298:I361" si="5">LEFT(A298,4) &amp; AND(D298&lt;&gt;"",D298&lt;&gt;0)</f>
        <v>M3B6FALSE</v>
      </c>
      <c r="T298"/>
    </row>
    <row r="299" spans="1:20" ht="12.75" customHeight="1" x14ac:dyDescent="0.25">
      <c r="A299" t="s">
        <v>1579</v>
      </c>
      <c r="B299" t="s">
        <v>1579</v>
      </c>
      <c r="C299" s="32" t="str" cm="1">
        <f t="array" aca="1" ref="C299" ca="1">"'='" &amp; MID(CELL("address",INDIRECT(B299)),$K$2+1,100)</f>
        <v>'='CNPIs G3 Civic Engagement'!$C$19</v>
      </c>
      <c r="D299" s="38">
        <f>M3B6G3z4OtherCivicEngG34Name</f>
        <v>0</v>
      </c>
      <c r="E299" s="38" t="s">
        <v>284</v>
      </c>
      <c r="F299" s="110" t="s">
        <v>1579</v>
      </c>
      <c r="G299" s="38">
        <v>1000</v>
      </c>
      <c r="I299" s="13" t="str">
        <f t="shared" si="5"/>
        <v>M3B6FALSE</v>
      </c>
      <c r="T299"/>
    </row>
    <row r="300" spans="1:20" ht="12.75" customHeight="1" x14ac:dyDescent="0.25">
      <c r="A300" t="s">
        <v>1580</v>
      </c>
      <c r="B300" t="s">
        <v>1580</v>
      </c>
      <c r="C300" s="32" t="str" cm="1">
        <f t="array" aca="1" ref="C300" ca="1">"'='" &amp; MID(CELL("address",INDIRECT(B300)),$K$2+1,100)</f>
        <v>'='CNPIs G3 Civic Engagement'!$J$19</v>
      </c>
      <c r="D300" s="38">
        <f>M3B6G3z4OtherCivicEngG34Target</f>
        <v>0</v>
      </c>
      <c r="E300" s="38" t="s">
        <v>493</v>
      </c>
      <c r="F300" s="110" t="s">
        <v>1580</v>
      </c>
      <c r="I300" s="13" t="str">
        <f t="shared" si="5"/>
        <v>M3B6FALSE</v>
      </c>
      <c r="T300"/>
    </row>
    <row r="301" spans="1:20" ht="12.75" customHeight="1" x14ac:dyDescent="0.25">
      <c r="A301" t="s">
        <v>1581</v>
      </c>
      <c r="B301" t="s">
        <v>1581</v>
      </c>
      <c r="C301" s="32" t="str" cm="1">
        <f t="array" aca="1" ref="C301" ca="1">"'='" &amp; MID(CELL("address",INDIRECT(B301)),$K$2+1,100)</f>
        <v>'='CNPIs G3 Civic Engagement'!$K$19</v>
      </c>
      <c r="D301" s="38">
        <f>M3B6G3z4OtherCivicEngG34Results</f>
        <v>0</v>
      </c>
      <c r="E301" s="38" t="s">
        <v>493</v>
      </c>
      <c r="F301" s="110" t="s">
        <v>1581</v>
      </c>
      <c r="I301" s="13" t="str">
        <f t="shared" si="5"/>
        <v>M3B6FALSE</v>
      </c>
      <c r="T301"/>
    </row>
    <row r="302" spans="1:20" ht="12.75" customHeight="1" x14ac:dyDescent="0.25">
      <c r="A302" s="13" t="s">
        <v>1582</v>
      </c>
      <c r="B302" s="13" t="s">
        <v>1582</v>
      </c>
      <c r="C302" s="32" t="str" cm="1">
        <f t="array" aca="1" ref="C302" ca="1">"'='" &amp; MID(CELL("address",INDIRECT(B302)),$K$2+1,100)</f>
        <v>'='CNPIs G3 Civic Engagement'!$L$19</v>
      </c>
      <c r="D302" s="38" t="str">
        <f>M3B6G3z4OtherCivicEngG34Accuracy</f>
        <v/>
      </c>
      <c r="E302" s="38" t="s">
        <v>493</v>
      </c>
      <c r="F302" s="13" t="s">
        <v>1582</v>
      </c>
      <c r="I302" s="13" t="str">
        <f t="shared" si="5"/>
        <v>M3B6FALSE</v>
      </c>
      <c r="T302"/>
    </row>
    <row r="303" spans="1:20" ht="12.75" customHeight="1" x14ac:dyDescent="0.25">
      <c r="A303" t="s">
        <v>1583</v>
      </c>
      <c r="B303" t="s">
        <v>1583</v>
      </c>
      <c r="C303" s="32" t="str" cm="1">
        <f t="array" aca="1" ref="C303" ca="1">"'='" &amp; MID(CELL("address",INDIRECT(B303)),$K$2+1,100)</f>
        <v>'='CNPIs G3 Civic Engagement'!$C$20</v>
      </c>
      <c r="D303" s="38">
        <f>M3B6G3z5OtherCivicEngG35Name</f>
        <v>0</v>
      </c>
      <c r="E303" s="38" t="s">
        <v>284</v>
      </c>
      <c r="F303" s="110" t="s">
        <v>1583</v>
      </c>
      <c r="G303" s="38">
        <v>1000</v>
      </c>
      <c r="I303" s="13" t="str">
        <f t="shared" si="5"/>
        <v>M3B6FALSE</v>
      </c>
      <c r="T303"/>
    </row>
    <row r="304" spans="1:20" ht="12.75" customHeight="1" x14ac:dyDescent="0.25">
      <c r="A304" t="s">
        <v>1584</v>
      </c>
      <c r="B304" t="s">
        <v>1584</v>
      </c>
      <c r="C304" s="32" t="str" cm="1">
        <f t="array" aca="1" ref="C304" ca="1">"'='" &amp; MID(CELL("address",INDIRECT(B304)),$K$2+1,100)</f>
        <v>'='CNPIs G3 Civic Engagement'!$J$20</v>
      </c>
      <c r="D304" s="38">
        <f>M3B6G3z5OtherCivicEngG35Target</f>
        <v>0</v>
      </c>
      <c r="E304" s="38" t="s">
        <v>493</v>
      </c>
      <c r="F304" s="110" t="s">
        <v>1584</v>
      </c>
      <c r="I304" s="13" t="str">
        <f t="shared" si="5"/>
        <v>M3B6FALSE</v>
      </c>
      <c r="T304"/>
    </row>
    <row r="305" spans="1:20" ht="12.75" customHeight="1" x14ac:dyDescent="0.25">
      <c r="A305" t="s">
        <v>1585</v>
      </c>
      <c r="B305" t="s">
        <v>1585</v>
      </c>
      <c r="C305" s="32" t="str" cm="1">
        <f t="array" aca="1" ref="C305" ca="1">"'='" &amp; MID(CELL("address",INDIRECT(B305)),$K$2+1,100)</f>
        <v>'='CNPIs G3 Civic Engagement'!$K$20</v>
      </c>
      <c r="D305" s="38">
        <f>M3B6G3z5OtherCivicEngG35Results</f>
        <v>0</v>
      </c>
      <c r="E305" s="38" t="s">
        <v>493</v>
      </c>
      <c r="F305" s="110" t="s">
        <v>1585</v>
      </c>
      <c r="I305" s="13" t="str">
        <f t="shared" si="5"/>
        <v>M3B6FALSE</v>
      </c>
      <c r="T305"/>
    </row>
    <row r="306" spans="1:20" ht="12.75" customHeight="1" x14ac:dyDescent="0.25">
      <c r="A306" s="13" t="s">
        <v>1586</v>
      </c>
      <c r="B306" s="13" t="s">
        <v>1586</v>
      </c>
      <c r="C306" s="32" t="str" cm="1">
        <f t="array" aca="1" ref="C306" ca="1">"'='" &amp; MID(CELL("address",INDIRECT(B306)),$K$2+1,100)</f>
        <v>'='CNPIs G3 Civic Engagement'!$L$20</v>
      </c>
      <c r="D306" s="38" t="str">
        <f>M3B6G3z5OtherCivicEngG35Accuracy</f>
        <v/>
      </c>
      <c r="E306" s="38" t="s">
        <v>493</v>
      </c>
      <c r="F306" s="13" t="s">
        <v>1586</v>
      </c>
      <c r="I306" s="13" t="str">
        <f t="shared" si="5"/>
        <v>M3B6FALSE</v>
      </c>
      <c r="T306"/>
    </row>
    <row r="307" spans="1:20" ht="12.75" customHeight="1" x14ac:dyDescent="0.25">
      <c r="A307" t="s">
        <v>1587</v>
      </c>
      <c r="B307" t="s">
        <v>1587</v>
      </c>
      <c r="C307" s="32" t="str" cm="1">
        <f t="array" aca="1" ref="C307" ca="1">"'='" &amp; MID(CELL("address",INDIRECT(B307)),$K$2+1,100)</f>
        <v>'='CNPIs G3 Civic Engagement'!$C$21</v>
      </c>
      <c r="D307" s="38">
        <f>M3B6G3z6OtherCivicEngG36Name</f>
        <v>0</v>
      </c>
      <c r="E307" s="38" t="s">
        <v>284</v>
      </c>
      <c r="F307" s="110" t="s">
        <v>1587</v>
      </c>
      <c r="G307" s="38">
        <v>1000</v>
      </c>
      <c r="I307" s="13" t="str">
        <f t="shared" si="5"/>
        <v>M3B6FALSE</v>
      </c>
      <c r="T307"/>
    </row>
    <row r="308" spans="1:20" ht="12.75" customHeight="1" x14ac:dyDescent="0.25">
      <c r="A308" t="s">
        <v>1588</v>
      </c>
      <c r="B308" t="s">
        <v>1588</v>
      </c>
      <c r="C308" s="32" t="str" cm="1">
        <f t="array" aca="1" ref="C308" ca="1">"'='" &amp; MID(CELL("address",INDIRECT(B308)),$K$2+1,100)</f>
        <v>'='CNPIs G3 Civic Engagement'!$J$21</v>
      </c>
      <c r="D308" s="38">
        <f>M3B6G3z6OtherCivicEngG36Target</f>
        <v>0</v>
      </c>
      <c r="E308" s="38" t="s">
        <v>493</v>
      </c>
      <c r="F308" s="110" t="s">
        <v>1588</v>
      </c>
      <c r="I308" s="13" t="str">
        <f t="shared" si="5"/>
        <v>M3B6FALSE</v>
      </c>
      <c r="T308"/>
    </row>
    <row r="309" spans="1:20" ht="12.75" customHeight="1" x14ac:dyDescent="0.25">
      <c r="A309" t="s">
        <v>1589</v>
      </c>
      <c r="B309" t="s">
        <v>1589</v>
      </c>
      <c r="C309" s="32" t="str" cm="1">
        <f t="array" aca="1" ref="C309" ca="1">"'='" &amp; MID(CELL("address",INDIRECT(B309)),$K$2+1,100)</f>
        <v>'='CNPIs G3 Civic Engagement'!$K$21</v>
      </c>
      <c r="D309" s="38">
        <f>M3B6G3z6OtherCivicEngG36Results</f>
        <v>0</v>
      </c>
      <c r="E309" s="38" t="s">
        <v>493</v>
      </c>
      <c r="F309" s="110" t="s">
        <v>1589</v>
      </c>
      <c r="I309" s="13" t="str">
        <f t="shared" si="5"/>
        <v>M3B6FALSE</v>
      </c>
      <c r="T309"/>
    </row>
    <row r="310" spans="1:20" ht="12.75" customHeight="1" x14ac:dyDescent="0.25">
      <c r="A310" s="13" t="s">
        <v>1590</v>
      </c>
      <c r="B310" s="13" t="s">
        <v>1590</v>
      </c>
      <c r="C310" s="32" t="str" cm="1">
        <f t="array" aca="1" ref="C310" ca="1">"'='" &amp; MID(CELL("address",INDIRECT(B310)),$K$2+1,100)</f>
        <v>'='CNPIs G3 Civic Engagement'!$L$21</v>
      </c>
      <c r="D310" s="38" t="str">
        <f>M3B6G3z6OtherCivicEngG36Accuracy</f>
        <v/>
      </c>
      <c r="E310" s="38" t="s">
        <v>493</v>
      </c>
      <c r="F310" s="13" t="s">
        <v>1590</v>
      </c>
      <c r="I310" s="13" t="str">
        <f t="shared" si="5"/>
        <v>M3B6FALSE</v>
      </c>
      <c r="T310"/>
    </row>
    <row r="311" spans="1:20" ht="12.75" customHeight="1" x14ac:dyDescent="0.25">
      <c r="A311" t="s">
        <v>913</v>
      </c>
      <c r="B311" t="s">
        <v>913</v>
      </c>
      <c r="C311" s="32" t="str" cm="1">
        <f t="array" aca="1" ref="C311" ca="1">"'='" &amp; MID(CELL("address",INDIRECT(B311)),$K$2+1,100)</f>
        <v>'='CNPIs G3 Civic Engagement'!$B$23</v>
      </c>
      <c r="D311" s="38">
        <f>M3B6G3Comments</f>
        <v>0</v>
      </c>
      <c r="E311" s="38" t="s">
        <v>284</v>
      </c>
      <c r="F311" s="110" t="s">
        <v>913</v>
      </c>
      <c r="G311" s="38">
        <v>5000</v>
      </c>
      <c r="I311" s="13" t="str">
        <f t="shared" si="5"/>
        <v>M3B6FALSE</v>
      </c>
      <c r="T311"/>
    </row>
    <row r="312" spans="1:20" ht="12.75" customHeight="1" x14ac:dyDescent="0.25">
      <c r="A312" t="s">
        <v>786</v>
      </c>
      <c r="B312" t="s">
        <v>786</v>
      </c>
      <c r="C312" s="32" t="str" cm="1">
        <f t="array" aca="1" ref="C312" ca="1">"'='" &amp; MID(CELL("address",INDIRECT(B312)),$K$2+1,100)</f>
        <v>'='CNPIs Health and Social'!$J$9</v>
      </c>
      <c r="D312" s="38">
        <f>M3B5aPhysHealthTarget</f>
        <v>0</v>
      </c>
      <c r="E312" s="38" t="s">
        <v>493</v>
      </c>
      <c r="F312" s="110" t="s">
        <v>786</v>
      </c>
      <c r="I312" s="13" t="str">
        <f t="shared" si="5"/>
        <v>M3B5FALSE</v>
      </c>
      <c r="T312"/>
    </row>
    <row r="313" spans="1:20" ht="12.75" customHeight="1" x14ac:dyDescent="0.25">
      <c r="A313" t="s">
        <v>787</v>
      </c>
      <c r="B313" t="s">
        <v>787</v>
      </c>
      <c r="C313" s="32" t="str" cm="1">
        <f t="array" aca="1" ref="C313" ca="1">"'='" &amp; MID(CELL("address",INDIRECT(B313)),$K$2+1,100)</f>
        <v>'='CNPIs Health and Social'!$K$9</v>
      </c>
      <c r="D313" s="38">
        <f>M3B5aPhysHealthResults</f>
        <v>0</v>
      </c>
      <c r="E313" s="38" t="s">
        <v>493</v>
      </c>
      <c r="F313" s="110" t="s">
        <v>787</v>
      </c>
      <c r="I313" s="13" t="str">
        <f t="shared" si="5"/>
        <v>M3B5FALSE</v>
      </c>
      <c r="T313"/>
    </row>
    <row r="314" spans="1:20" ht="12.75" customHeight="1" x14ac:dyDescent="0.25">
      <c r="A314" s="13" t="s">
        <v>1410</v>
      </c>
      <c r="B314" s="13" t="s">
        <v>1410</v>
      </c>
      <c r="C314" s="32" t="str" cm="1">
        <f t="array" aca="1" ref="C314" ca="1">"'='" &amp; MID(CELL("address",INDIRECT(B314)),$K$2+1,100)</f>
        <v>'='CNPIs Health and Social'!$L$9</v>
      </c>
      <c r="D314" s="38" t="str">
        <f>M3B5aPhysHealthAccuracy</f>
        <v/>
      </c>
      <c r="E314" s="38" t="s">
        <v>493</v>
      </c>
      <c r="F314" s="13" t="s">
        <v>1410</v>
      </c>
      <c r="I314" s="13" t="str">
        <f t="shared" si="5"/>
        <v>M3B5FALSE</v>
      </c>
      <c r="T314"/>
    </row>
    <row r="315" spans="1:20" ht="12.75" customHeight="1" x14ac:dyDescent="0.25">
      <c r="A315" t="s">
        <v>788</v>
      </c>
      <c r="B315" t="s">
        <v>788</v>
      </c>
      <c r="C315" s="32" t="str" cm="1">
        <f t="array" aca="1" ref="C315" ca="1">"'='" &amp; MID(CELL("address",INDIRECT(B315)),$K$2+1,100)</f>
        <v>'='CNPIs Health and Social'!$J$10</v>
      </c>
      <c r="D315" s="38">
        <f>M3B5bMentHealthTarget</f>
        <v>0</v>
      </c>
      <c r="E315" s="38" t="s">
        <v>493</v>
      </c>
      <c r="F315" s="110" t="s">
        <v>788</v>
      </c>
      <c r="I315" s="13" t="str">
        <f t="shared" si="5"/>
        <v>M3B5FALSE</v>
      </c>
      <c r="T315"/>
    </row>
    <row r="316" spans="1:20" ht="12.75" customHeight="1" x14ac:dyDescent="0.25">
      <c r="A316" t="s">
        <v>789</v>
      </c>
      <c r="B316" t="s">
        <v>789</v>
      </c>
      <c r="C316" s="32" t="str" cm="1">
        <f t="array" aca="1" ref="C316" ca="1">"'='" &amp; MID(CELL("address",INDIRECT(B316)),$K$2+1,100)</f>
        <v>'='CNPIs Health and Social'!$K$10</v>
      </c>
      <c r="D316" s="38">
        <f>M3B5bMentHealthResults</f>
        <v>0</v>
      </c>
      <c r="E316" s="38" t="s">
        <v>493</v>
      </c>
      <c r="F316" s="110" t="s">
        <v>789</v>
      </c>
      <c r="I316" s="13" t="str">
        <f t="shared" si="5"/>
        <v>M3B5FALSE</v>
      </c>
      <c r="T316"/>
    </row>
    <row r="317" spans="1:20" ht="12.75" customHeight="1" x14ac:dyDescent="0.25">
      <c r="A317" s="13" t="s">
        <v>1411</v>
      </c>
      <c r="B317" s="13" t="s">
        <v>1411</v>
      </c>
      <c r="C317" s="32" t="str" cm="1">
        <f t="array" aca="1" ref="C317" ca="1">"'='" &amp; MID(CELL("address",INDIRECT(B317)),$K$2+1,100)</f>
        <v>'='CNPIs Health and Social'!$L$10</v>
      </c>
      <c r="D317" s="38" t="str">
        <f>M3B5bMentHealthAccuracy</f>
        <v/>
      </c>
      <c r="E317" s="38" t="s">
        <v>493</v>
      </c>
      <c r="F317" s="13" t="s">
        <v>1411</v>
      </c>
      <c r="I317" s="13" t="str">
        <f t="shared" si="5"/>
        <v>M3B5FALSE</v>
      </c>
      <c r="T317"/>
    </row>
    <row r="318" spans="1:20" ht="12.75" customHeight="1" x14ac:dyDescent="0.25">
      <c r="A318" t="s">
        <v>790</v>
      </c>
      <c r="B318" t="s">
        <v>790</v>
      </c>
      <c r="C318" s="32" t="str" cm="1">
        <f t="array" aca="1" ref="C318" ca="1">"'='" &amp; MID(CELL("address",INDIRECT(B318)),$K$2+1,100)</f>
        <v>'='CNPIs Health and Social'!$J$11</v>
      </c>
      <c r="D318" s="38">
        <f>M3B5cPubSafeTarget</f>
        <v>0</v>
      </c>
      <c r="E318" s="38" t="s">
        <v>493</v>
      </c>
      <c r="F318" s="110" t="s">
        <v>790</v>
      </c>
      <c r="I318" s="13" t="str">
        <f t="shared" si="5"/>
        <v>M3B5FALSE</v>
      </c>
      <c r="T318"/>
    </row>
    <row r="319" spans="1:20" ht="12.75" customHeight="1" x14ac:dyDescent="0.25">
      <c r="A319" t="s">
        <v>791</v>
      </c>
      <c r="B319" t="s">
        <v>791</v>
      </c>
      <c r="C319" s="32" t="str" cm="1">
        <f t="array" aca="1" ref="C319" ca="1">"'='" &amp; MID(CELL("address",INDIRECT(B319)),$K$2+1,100)</f>
        <v>'='CNPIs Health and Social'!$K$11</v>
      </c>
      <c r="D319" s="38">
        <f>M3B5cPubSafeResults</f>
        <v>0</v>
      </c>
      <c r="E319" s="38" t="s">
        <v>493</v>
      </c>
      <c r="F319" s="110" t="s">
        <v>791</v>
      </c>
      <c r="I319" s="13" t="str">
        <f t="shared" si="5"/>
        <v>M3B5FALSE</v>
      </c>
      <c r="T319"/>
    </row>
    <row r="320" spans="1:20" ht="12.75" customHeight="1" x14ac:dyDescent="0.25">
      <c r="A320" s="13" t="s">
        <v>1412</v>
      </c>
      <c r="B320" s="13" t="s">
        <v>1412</v>
      </c>
      <c r="C320" s="32" t="str" cm="1">
        <f t="array" aca="1" ref="C320" ca="1">"'='" &amp; MID(CELL("address",INDIRECT(B320)),$K$2+1,100)</f>
        <v>'='CNPIs Health and Social'!$L$11</v>
      </c>
      <c r="D320" s="38" t="str">
        <f>M3B5cPubSafeAccuracy</f>
        <v/>
      </c>
      <c r="E320" s="38" t="s">
        <v>493</v>
      </c>
      <c r="F320" s="13" t="s">
        <v>1412</v>
      </c>
      <c r="I320" s="13" t="str">
        <f t="shared" si="5"/>
        <v>M3B5FALSE</v>
      </c>
      <c r="T320"/>
    </row>
    <row r="321" spans="1:20" ht="12.75" customHeight="1" x14ac:dyDescent="0.25">
      <c r="A321" t="s">
        <v>792</v>
      </c>
      <c r="B321" t="s">
        <v>792</v>
      </c>
      <c r="C321" s="32" t="str" cm="1">
        <f t="array" aca="1" ref="C321" ca="1">"'='" &amp; MID(CELL("address",INDIRECT(B321)),$K$2+1,100)</f>
        <v>'='CNPIs Health and Social'!$J$12</v>
      </c>
      <c r="D321" s="38">
        <f>M3B5dFoodResourceTarget</f>
        <v>0</v>
      </c>
      <c r="E321" s="38" t="s">
        <v>493</v>
      </c>
      <c r="F321" s="110" t="s">
        <v>792</v>
      </c>
      <c r="I321" s="13" t="str">
        <f t="shared" si="5"/>
        <v>M3B5FALSE</v>
      </c>
      <c r="T321"/>
    </row>
    <row r="322" spans="1:20" ht="12.75" customHeight="1" x14ac:dyDescent="0.25">
      <c r="A322" t="s">
        <v>793</v>
      </c>
      <c r="B322" t="s">
        <v>793</v>
      </c>
      <c r="C322" s="32" t="str" cm="1">
        <f t="array" aca="1" ref="C322" ca="1">"'='" &amp; MID(CELL("address",INDIRECT(B322)),$K$2+1,100)</f>
        <v>'='CNPIs Health and Social'!$K$12</v>
      </c>
      <c r="D322" s="38">
        <f>M3B5dFoodResourceResults</f>
        <v>0</v>
      </c>
      <c r="E322" s="38" t="s">
        <v>493</v>
      </c>
      <c r="F322" s="110" t="s">
        <v>793</v>
      </c>
      <c r="I322" s="13" t="str">
        <f t="shared" si="5"/>
        <v>M3B5FALSE</v>
      </c>
      <c r="T322"/>
    </row>
    <row r="323" spans="1:20" ht="12.75" customHeight="1" x14ac:dyDescent="0.25">
      <c r="A323" s="13" t="s">
        <v>1413</v>
      </c>
      <c r="B323" s="13" t="s">
        <v>1413</v>
      </c>
      <c r="C323" s="32" t="str" cm="1">
        <f t="array" aca="1" ref="C323" ca="1">"'='" &amp; MID(CELL("address",INDIRECT(B323)),$K$2+1,100)</f>
        <v>'='CNPIs Health and Social'!$L$12</v>
      </c>
      <c r="D323" s="38" t="str">
        <f>M3B5dFoodResourceAccuracy</f>
        <v/>
      </c>
      <c r="E323" s="38" t="s">
        <v>493</v>
      </c>
      <c r="F323" s="13" t="s">
        <v>1413</v>
      </c>
      <c r="I323" s="13" t="str">
        <f t="shared" si="5"/>
        <v>M3B5FALSE</v>
      </c>
      <c r="T323"/>
    </row>
    <row r="324" spans="1:20" ht="12.75" customHeight="1" x14ac:dyDescent="0.25">
      <c r="A324" t="s">
        <v>794</v>
      </c>
      <c r="B324" t="s">
        <v>794</v>
      </c>
      <c r="C324" s="32" t="str" cm="1">
        <f t="array" aca="1" ref="C324" ca="1">"'='" &amp; MID(CELL("address",INDIRECT(B324)),$K$2+1,100)</f>
        <v>'='CNPIs Health and Social'!$J$13</v>
      </c>
      <c r="D324" s="38">
        <f>M3B5eCommRelTarget</f>
        <v>0</v>
      </c>
      <c r="E324" s="38" t="s">
        <v>493</v>
      </c>
      <c r="F324" s="110" t="s">
        <v>794</v>
      </c>
      <c r="I324" s="13" t="str">
        <f t="shared" si="5"/>
        <v>M3B5FALSE</v>
      </c>
      <c r="T324"/>
    </row>
    <row r="325" spans="1:20" ht="12.75" customHeight="1" x14ac:dyDescent="0.25">
      <c r="A325" t="s">
        <v>795</v>
      </c>
      <c r="B325" t="s">
        <v>795</v>
      </c>
      <c r="C325" s="32" t="str" cm="1">
        <f t="array" aca="1" ref="C325" ca="1">"'='" &amp; MID(CELL("address",INDIRECT(B325)),$K$2+1,100)</f>
        <v>'='CNPIs Health and Social'!$K$13</v>
      </c>
      <c r="D325" s="38">
        <f>M3B5eCommRelResults</f>
        <v>0</v>
      </c>
      <c r="E325" s="38" t="s">
        <v>493</v>
      </c>
      <c r="F325" s="110" t="s">
        <v>795</v>
      </c>
      <c r="I325" s="13" t="str">
        <f t="shared" si="5"/>
        <v>M3B5FALSE</v>
      </c>
      <c r="T325"/>
    </row>
    <row r="326" spans="1:20" ht="12.75" customHeight="1" x14ac:dyDescent="0.25">
      <c r="A326" s="13" t="s">
        <v>1414</v>
      </c>
      <c r="B326" s="13" t="s">
        <v>1414</v>
      </c>
      <c r="C326" s="32" t="str" cm="1">
        <f t="array" aca="1" ref="C326" ca="1">"'='" &amp; MID(CELL("address",INDIRECT(B326)),$K$2+1,100)</f>
        <v>'='CNPIs Health and Social'!$L$13</v>
      </c>
      <c r="D326" s="38" t="str">
        <f>M3B5eCommRelAccuracy</f>
        <v/>
      </c>
      <c r="E326" s="38" t="s">
        <v>493</v>
      </c>
      <c r="F326" s="13" t="s">
        <v>1414</v>
      </c>
      <c r="I326" s="13" t="str">
        <f t="shared" si="5"/>
        <v>M3B5FALSE</v>
      </c>
      <c r="T326"/>
    </row>
    <row r="327" spans="1:20" ht="12.75" customHeight="1" x14ac:dyDescent="0.25">
      <c r="A327" t="s">
        <v>796</v>
      </c>
      <c r="B327" t="s">
        <v>796</v>
      </c>
      <c r="C327" s="32" t="str" cm="1">
        <f t="array" aca="1" ref="C327" ca="1">"'='" &amp; MID(CELL("address",INDIRECT(B327)),$K$2+1,100)</f>
        <v>'='CNPIs Health and Social'!$C$16</v>
      </c>
      <c r="D327" s="38">
        <f>M3B5z1OtherHealthSoc1Name</f>
        <v>0</v>
      </c>
      <c r="E327" s="38" t="s">
        <v>284</v>
      </c>
      <c r="F327" s="110" t="s">
        <v>796</v>
      </c>
      <c r="G327" s="38">
        <v>1000</v>
      </c>
      <c r="I327" s="13" t="str">
        <f t="shared" si="5"/>
        <v>M3B5FALSE</v>
      </c>
      <c r="T327"/>
    </row>
    <row r="328" spans="1:20" ht="12.75" customHeight="1" x14ac:dyDescent="0.25">
      <c r="A328" t="s">
        <v>797</v>
      </c>
      <c r="B328" t="s">
        <v>797</v>
      </c>
      <c r="C328" s="32" t="str" cm="1">
        <f t="array" aca="1" ref="C328" ca="1">"'='" &amp; MID(CELL("address",INDIRECT(B328)),$K$2+1,100)</f>
        <v>'='CNPIs Health and Social'!$J$16</v>
      </c>
      <c r="D328" s="38">
        <f>M3B5z1OtherHealthSoc1Target</f>
        <v>0</v>
      </c>
      <c r="E328" s="38" t="s">
        <v>493</v>
      </c>
      <c r="F328" s="110" t="s">
        <v>797</v>
      </c>
      <c r="I328" s="13" t="str">
        <f t="shared" si="5"/>
        <v>M3B5FALSE</v>
      </c>
      <c r="T328"/>
    </row>
    <row r="329" spans="1:20" ht="12.75" customHeight="1" x14ac:dyDescent="0.25">
      <c r="A329" t="s">
        <v>798</v>
      </c>
      <c r="B329" t="s">
        <v>798</v>
      </c>
      <c r="C329" s="32" t="str" cm="1">
        <f t="array" aca="1" ref="C329" ca="1">"'='" &amp; MID(CELL("address",INDIRECT(B329)),$K$2+1,100)</f>
        <v>'='CNPIs Health and Social'!$K$16</v>
      </c>
      <c r="D329" s="38">
        <f>M3B5z1OtherHealthSoc1Results</f>
        <v>0</v>
      </c>
      <c r="E329" s="38" t="s">
        <v>493</v>
      </c>
      <c r="F329" s="110" t="s">
        <v>798</v>
      </c>
      <c r="I329" s="13" t="str">
        <f t="shared" si="5"/>
        <v>M3B5FALSE</v>
      </c>
      <c r="T329"/>
    </row>
    <row r="330" spans="1:20" ht="12.75" customHeight="1" x14ac:dyDescent="0.25">
      <c r="A330" s="13" t="s">
        <v>1466</v>
      </c>
      <c r="B330" s="13" t="s">
        <v>1466</v>
      </c>
      <c r="C330" s="32" t="str" cm="1">
        <f t="array" aca="1" ref="C330" ca="1">"'='" &amp; MID(CELL("address",INDIRECT(B330)),$K$2+1,100)</f>
        <v>'='CNPIs Health and Social'!$L$16</v>
      </c>
      <c r="D330" s="38" t="str">
        <f>M3B5z1OtherHealthSoc1Accuracy</f>
        <v/>
      </c>
      <c r="E330" s="38" t="s">
        <v>493</v>
      </c>
      <c r="F330" s="13" t="s">
        <v>1466</v>
      </c>
      <c r="I330" s="13" t="str">
        <f t="shared" si="5"/>
        <v>M3B5FALSE</v>
      </c>
      <c r="T330"/>
    </row>
    <row r="331" spans="1:20" ht="12.75" customHeight="1" x14ac:dyDescent="0.25">
      <c r="A331" t="s">
        <v>799</v>
      </c>
      <c r="B331" t="s">
        <v>799</v>
      </c>
      <c r="C331" s="32" t="str" cm="1">
        <f t="array" aca="1" ref="C331" ca="1">"'='" &amp; MID(CELL("address",INDIRECT(B331)),$K$2+1,100)</f>
        <v>'='CNPIs Health and Social'!$C$17</v>
      </c>
      <c r="D331" s="38">
        <f>M3B5z2OtherHealthSoc2Name</f>
        <v>0</v>
      </c>
      <c r="E331" s="38" t="s">
        <v>284</v>
      </c>
      <c r="F331" s="110" t="s">
        <v>799</v>
      </c>
      <c r="G331" s="38">
        <v>1000</v>
      </c>
      <c r="I331" s="13" t="str">
        <f t="shared" si="5"/>
        <v>M3B5FALSE</v>
      </c>
      <c r="T331"/>
    </row>
    <row r="332" spans="1:20" ht="12.75" customHeight="1" x14ac:dyDescent="0.25">
      <c r="A332" t="s">
        <v>800</v>
      </c>
      <c r="B332" t="s">
        <v>800</v>
      </c>
      <c r="C332" s="32" t="str" cm="1">
        <f t="array" aca="1" ref="C332" ca="1">"'='" &amp; MID(CELL("address",INDIRECT(B332)),$K$2+1,100)</f>
        <v>'='CNPIs Health and Social'!$J$17</v>
      </c>
      <c r="D332" s="38">
        <f>M3B5z2OtherHealthSoc2Target</f>
        <v>0</v>
      </c>
      <c r="E332" s="38" t="s">
        <v>493</v>
      </c>
      <c r="F332" s="110" t="s">
        <v>800</v>
      </c>
      <c r="I332" s="13" t="str">
        <f t="shared" si="5"/>
        <v>M3B5FALSE</v>
      </c>
      <c r="T332"/>
    </row>
    <row r="333" spans="1:20" ht="12.75" customHeight="1" x14ac:dyDescent="0.25">
      <c r="A333" t="s">
        <v>801</v>
      </c>
      <c r="B333" t="s">
        <v>801</v>
      </c>
      <c r="C333" s="32" t="str" cm="1">
        <f t="array" aca="1" ref="C333" ca="1">"'='" &amp; MID(CELL("address",INDIRECT(B333)),$K$2+1,100)</f>
        <v>'='CNPIs Health and Social'!$K$17</v>
      </c>
      <c r="D333" s="38">
        <f>M3B5z2OtherHealthSoc2Results</f>
        <v>0</v>
      </c>
      <c r="E333" s="38" t="s">
        <v>493</v>
      </c>
      <c r="F333" s="110" t="s">
        <v>801</v>
      </c>
      <c r="I333" s="13" t="str">
        <f t="shared" si="5"/>
        <v>M3B5FALSE</v>
      </c>
      <c r="T333"/>
    </row>
    <row r="334" spans="1:20" ht="12.75" customHeight="1" x14ac:dyDescent="0.25">
      <c r="A334" s="13" t="s">
        <v>1467</v>
      </c>
      <c r="B334" s="13" t="s">
        <v>1467</v>
      </c>
      <c r="C334" s="32" t="str" cm="1">
        <f t="array" aca="1" ref="C334" ca="1">"'='" &amp; MID(CELL("address",INDIRECT(B334)),$K$2+1,100)</f>
        <v>'='CNPIs Health and Social'!$L$17</v>
      </c>
      <c r="D334" s="38" t="str">
        <f>M3B5z2OtherHealthSoc2Accuracy</f>
        <v/>
      </c>
      <c r="E334" s="38" t="s">
        <v>493</v>
      </c>
      <c r="F334" s="13" t="s">
        <v>1467</v>
      </c>
      <c r="I334" s="13" t="str">
        <f t="shared" si="5"/>
        <v>M3B5FALSE</v>
      </c>
      <c r="T334"/>
    </row>
    <row r="335" spans="1:20" ht="12.75" customHeight="1" x14ac:dyDescent="0.25">
      <c r="A335" t="s">
        <v>802</v>
      </c>
      <c r="B335" t="s">
        <v>802</v>
      </c>
      <c r="C335" s="32" t="str" cm="1">
        <f t="array" aca="1" ref="C335" ca="1">"'='" &amp; MID(CELL("address",INDIRECT(B335)),$K$2+1,100)</f>
        <v>'='CNPIs Health and Social'!$C$18</v>
      </c>
      <c r="D335" s="38">
        <f>M3B5z3OtherHealthSoc3Name</f>
        <v>0</v>
      </c>
      <c r="E335" s="38" t="s">
        <v>284</v>
      </c>
      <c r="F335" s="110" t="s">
        <v>802</v>
      </c>
      <c r="G335" s="38">
        <v>1000</v>
      </c>
      <c r="I335" s="13" t="str">
        <f t="shared" si="5"/>
        <v>M3B5FALSE</v>
      </c>
      <c r="T335"/>
    </row>
    <row r="336" spans="1:20" ht="12.75" customHeight="1" x14ac:dyDescent="0.25">
      <c r="A336" t="s">
        <v>803</v>
      </c>
      <c r="B336" t="s">
        <v>803</v>
      </c>
      <c r="C336" s="32" t="str" cm="1">
        <f t="array" aca="1" ref="C336" ca="1">"'='" &amp; MID(CELL("address",INDIRECT(B336)),$K$2+1,100)</f>
        <v>'='CNPIs Health and Social'!$J$18</v>
      </c>
      <c r="D336" s="38">
        <f>M3B5z3OtherHealthSoc3Target</f>
        <v>0</v>
      </c>
      <c r="E336" s="38" t="s">
        <v>493</v>
      </c>
      <c r="F336" s="110" t="s">
        <v>803</v>
      </c>
      <c r="I336" s="13" t="str">
        <f t="shared" si="5"/>
        <v>M3B5FALSE</v>
      </c>
      <c r="T336"/>
    </row>
    <row r="337" spans="1:20" ht="12.75" customHeight="1" x14ac:dyDescent="0.25">
      <c r="A337" t="s">
        <v>804</v>
      </c>
      <c r="B337" t="s">
        <v>804</v>
      </c>
      <c r="C337" s="32" t="str" cm="1">
        <f t="array" aca="1" ref="C337" ca="1">"'='" &amp; MID(CELL("address",INDIRECT(B337)),$K$2+1,100)</f>
        <v>'='CNPIs Health and Social'!$K$18</v>
      </c>
      <c r="D337" s="38">
        <f>M3B5z3OtherHealthSoc3Results</f>
        <v>0</v>
      </c>
      <c r="E337" s="38" t="s">
        <v>493</v>
      </c>
      <c r="F337" s="110" t="s">
        <v>804</v>
      </c>
      <c r="I337" s="13" t="str">
        <f t="shared" si="5"/>
        <v>M3B5FALSE</v>
      </c>
      <c r="T337"/>
    </row>
    <row r="338" spans="1:20" ht="12.75" customHeight="1" x14ac:dyDescent="0.25">
      <c r="A338" s="13" t="s">
        <v>1468</v>
      </c>
      <c r="B338" s="13" t="s">
        <v>1468</v>
      </c>
      <c r="C338" s="32" t="str" cm="1">
        <f t="array" aca="1" ref="C338" ca="1">"'='" &amp; MID(CELL("address",INDIRECT(B338)),$K$2+1,100)</f>
        <v>'='CNPIs Health and Social'!$L$18</v>
      </c>
      <c r="D338" s="38" t="str">
        <f>M3B5z3OtherHealthSoc3Accuracy</f>
        <v/>
      </c>
      <c r="E338" s="38" t="s">
        <v>493</v>
      </c>
      <c r="F338" s="13" t="s">
        <v>1468</v>
      </c>
      <c r="I338" s="13" t="str">
        <f t="shared" si="5"/>
        <v>M3B5FALSE</v>
      </c>
      <c r="T338"/>
    </row>
    <row r="339" spans="1:20" ht="12.75" customHeight="1" x14ac:dyDescent="0.25">
      <c r="A339" t="s">
        <v>811</v>
      </c>
      <c r="B339" t="s">
        <v>811</v>
      </c>
      <c r="C339" s="32" t="str" cm="1">
        <f t="array" aca="1" ref="C339" ca="1">"'='" &amp; MID(CELL("address",INDIRECT(B339)),$K$2+1,100)</f>
        <v>'='CNPIs Health and Social'!$G$21</v>
      </c>
      <c r="D339" s="38">
        <f>M3B5fMortRateBaseline</f>
        <v>0</v>
      </c>
      <c r="E339" s="38" t="s">
        <v>493</v>
      </c>
      <c r="F339" s="110" t="s">
        <v>811</v>
      </c>
      <c r="I339" s="13" t="str">
        <f t="shared" si="5"/>
        <v>M3B5FALSE</v>
      </c>
      <c r="T339"/>
    </row>
    <row r="340" spans="1:20" ht="12.75" customHeight="1" x14ac:dyDescent="0.25">
      <c r="A340" t="s">
        <v>812</v>
      </c>
      <c r="B340" t="s">
        <v>812</v>
      </c>
      <c r="C340" s="32" t="str" cm="1">
        <f t="array" aca="1" ref="C340" ca="1">"'='" &amp; MID(CELL("address",INDIRECT(B340)),$K$2+1,100)</f>
        <v>'='CNPIs Health and Social'!$H$21</v>
      </c>
      <c r="D340" s="38">
        <f>M3B5fMortRateTarget</f>
        <v>0</v>
      </c>
      <c r="E340" s="38" t="s">
        <v>493</v>
      </c>
      <c r="F340" s="110" t="s">
        <v>812</v>
      </c>
      <c r="I340" s="13" t="str">
        <f t="shared" si="5"/>
        <v>M3B5FALSE</v>
      </c>
      <c r="T340"/>
    </row>
    <row r="341" spans="1:20" ht="12.75" customHeight="1" x14ac:dyDescent="0.25">
      <c r="A341" s="13" t="s">
        <v>1415</v>
      </c>
      <c r="B341" s="13" t="s">
        <v>1415</v>
      </c>
      <c r="C341" s="32" t="str" cm="1">
        <f t="array" aca="1" ref="C341" ca="1">"'='" &amp; MID(CELL("address",INDIRECT(B341)),$K$2+1,100)</f>
        <v>'='CNPIs Health and Social'!$I$21</v>
      </c>
      <c r="D341" s="38" t="str">
        <f>M3B5fMortRateExpectChng</f>
        <v/>
      </c>
      <c r="E341" s="38" t="s">
        <v>493</v>
      </c>
      <c r="F341" s="13" t="s">
        <v>1415</v>
      </c>
      <c r="I341" s="13" t="str">
        <f t="shared" si="5"/>
        <v>M3B5FALSE</v>
      </c>
      <c r="T341"/>
    </row>
    <row r="342" spans="1:20" ht="12.75" customHeight="1" x14ac:dyDescent="0.25">
      <c r="A342" t="s">
        <v>813</v>
      </c>
      <c r="B342" t="s">
        <v>813</v>
      </c>
      <c r="C342" s="32" t="str" cm="1">
        <f t="array" aca="1" ref="C342" ca="1">"'='" &amp; MID(CELL("address",INDIRECT(B342)),$K$2+1,100)</f>
        <v>'='CNPIs Health and Social'!$J$21</v>
      </c>
      <c r="D342" s="38">
        <f>M3B5fMortRateResults</f>
        <v>0</v>
      </c>
      <c r="E342" s="38" t="s">
        <v>493</v>
      </c>
      <c r="F342" s="110" t="s">
        <v>813</v>
      </c>
      <c r="I342" s="13" t="str">
        <f t="shared" si="5"/>
        <v>M3B5FALSE</v>
      </c>
      <c r="T342"/>
    </row>
    <row r="343" spans="1:20" ht="12.75" customHeight="1" x14ac:dyDescent="0.25">
      <c r="A343" s="13" t="s">
        <v>1416</v>
      </c>
      <c r="B343" s="13" t="s">
        <v>1416</v>
      </c>
      <c r="C343" s="32" t="str" cm="1">
        <f t="array" aca="1" ref="C343" ca="1">"'='" &amp; MID(CELL("address",INDIRECT(B343)),$K$2+1,100)</f>
        <v>'='CNPIs Health and Social'!$K$21</v>
      </c>
      <c r="D343" s="38" t="str">
        <f>M3B5fMortRateActualChng</f>
        <v/>
      </c>
      <c r="E343" s="38" t="s">
        <v>493</v>
      </c>
      <c r="F343" s="13" t="s">
        <v>1416</v>
      </c>
      <c r="I343" s="13" t="str">
        <f t="shared" si="5"/>
        <v>M3B5FALSE</v>
      </c>
      <c r="T343"/>
    </row>
    <row r="344" spans="1:20" ht="12.75" customHeight="1" x14ac:dyDescent="0.25">
      <c r="A344" s="13" t="s">
        <v>1417</v>
      </c>
      <c r="B344" s="13" t="s">
        <v>1417</v>
      </c>
      <c r="C344" s="32" t="str" cm="1">
        <f t="array" aca="1" ref="C344" ca="1">"'='" &amp; MID(CELL("address",INDIRECT(B344)),$K$2+1,100)</f>
        <v>'='CNPIs Health and Social'!$L$21</v>
      </c>
      <c r="D344" s="38" t="str">
        <f>M3B5fMortRateAccuracy</f>
        <v/>
      </c>
      <c r="E344" s="38" t="s">
        <v>493</v>
      </c>
      <c r="F344" s="13" t="s">
        <v>1417</v>
      </c>
      <c r="I344" s="13" t="str">
        <f t="shared" si="5"/>
        <v>M3B5FALSE</v>
      </c>
      <c r="T344"/>
    </row>
    <row r="345" spans="1:20" ht="12.75" customHeight="1" x14ac:dyDescent="0.25">
      <c r="A345" t="s">
        <v>814</v>
      </c>
      <c r="B345" t="s">
        <v>814</v>
      </c>
      <c r="C345" s="32" t="str" cm="1">
        <f t="array" aca="1" ref="C345" ca="1">"'='" &amp; MID(CELL("address",INDIRECT(B345)),$K$2+1,100)</f>
        <v>'='CNPIs Health and Social'!$G$22</v>
      </c>
      <c r="D345" s="38">
        <f>M3B5gChildObesRateBaseline</f>
        <v>0</v>
      </c>
      <c r="E345" s="38" t="s">
        <v>493</v>
      </c>
      <c r="F345" s="110" t="s">
        <v>814</v>
      </c>
      <c r="I345" s="13" t="str">
        <f t="shared" si="5"/>
        <v>M3B5FALSE</v>
      </c>
      <c r="T345"/>
    </row>
    <row r="346" spans="1:20" ht="12.75" customHeight="1" x14ac:dyDescent="0.25">
      <c r="A346" t="s">
        <v>815</v>
      </c>
      <c r="B346" t="s">
        <v>815</v>
      </c>
      <c r="C346" s="32" t="str" cm="1">
        <f t="array" aca="1" ref="C346" ca="1">"'='" &amp; MID(CELL("address",INDIRECT(B346)),$K$2+1,100)</f>
        <v>'='CNPIs Health and Social'!$H$22</v>
      </c>
      <c r="D346" s="38">
        <f>M3B5gChildObesRateTarget</f>
        <v>0</v>
      </c>
      <c r="E346" s="38" t="s">
        <v>493</v>
      </c>
      <c r="F346" s="110" t="s">
        <v>815</v>
      </c>
      <c r="I346" s="13" t="str">
        <f t="shared" si="5"/>
        <v>M3B5FALSE</v>
      </c>
      <c r="T346"/>
    </row>
    <row r="347" spans="1:20" ht="12.75" customHeight="1" x14ac:dyDescent="0.25">
      <c r="A347" s="13" t="s">
        <v>1418</v>
      </c>
      <c r="B347" s="13" t="s">
        <v>1418</v>
      </c>
      <c r="C347" s="32" t="str" cm="1">
        <f t="array" aca="1" ref="C347" ca="1">"'='" &amp; MID(CELL("address",INDIRECT(B347)),$K$2+1,100)</f>
        <v>'='CNPIs Health and Social'!$I$22</v>
      </c>
      <c r="D347" s="38" t="str">
        <f>M3B5gChildObesRateExpectChng</f>
        <v/>
      </c>
      <c r="E347" s="38" t="s">
        <v>493</v>
      </c>
      <c r="F347" s="13" t="s">
        <v>1418</v>
      </c>
      <c r="I347" s="13" t="str">
        <f t="shared" si="5"/>
        <v>M3B5FALSE</v>
      </c>
      <c r="T347"/>
    </row>
    <row r="348" spans="1:20" ht="12.75" customHeight="1" x14ac:dyDescent="0.25">
      <c r="A348" t="s">
        <v>816</v>
      </c>
      <c r="B348" t="s">
        <v>816</v>
      </c>
      <c r="C348" s="32" t="str" cm="1">
        <f t="array" aca="1" ref="C348" ca="1">"'='" &amp; MID(CELL("address",INDIRECT(B348)),$K$2+1,100)</f>
        <v>'='CNPIs Health and Social'!$J$22</v>
      </c>
      <c r="D348" s="38">
        <f>M3B5gChildObesRateResults</f>
        <v>0</v>
      </c>
      <c r="E348" s="38" t="s">
        <v>493</v>
      </c>
      <c r="F348" s="110" t="s">
        <v>816</v>
      </c>
      <c r="I348" s="13" t="str">
        <f t="shared" si="5"/>
        <v>M3B5FALSE</v>
      </c>
      <c r="T348"/>
    </row>
    <row r="349" spans="1:20" ht="12.75" customHeight="1" x14ac:dyDescent="0.25">
      <c r="A349" s="13" t="s">
        <v>1419</v>
      </c>
      <c r="B349" s="13" t="s">
        <v>1419</v>
      </c>
      <c r="C349" s="32" t="str" cm="1">
        <f t="array" aca="1" ref="C349" ca="1">"'='" &amp; MID(CELL("address",INDIRECT(B349)),$K$2+1,100)</f>
        <v>'='CNPIs Health and Social'!$K$22</v>
      </c>
      <c r="D349" s="38" t="str">
        <f>M3B5gChildObesRateActualChng</f>
        <v/>
      </c>
      <c r="E349" s="38" t="s">
        <v>493</v>
      </c>
      <c r="F349" s="13" t="s">
        <v>1419</v>
      </c>
      <c r="I349" s="13" t="str">
        <f t="shared" si="5"/>
        <v>M3B5FALSE</v>
      </c>
      <c r="T349"/>
    </row>
    <row r="350" spans="1:20" ht="12.75" customHeight="1" x14ac:dyDescent="0.25">
      <c r="A350" s="13" t="s">
        <v>1420</v>
      </c>
      <c r="B350" s="13" t="s">
        <v>1420</v>
      </c>
      <c r="C350" s="32" t="str" cm="1">
        <f t="array" aca="1" ref="C350" ca="1">"'='" &amp; MID(CELL("address",INDIRECT(B350)),$K$2+1,100)</f>
        <v>'='CNPIs Health and Social'!$L$22</v>
      </c>
      <c r="D350" s="38" t="str">
        <f>M3B5gChildObesRateAccuracy</f>
        <v/>
      </c>
      <c r="E350" s="38" t="s">
        <v>493</v>
      </c>
      <c r="F350" s="13" t="s">
        <v>1420</v>
      </c>
      <c r="I350" s="13" t="str">
        <f t="shared" si="5"/>
        <v>M3B5FALSE</v>
      </c>
      <c r="T350"/>
    </row>
    <row r="351" spans="1:20" ht="12.75" customHeight="1" x14ac:dyDescent="0.25">
      <c r="A351" t="s">
        <v>817</v>
      </c>
      <c r="B351" t="s">
        <v>817</v>
      </c>
      <c r="C351" s="32" t="str" cm="1">
        <f t="array" aca="1" ref="C351" ca="1">"'='" &amp; MID(CELL("address",INDIRECT(B351)),$K$2+1,100)</f>
        <v>'='CNPIs Health and Social'!$G$23</v>
      </c>
      <c r="D351" s="38">
        <f>M3B5hAdultObesRateBaseline</f>
        <v>0</v>
      </c>
      <c r="E351" s="38" t="s">
        <v>493</v>
      </c>
      <c r="F351" s="110" t="s">
        <v>817</v>
      </c>
      <c r="I351" s="13" t="str">
        <f t="shared" si="5"/>
        <v>M3B5FALSE</v>
      </c>
      <c r="T351"/>
    </row>
    <row r="352" spans="1:20" ht="12.75" customHeight="1" x14ac:dyDescent="0.25">
      <c r="A352" t="s">
        <v>818</v>
      </c>
      <c r="B352" t="s">
        <v>818</v>
      </c>
      <c r="C352" s="32" t="str" cm="1">
        <f t="array" aca="1" ref="C352" ca="1">"'='" &amp; MID(CELL("address",INDIRECT(B352)),$K$2+1,100)</f>
        <v>'='CNPIs Health and Social'!$H$23</v>
      </c>
      <c r="D352" s="38">
        <f>M3B5hAdultObesRateTarget</f>
        <v>0</v>
      </c>
      <c r="E352" s="38" t="s">
        <v>493</v>
      </c>
      <c r="F352" s="110" t="s">
        <v>818</v>
      </c>
      <c r="I352" s="13" t="str">
        <f t="shared" si="5"/>
        <v>M3B5FALSE</v>
      </c>
      <c r="T352"/>
    </row>
    <row r="353" spans="1:20" ht="12.75" customHeight="1" x14ac:dyDescent="0.25">
      <c r="A353" s="13" t="s">
        <v>1421</v>
      </c>
      <c r="B353" s="13" t="s">
        <v>1421</v>
      </c>
      <c r="C353" s="32" t="str" cm="1">
        <f t="array" aca="1" ref="C353" ca="1">"'='" &amp; MID(CELL("address",INDIRECT(B353)),$K$2+1,100)</f>
        <v>'='CNPIs Health and Social'!$I$23</v>
      </c>
      <c r="D353" s="38" t="str">
        <f>M3B5hAdultObesRateExpectChng</f>
        <v/>
      </c>
      <c r="E353" s="38" t="s">
        <v>493</v>
      </c>
      <c r="F353" s="13" t="s">
        <v>1421</v>
      </c>
      <c r="I353" s="13" t="str">
        <f t="shared" si="5"/>
        <v>M3B5FALSE</v>
      </c>
      <c r="T353"/>
    </row>
    <row r="354" spans="1:20" ht="12.75" customHeight="1" x14ac:dyDescent="0.25">
      <c r="A354" t="s">
        <v>819</v>
      </c>
      <c r="B354" t="s">
        <v>819</v>
      </c>
      <c r="C354" s="32" t="str" cm="1">
        <f t="array" aca="1" ref="C354" ca="1">"'='" &amp; MID(CELL("address",INDIRECT(B354)),$K$2+1,100)</f>
        <v>'='CNPIs Health and Social'!$J$23</v>
      </c>
      <c r="D354" s="38">
        <f>M3B5hAdultObesRateResults</f>
        <v>0</v>
      </c>
      <c r="E354" s="38" t="s">
        <v>493</v>
      </c>
      <c r="F354" s="110" t="s">
        <v>819</v>
      </c>
      <c r="I354" s="13" t="str">
        <f t="shared" si="5"/>
        <v>M3B5FALSE</v>
      </c>
      <c r="T354"/>
    </row>
    <row r="355" spans="1:20" ht="12.75" customHeight="1" x14ac:dyDescent="0.25">
      <c r="A355" s="13" t="s">
        <v>1422</v>
      </c>
      <c r="B355" s="13" t="s">
        <v>1422</v>
      </c>
      <c r="C355" s="32" t="str" cm="1">
        <f t="array" aca="1" ref="C355" ca="1">"'='" &amp; MID(CELL("address",INDIRECT(B355)),$K$2+1,100)</f>
        <v>'='CNPIs Health and Social'!$K$23</v>
      </c>
      <c r="D355" s="38" t="str">
        <f>M3B5hAdultObesRateActualChng</f>
        <v/>
      </c>
      <c r="E355" s="38" t="s">
        <v>493</v>
      </c>
      <c r="F355" s="13" t="s">
        <v>1422</v>
      </c>
      <c r="I355" s="13" t="str">
        <f t="shared" si="5"/>
        <v>M3B5FALSE</v>
      </c>
      <c r="T355"/>
    </row>
    <row r="356" spans="1:20" ht="12.75" customHeight="1" x14ac:dyDescent="0.25">
      <c r="A356" s="13" t="s">
        <v>1423</v>
      </c>
      <c r="B356" s="13" t="s">
        <v>1423</v>
      </c>
      <c r="C356" s="32" t="str" cm="1">
        <f t="array" aca="1" ref="C356" ca="1">"'='" &amp; MID(CELL("address",INDIRECT(B356)),$K$2+1,100)</f>
        <v>'='CNPIs Health and Social'!$L$23</v>
      </c>
      <c r="D356" s="38" t="str">
        <f>M3B5hAdultObesRateAccuracy</f>
        <v/>
      </c>
      <c r="E356" s="38" t="s">
        <v>493</v>
      </c>
      <c r="F356" s="13" t="s">
        <v>1423</v>
      </c>
      <c r="I356" s="13" t="str">
        <f t="shared" si="5"/>
        <v>M3B5FALSE</v>
      </c>
      <c r="T356"/>
    </row>
    <row r="357" spans="1:20" ht="12.75" customHeight="1" x14ac:dyDescent="0.25">
      <c r="A357" t="s">
        <v>820</v>
      </c>
      <c r="B357" t="s">
        <v>820</v>
      </c>
      <c r="C357" s="32" t="str" cm="1">
        <f t="array" aca="1" ref="C357" ca="1">"'='" &amp; MID(CELL("address",INDIRECT(B357)),$K$2+1,100)</f>
        <v>'='CNPIs Health and Social'!$G$24</v>
      </c>
      <c r="D357" s="38">
        <f>M3B5iImmunRateBaseline</f>
        <v>0</v>
      </c>
      <c r="E357" s="38" t="s">
        <v>493</v>
      </c>
      <c r="F357" s="110" t="s">
        <v>820</v>
      </c>
      <c r="I357" s="13" t="str">
        <f t="shared" si="5"/>
        <v>M3B5FALSE</v>
      </c>
      <c r="T357"/>
    </row>
    <row r="358" spans="1:20" ht="12.75" customHeight="1" x14ac:dyDescent="0.25">
      <c r="A358" t="s">
        <v>821</v>
      </c>
      <c r="B358" t="s">
        <v>821</v>
      </c>
      <c r="C358" s="32" t="str" cm="1">
        <f t="array" aca="1" ref="C358" ca="1">"'='" &amp; MID(CELL("address",INDIRECT(B358)),$K$2+1,100)</f>
        <v>'='CNPIs Health and Social'!$H$24</v>
      </c>
      <c r="D358" s="38">
        <f>M3B5iImmunRateTarget</f>
        <v>0</v>
      </c>
      <c r="E358" s="38" t="s">
        <v>493</v>
      </c>
      <c r="F358" s="110" t="s">
        <v>821</v>
      </c>
      <c r="I358" s="13" t="str">
        <f t="shared" si="5"/>
        <v>M3B5FALSE</v>
      </c>
      <c r="T358"/>
    </row>
    <row r="359" spans="1:20" ht="12.75" customHeight="1" x14ac:dyDescent="0.25">
      <c r="A359" s="13" t="s">
        <v>1424</v>
      </c>
      <c r="B359" s="13" t="s">
        <v>1424</v>
      </c>
      <c r="C359" s="32" t="str" cm="1">
        <f t="array" aca="1" ref="C359" ca="1">"'='" &amp; MID(CELL("address",INDIRECT(B359)),$K$2+1,100)</f>
        <v>'='CNPIs Health and Social'!$I$24</v>
      </c>
      <c r="D359" s="38" t="str">
        <f>M3B5iImmunRateExpectChng</f>
        <v/>
      </c>
      <c r="E359" s="38" t="s">
        <v>493</v>
      </c>
      <c r="F359" s="13" t="s">
        <v>1424</v>
      </c>
      <c r="I359" s="13" t="str">
        <f t="shared" si="5"/>
        <v>M3B5FALSE</v>
      </c>
      <c r="T359"/>
    </row>
    <row r="360" spans="1:20" ht="12.75" customHeight="1" x14ac:dyDescent="0.25">
      <c r="A360" t="s">
        <v>822</v>
      </c>
      <c r="B360" t="s">
        <v>822</v>
      </c>
      <c r="C360" s="32" t="str" cm="1">
        <f t="array" aca="1" ref="C360" ca="1">"'='" &amp; MID(CELL("address",INDIRECT(B360)),$K$2+1,100)</f>
        <v>'='CNPIs Health and Social'!$J$24</v>
      </c>
      <c r="D360" s="38">
        <f>M3B5iImmunRateResults</f>
        <v>0</v>
      </c>
      <c r="E360" s="38" t="s">
        <v>493</v>
      </c>
      <c r="F360" s="110" t="s">
        <v>822</v>
      </c>
      <c r="I360" s="13" t="str">
        <f t="shared" si="5"/>
        <v>M3B5FALSE</v>
      </c>
      <c r="T360"/>
    </row>
    <row r="361" spans="1:20" ht="12.75" customHeight="1" x14ac:dyDescent="0.25">
      <c r="A361" s="13" t="s">
        <v>1425</v>
      </c>
      <c r="B361" s="13" t="s">
        <v>1425</v>
      </c>
      <c r="C361" s="32" t="str" cm="1">
        <f t="array" aca="1" ref="C361" ca="1">"'='" &amp; MID(CELL("address",INDIRECT(B361)),$K$2+1,100)</f>
        <v>'='CNPIs Health and Social'!$K$24</v>
      </c>
      <c r="D361" s="38" t="str">
        <f>M3B5iImmunRateActualChng</f>
        <v/>
      </c>
      <c r="E361" s="38" t="s">
        <v>493</v>
      </c>
      <c r="F361" s="13" t="s">
        <v>1425</v>
      </c>
      <c r="I361" s="13" t="str">
        <f t="shared" si="5"/>
        <v>M3B5FALSE</v>
      </c>
      <c r="T361"/>
    </row>
    <row r="362" spans="1:20" ht="12.75" customHeight="1" x14ac:dyDescent="0.25">
      <c r="A362" s="13" t="s">
        <v>1426</v>
      </c>
      <c r="B362" s="13" t="s">
        <v>1426</v>
      </c>
      <c r="C362" s="32" t="str" cm="1">
        <f t="array" aca="1" ref="C362" ca="1">"'='" &amp; MID(CELL("address",INDIRECT(B362)),$K$2+1,100)</f>
        <v>'='CNPIs Health and Social'!$L$24</v>
      </c>
      <c r="D362" s="38" t="str">
        <f>M3B5iImmunRateAccuracy</f>
        <v/>
      </c>
      <c r="E362" s="38" t="s">
        <v>493</v>
      </c>
      <c r="F362" s="13" t="s">
        <v>1426</v>
      </c>
      <c r="I362" s="13" t="str">
        <f t="shared" ref="I362:I425" si="6">LEFT(A362,4) &amp; AND(D362&lt;&gt;"",D362&lt;&gt;0)</f>
        <v>M3B5FALSE</v>
      </c>
      <c r="T362"/>
    </row>
    <row r="363" spans="1:20" ht="12.75" customHeight="1" x14ac:dyDescent="0.25">
      <c r="A363" t="s">
        <v>823</v>
      </c>
      <c r="B363" t="s">
        <v>823</v>
      </c>
      <c r="C363" s="32" t="str" cm="1">
        <f t="array" aca="1" ref="C363" ca="1">"'='" &amp; MID(CELL("address",INDIRECT(B363)),$K$2+1,100)</f>
        <v>'='CNPIs Health and Social'!$G$25</v>
      </c>
      <c r="D363" s="38">
        <f>M3B5jUninsuredFamBaseline</f>
        <v>0</v>
      </c>
      <c r="E363" s="38" t="s">
        <v>493</v>
      </c>
      <c r="F363" s="110" t="s">
        <v>823</v>
      </c>
      <c r="I363" s="13" t="str">
        <f t="shared" si="6"/>
        <v>M3B5FALSE</v>
      </c>
      <c r="T363"/>
    </row>
    <row r="364" spans="1:20" ht="12.75" customHeight="1" x14ac:dyDescent="0.25">
      <c r="A364" t="s">
        <v>824</v>
      </c>
      <c r="B364" t="s">
        <v>824</v>
      </c>
      <c r="C364" s="32" t="str" cm="1">
        <f t="array" aca="1" ref="C364" ca="1">"'='" &amp; MID(CELL("address",INDIRECT(B364)),$K$2+1,100)</f>
        <v>'='CNPIs Health and Social'!$H$25</v>
      </c>
      <c r="D364" s="38">
        <f>M3B5jUninsuredFamTarget</f>
        <v>0</v>
      </c>
      <c r="E364" s="38" t="s">
        <v>493</v>
      </c>
      <c r="F364" s="110" t="s">
        <v>824</v>
      </c>
      <c r="I364" s="13" t="str">
        <f t="shared" si="6"/>
        <v>M3B5FALSE</v>
      </c>
      <c r="T364"/>
    </row>
    <row r="365" spans="1:20" ht="12.75" customHeight="1" x14ac:dyDescent="0.25">
      <c r="A365" s="13" t="s">
        <v>1427</v>
      </c>
      <c r="B365" s="13" t="s">
        <v>1427</v>
      </c>
      <c r="C365" s="32" t="str" cm="1">
        <f t="array" aca="1" ref="C365" ca="1">"'='" &amp; MID(CELL("address",INDIRECT(B365)),$K$2+1,100)</f>
        <v>'='CNPIs Health and Social'!$I$25</v>
      </c>
      <c r="D365" s="38" t="str">
        <f>M3B5jUninsuredFamExpectChng</f>
        <v/>
      </c>
      <c r="E365" s="38" t="s">
        <v>493</v>
      </c>
      <c r="F365" s="13" t="s">
        <v>1427</v>
      </c>
      <c r="I365" s="13" t="str">
        <f t="shared" si="6"/>
        <v>M3B5FALSE</v>
      </c>
      <c r="T365"/>
    </row>
    <row r="366" spans="1:20" ht="12.75" customHeight="1" x14ac:dyDescent="0.25">
      <c r="A366" t="s">
        <v>825</v>
      </c>
      <c r="B366" t="s">
        <v>825</v>
      </c>
      <c r="C366" s="32" t="str" cm="1">
        <f t="array" aca="1" ref="C366" ca="1">"'='" &amp; MID(CELL("address",INDIRECT(B366)),$K$2+1,100)</f>
        <v>'='CNPIs Health and Social'!$J$25</v>
      </c>
      <c r="D366" s="38">
        <f>M3B5jUninsuredFamResults</f>
        <v>0</v>
      </c>
      <c r="E366" s="38" t="s">
        <v>493</v>
      </c>
      <c r="F366" s="110" t="s">
        <v>825</v>
      </c>
      <c r="I366" s="13" t="str">
        <f t="shared" si="6"/>
        <v>M3B5FALSE</v>
      </c>
      <c r="T366"/>
    </row>
    <row r="367" spans="1:20" ht="12.75" customHeight="1" x14ac:dyDescent="0.25">
      <c r="A367" s="13" t="s">
        <v>1428</v>
      </c>
      <c r="B367" s="13" t="s">
        <v>1428</v>
      </c>
      <c r="C367" s="32" t="str" cm="1">
        <f t="array" aca="1" ref="C367" ca="1">"'='" &amp; MID(CELL("address",INDIRECT(B367)),$K$2+1,100)</f>
        <v>'='CNPIs Health and Social'!$K$25</v>
      </c>
      <c r="D367" s="38" t="str">
        <f>M3B5jUninsuredFamActualChng</f>
        <v/>
      </c>
      <c r="E367" s="38" t="s">
        <v>493</v>
      </c>
      <c r="F367" s="13" t="s">
        <v>1428</v>
      </c>
      <c r="I367" s="13" t="str">
        <f t="shared" si="6"/>
        <v>M3B5FALSE</v>
      </c>
      <c r="T367"/>
    </row>
    <row r="368" spans="1:20" ht="12.75" customHeight="1" x14ac:dyDescent="0.25">
      <c r="A368" s="13" t="s">
        <v>1429</v>
      </c>
      <c r="B368" s="13" t="s">
        <v>1429</v>
      </c>
      <c r="C368" s="32" t="str" cm="1">
        <f t="array" aca="1" ref="C368" ca="1">"'='" &amp; MID(CELL("address",INDIRECT(B368)),$K$2+1,100)</f>
        <v>'='CNPIs Health and Social'!$L$25</v>
      </c>
      <c r="D368" s="38" t="str">
        <f>M3B5jUninsuredFamAccuracy</f>
        <v/>
      </c>
      <c r="E368" s="38" t="s">
        <v>493</v>
      </c>
      <c r="F368" s="13" t="s">
        <v>1429</v>
      </c>
      <c r="I368" s="13" t="str">
        <f t="shared" si="6"/>
        <v>M3B5FALSE</v>
      </c>
      <c r="T368"/>
    </row>
    <row r="369" spans="1:20" ht="12.75" customHeight="1" x14ac:dyDescent="0.25">
      <c r="A369" t="s">
        <v>826</v>
      </c>
      <c r="B369" t="s">
        <v>826</v>
      </c>
      <c r="C369" s="32" t="str" cm="1">
        <f t="array" aca="1" ref="C369" ca="1">"'='" &amp; MID(CELL("address",INDIRECT(B369)),$K$2+1,100)</f>
        <v>'='CNPIs Health and Social'!$G$27</v>
      </c>
      <c r="D369" s="38">
        <f>M3B5kTeenPregBaseline</f>
        <v>0</v>
      </c>
      <c r="E369" s="38" t="s">
        <v>493</v>
      </c>
      <c r="F369" s="110" t="s">
        <v>826</v>
      </c>
      <c r="I369" s="13" t="str">
        <f t="shared" si="6"/>
        <v>M3B5FALSE</v>
      </c>
      <c r="T369"/>
    </row>
    <row r="370" spans="1:20" ht="12.75" customHeight="1" x14ac:dyDescent="0.25">
      <c r="A370" t="s">
        <v>827</v>
      </c>
      <c r="B370" t="s">
        <v>827</v>
      </c>
      <c r="C370" s="32" t="str" cm="1">
        <f t="array" aca="1" ref="C370" ca="1">"'='" &amp; MID(CELL("address",INDIRECT(B370)),$K$2+1,100)</f>
        <v>'='CNPIs Health and Social'!$H$27</v>
      </c>
      <c r="D370" s="38">
        <f>M3B5kTeenPregTarget</f>
        <v>0</v>
      </c>
      <c r="E370" s="38" t="s">
        <v>493</v>
      </c>
      <c r="F370" s="110" t="s">
        <v>827</v>
      </c>
      <c r="I370" s="13" t="str">
        <f t="shared" si="6"/>
        <v>M3B5FALSE</v>
      </c>
      <c r="T370"/>
    </row>
    <row r="371" spans="1:20" ht="12.75" customHeight="1" x14ac:dyDescent="0.25">
      <c r="A371" s="13" t="s">
        <v>1430</v>
      </c>
      <c r="B371" s="13" t="s">
        <v>1430</v>
      </c>
      <c r="C371" s="32" t="str" cm="1">
        <f t="array" aca="1" ref="C371" ca="1">"'='" &amp; MID(CELL("address",INDIRECT(B371)),$K$2+1,100)</f>
        <v>'='CNPIs Health and Social'!$I$27</v>
      </c>
      <c r="D371" s="38" t="str">
        <f>M3B5kTeenPregExpectChng</f>
        <v/>
      </c>
      <c r="E371" s="38" t="s">
        <v>493</v>
      </c>
      <c r="F371" s="13" t="s">
        <v>1430</v>
      </c>
      <c r="I371" s="13" t="str">
        <f t="shared" si="6"/>
        <v>M3B5FALSE</v>
      </c>
      <c r="T371"/>
    </row>
    <row r="372" spans="1:20" ht="12.75" customHeight="1" x14ac:dyDescent="0.25">
      <c r="A372" t="s">
        <v>828</v>
      </c>
      <c r="B372" t="s">
        <v>828</v>
      </c>
      <c r="C372" s="32" t="str" cm="1">
        <f t="array" aca="1" ref="C372" ca="1">"'='" &amp; MID(CELL("address",INDIRECT(B372)),$K$2+1,100)</f>
        <v>'='CNPIs Health and Social'!$J$27</v>
      </c>
      <c r="D372" s="38">
        <f>M3B5kTeenPregResults</f>
        <v>0</v>
      </c>
      <c r="E372" s="38" t="s">
        <v>493</v>
      </c>
      <c r="F372" s="110" t="s">
        <v>828</v>
      </c>
      <c r="I372" s="13" t="str">
        <f t="shared" si="6"/>
        <v>M3B5FALSE</v>
      </c>
      <c r="T372"/>
    </row>
    <row r="373" spans="1:20" ht="12.75" customHeight="1" x14ac:dyDescent="0.25">
      <c r="A373" s="13" t="s">
        <v>1431</v>
      </c>
      <c r="B373" s="13" t="s">
        <v>1431</v>
      </c>
      <c r="C373" s="32" t="str" cm="1">
        <f t="array" aca="1" ref="C373" ca="1">"'='" &amp; MID(CELL("address",INDIRECT(B373)),$K$2+1,100)</f>
        <v>'='CNPIs Health and Social'!$K$27</v>
      </c>
      <c r="D373" s="38" t="str">
        <f>M3B5kTeenPregActualChng</f>
        <v/>
      </c>
      <c r="E373" s="38" t="s">
        <v>493</v>
      </c>
      <c r="F373" s="13" t="s">
        <v>1431</v>
      </c>
      <c r="I373" s="13" t="str">
        <f t="shared" si="6"/>
        <v>M3B5FALSE</v>
      </c>
      <c r="T373"/>
    </row>
    <row r="374" spans="1:20" ht="12.75" customHeight="1" x14ac:dyDescent="0.25">
      <c r="A374" s="13" t="s">
        <v>1432</v>
      </c>
      <c r="B374" s="13" t="s">
        <v>1432</v>
      </c>
      <c r="C374" s="32" t="str" cm="1">
        <f t="array" aca="1" ref="C374" ca="1">"'='" &amp; MID(CELL("address",INDIRECT(B374)),$K$2+1,100)</f>
        <v>'='CNPIs Health and Social'!$L$27</v>
      </c>
      <c r="D374" s="38" t="str">
        <f>M3B5kTeenPregAccuracy</f>
        <v/>
      </c>
      <c r="E374" s="38" t="s">
        <v>493</v>
      </c>
      <c r="F374" s="13" t="s">
        <v>1432</v>
      </c>
      <c r="I374" s="13" t="str">
        <f t="shared" si="6"/>
        <v>M3B5FALSE</v>
      </c>
      <c r="T374"/>
    </row>
    <row r="375" spans="1:20" ht="12.75" customHeight="1" x14ac:dyDescent="0.25">
      <c r="A375" t="s">
        <v>829</v>
      </c>
      <c r="B375" t="s">
        <v>829</v>
      </c>
      <c r="C375" s="32" t="str" cm="1">
        <f t="array" aca="1" ref="C375" ca="1">"'='" &amp; MID(CELL("address",INDIRECT(B375)),$K$2+1,100)</f>
        <v>'='CNPIs Health and Social'!$G$28</v>
      </c>
      <c r="D375" s="38">
        <f>M3B5lUnplanPregBaseline</f>
        <v>0</v>
      </c>
      <c r="E375" s="38" t="s">
        <v>493</v>
      </c>
      <c r="F375" s="110" t="s">
        <v>829</v>
      </c>
      <c r="I375" s="13" t="str">
        <f t="shared" si="6"/>
        <v>M3B5FALSE</v>
      </c>
      <c r="T375"/>
    </row>
    <row r="376" spans="1:20" ht="12.75" customHeight="1" x14ac:dyDescent="0.25">
      <c r="A376" t="s">
        <v>830</v>
      </c>
      <c r="B376" t="s">
        <v>830</v>
      </c>
      <c r="C376" s="32" t="str" cm="1">
        <f t="array" aca="1" ref="C376" ca="1">"'='" &amp; MID(CELL("address",INDIRECT(B376)),$K$2+1,100)</f>
        <v>'='CNPIs Health and Social'!$H$28</v>
      </c>
      <c r="D376" s="38">
        <f>M3B5lUnplanPregTarget</f>
        <v>0</v>
      </c>
      <c r="E376" s="38" t="s">
        <v>493</v>
      </c>
      <c r="F376" s="110" t="s">
        <v>830</v>
      </c>
      <c r="I376" s="13" t="str">
        <f t="shared" si="6"/>
        <v>M3B5FALSE</v>
      </c>
      <c r="T376"/>
    </row>
    <row r="377" spans="1:20" ht="12.75" customHeight="1" x14ac:dyDescent="0.25">
      <c r="A377" s="13" t="s">
        <v>1433</v>
      </c>
      <c r="B377" s="13" t="s">
        <v>1433</v>
      </c>
      <c r="C377" s="32" t="str" cm="1">
        <f t="array" aca="1" ref="C377" ca="1">"'='" &amp; MID(CELL("address",INDIRECT(B377)),$K$2+1,100)</f>
        <v>'='CNPIs Health and Social'!$I$28</v>
      </c>
      <c r="D377" s="38" t="str">
        <f>M3B5lUnplanPregExpectChng</f>
        <v/>
      </c>
      <c r="E377" s="38" t="s">
        <v>493</v>
      </c>
      <c r="F377" s="13" t="s">
        <v>1433</v>
      </c>
      <c r="I377" s="13" t="str">
        <f t="shared" si="6"/>
        <v>M3B5FALSE</v>
      </c>
      <c r="T377"/>
    </row>
    <row r="378" spans="1:20" ht="12.75" customHeight="1" x14ac:dyDescent="0.25">
      <c r="A378" t="s">
        <v>831</v>
      </c>
      <c r="B378" t="s">
        <v>831</v>
      </c>
      <c r="C378" s="32" t="str" cm="1">
        <f t="array" aca="1" ref="C378" ca="1">"'='" &amp; MID(CELL("address",INDIRECT(B378)),$K$2+1,100)</f>
        <v>'='CNPIs Health and Social'!$J$28</v>
      </c>
      <c r="D378" s="38">
        <f>M3B5lUnplanPregResults</f>
        <v>0</v>
      </c>
      <c r="E378" s="38" t="s">
        <v>493</v>
      </c>
      <c r="F378" s="110" t="s">
        <v>831</v>
      </c>
      <c r="I378" s="13" t="str">
        <f t="shared" si="6"/>
        <v>M3B5FALSE</v>
      </c>
      <c r="T378"/>
    </row>
    <row r="379" spans="1:20" ht="12.75" customHeight="1" x14ac:dyDescent="0.25">
      <c r="A379" s="13" t="s">
        <v>1434</v>
      </c>
      <c r="B379" s="13" t="s">
        <v>1434</v>
      </c>
      <c r="C379" s="32" t="str" cm="1">
        <f t="array" aca="1" ref="C379" ca="1">"'='" &amp; MID(CELL("address",INDIRECT(B379)),$K$2+1,100)</f>
        <v>'='CNPIs Health and Social'!$K$28</v>
      </c>
      <c r="D379" s="38" t="str">
        <f>M3B5lUnplanPregActualChng</f>
        <v/>
      </c>
      <c r="E379" s="38" t="s">
        <v>493</v>
      </c>
      <c r="F379" s="13" t="s">
        <v>1434</v>
      </c>
      <c r="I379" s="13" t="str">
        <f t="shared" si="6"/>
        <v>M3B5FALSE</v>
      </c>
      <c r="T379"/>
    </row>
    <row r="380" spans="1:20" ht="12.75" customHeight="1" x14ac:dyDescent="0.25">
      <c r="A380" s="13" t="s">
        <v>1435</v>
      </c>
      <c r="B380" s="13" t="s">
        <v>1435</v>
      </c>
      <c r="C380" s="32" t="str" cm="1">
        <f t="array" aca="1" ref="C380" ca="1">"'='" &amp; MID(CELL("address",INDIRECT(B380)),$K$2+1,100)</f>
        <v>'='CNPIs Health and Social'!$L$28</v>
      </c>
      <c r="D380" s="38" t="str">
        <f>M3B5lUnplanPregAccuracy</f>
        <v/>
      </c>
      <c r="E380" s="38" t="s">
        <v>493</v>
      </c>
      <c r="F380" s="13" t="s">
        <v>1435</v>
      </c>
      <c r="I380" s="13" t="str">
        <f t="shared" si="6"/>
        <v>M3B5FALSE</v>
      </c>
      <c r="T380"/>
    </row>
    <row r="381" spans="1:20" ht="12.75" customHeight="1" x14ac:dyDescent="0.25">
      <c r="A381" t="s">
        <v>832</v>
      </c>
      <c r="B381" t="s">
        <v>832</v>
      </c>
      <c r="C381" s="32" t="str" cm="1">
        <f t="array" aca="1" ref="C381" ca="1">"'='" &amp; MID(CELL("address",INDIRECT(B381)),$K$2+1,100)</f>
        <v>'='CNPIs Health and Social'!$G$29</v>
      </c>
      <c r="D381" s="38">
        <f>M3B5mSubAbuseBaseline</f>
        <v>0</v>
      </c>
      <c r="E381" s="38" t="s">
        <v>493</v>
      </c>
      <c r="F381" s="110" t="s">
        <v>832</v>
      </c>
      <c r="I381" s="13" t="str">
        <f t="shared" si="6"/>
        <v>M3B5FALSE</v>
      </c>
      <c r="T381"/>
    </row>
    <row r="382" spans="1:20" ht="12.75" customHeight="1" x14ac:dyDescent="0.25">
      <c r="A382" t="s">
        <v>833</v>
      </c>
      <c r="B382" t="s">
        <v>833</v>
      </c>
      <c r="C382" s="32" t="str" cm="1">
        <f t="array" aca="1" ref="C382" ca="1">"'='" &amp; MID(CELL("address",INDIRECT(B382)),$K$2+1,100)</f>
        <v>'='CNPIs Health and Social'!$H$29</v>
      </c>
      <c r="D382" s="38">
        <f>M3B5mSubAbuseTarget</f>
        <v>0</v>
      </c>
      <c r="E382" s="38" t="s">
        <v>493</v>
      </c>
      <c r="F382" s="110" t="s">
        <v>833</v>
      </c>
      <c r="I382" s="13" t="str">
        <f t="shared" si="6"/>
        <v>M3B5FALSE</v>
      </c>
      <c r="T382"/>
    </row>
    <row r="383" spans="1:20" ht="12.75" customHeight="1" x14ac:dyDescent="0.25">
      <c r="A383" s="13" t="s">
        <v>1436</v>
      </c>
      <c r="B383" s="13" t="s">
        <v>1436</v>
      </c>
      <c r="C383" s="32" t="str" cm="1">
        <f t="array" aca="1" ref="C383" ca="1">"'='" &amp; MID(CELL("address",INDIRECT(B383)),$K$2+1,100)</f>
        <v>'='CNPIs Health and Social'!$I$29</v>
      </c>
      <c r="D383" s="38" t="str">
        <f>M3B5mSubAbuseExpectChng</f>
        <v/>
      </c>
      <c r="E383" s="38" t="s">
        <v>493</v>
      </c>
      <c r="F383" s="13" t="s">
        <v>1436</v>
      </c>
      <c r="I383" s="13" t="str">
        <f t="shared" si="6"/>
        <v>M3B5FALSE</v>
      </c>
      <c r="T383"/>
    </row>
    <row r="384" spans="1:20" ht="12.75" customHeight="1" x14ac:dyDescent="0.25">
      <c r="A384" t="s">
        <v>834</v>
      </c>
      <c r="B384" t="s">
        <v>834</v>
      </c>
      <c r="C384" s="32" t="str" cm="1">
        <f t="array" aca="1" ref="C384" ca="1">"'='" &amp; MID(CELL("address",INDIRECT(B384)),$K$2+1,100)</f>
        <v>'='CNPIs Health and Social'!$J$29</v>
      </c>
      <c r="D384" s="38">
        <f>M3B5mSubAbuseResults</f>
        <v>0</v>
      </c>
      <c r="E384" s="38" t="s">
        <v>493</v>
      </c>
      <c r="F384" s="110" t="s">
        <v>834</v>
      </c>
      <c r="I384" s="13" t="str">
        <f t="shared" si="6"/>
        <v>M3B5FALSE</v>
      </c>
      <c r="T384"/>
    </row>
    <row r="385" spans="1:20" ht="12.75" customHeight="1" x14ac:dyDescent="0.25">
      <c r="A385" s="13" t="s">
        <v>1437</v>
      </c>
      <c r="B385" s="13" t="s">
        <v>1437</v>
      </c>
      <c r="C385" s="32" t="str" cm="1">
        <f t="array" aca="1" ref="C385" ca="1">"'='" &amp; MID(CELL("address",INDIRECT(B385)),$K$2+1,100)</f>
        <v>'='CNPIs Health and Social'!$K$29</v>
      </c>
      <c r="D385" s="38" t="str">
        <f>M3B5mSubAbuseActualChng</f>
        <v/>
      </c>
      <c r="E385" s="38" t="s">
        <v>493</v>
      </c>
      <c r="F385" s="13" t="s">
        <v>1437</v>
      </c>
      <c r="I385" s="13" t="str">
        <f t="shared" si="6"/>
        <v>M3B5FALSE</v>
      </c>
      <c r="T385"/>
    </row>
    <row r="386" spans="1:20" ht="12.75" customHeight="1" x14ac:dyDescent="0.25">
      <c r="A386" s="13" t="s">
        <v>1438</v>
      </c>
      <c r="B386" s="13" t="s">
        <v>1438</v>
      </c>
      <c r="C386" s="32" t="str" cm="1">
        <f t="array" aca="1" ref="C386" ca="1">"'='" &amp; MID(CELL("address",INDIRECT(B386)),$K$2+1,100)</f>
        <v>'='CNPIs Health and Social'!$L$29</v>
      </c>
      <c r="D386" s="38" t="str">
        <f>M3B5mSubAbuseAccuracy</f>
        <v/>
      </c>
      <c r="E386" s="38" t="s">
        <v>493</v>
      </c>
      <c r="F386" s="13" t="s">
        <v>1438</v>
      </c>
      <c r="I386" s="13" t="str">
        <f t="shared" si="6"/>
        <v>M3B5FALSE</v>
      </c>
      <c r="T386"/>
    </row>
    <row r="387" spans="1:20" ht="12.75" customHeight="1" x14ac:dyDescent="0.25">
      <c r="A387" t="s">
        <v>835</v>
      </c>
      <c r="B387" t="s">
        <v>835</v>
      </c>
      <c r="C387" s="32" t="str" cm="1">
        <f t="array" aca="1" ref="C387" ca="1">"'='" &amp; MID(CELL("address",INDIRECT(B387)),$K$2+1,100)</f>
        <v>'='CNPIs Health and Social'!$G$30</v>
      </c>
      <c r="D387" s="38">
        <f>M3B5nDomViolenceBaseline</f>
        <v>0</v>
      </c>
      <c r="E387" s="38" t="s">
        <v>493</v>
      </c>
      <c r="F387" s="110" t="s">
        <v>835</v>
      </c>
      <c r="I387" s="13" t="str">
        <f t="shared" si="6"/>
        <v>M3B5FALSE</v>
      </c>
      <c r="T387"/>
    </row>
    <row r="388" spans="1:20" ht="12.75" customHeight="1" x14ac:dyDescent="0.25">
      <c r="A388" t="s">
        <v>836</v>
      </c>
      <c r="B388" t="s">
        <v>836</v>
      </c>
      <c r="C388" s="32" t="str" cm="1">
        <f t="array" aca="1" ref="C388" ca="1">"'='" &amp; MID(CELL("address",INDIRECT(B388)),$K$2+1,100)</f>
        <v>'='CNPIs Health and Social'!$H$30</v>
      </c>
      <c r="D388" s="38">
        <f>M3B5nDomViolenceTarget</f>
        <v>0</v>
      </c>
      <c r="E388" s="38" t="s">
        <v>493</v>
      </c>
      <c r="F388" s="110" t="s">
        <v>836</v>
      </c>
      <c r="I388" s="13" t="str">
        <f t="shared" si="6"/>
        <v>M3B5FALSE</v>
      </c>
      <c r="T388"/>
    </row>
    <row r="389" spans="1:20" ht="12.75" customHeight="1" x14ac:dyDescent="0.25">
      <c r="A389" s="13" t="s">
        <v>1439</v>
      </c>
      <c r="B389" s="13" t="s">
        <v>1439</v>
      </c>
      <c r="C389" s="32" t="str" cm="1">
        <f t="array" aca="1" ref="C389" ca="1">"'='" &amp; MID(CELL("address",INDIRECT(B389)),$K$2+1,100)</f>
        <v>'='CNPIs Health and Social'!$I$30</v>
      </c>
      <c r="D389" s="38" t="str">
        <f>M3B5nDomViolenceExpectChng</f>
        <v/>
      </c>
      <c r="E389" s="38" t="s">
        <v>493</v>
      </c>
      <c r="F389" s="13" t="s">
        <v>1439</v>
      </c>
      <c r="I389" s="13" t="str">
        <f t="shared" si="6"/>
        <v>M3B5FALSE</v>
      </c>
      <c r="T389"/>
    </row>
    <row r="390" spans="1:20" ht="12.75" customHeight="1" x14ac:dyDescent="0.25">
      <c r="A390" t="s">
        <v>837</v>
      </c>
      <c r="B390" t="s">
        <v>837</v>
      </c>
      <c r="C390" s="32" t="str" cm="1">
        <f t="array" aca="1" ref="C390" ca="1">"'='" &amp; MID(CELL("address",INDIRECT(B390)),$K$2+1,100)</f>
        <v>'='CNPIs Health and Social'!$J$30</v>
      </c>
      <c r="D390" s="38">
        <f>M3B5nDomViolenceResults</f>
        <v>0</v>
      </c>
      <c r="E390" s="38" t="s">
        <v>493</v>
      </c>
      <c r="F390" s="110" t="s">
        <v>837</v>
      </c>
      <c r="I390" s="13" t="str">
        <f t="shared" si="6"/>
        <v>M3B5FALSE</v>
      </c>
      <c r="T390"/>
    </row>
    <row r="391" spans="1:20" ht="12.75" customHeight="1" x14ac:dyDescent="0.25">
      <c r="A391" s="13" t="s">
        <v>1440</v>
      </c>
      <c r="B391" s="13" t="s">
        <v>1440</v>
      </c>
      <c r="C391" s="32" t="str" cm="1">
        <f t="array" aca="1" ref="C391" ca="1">"'='" &amp; MID(CELL("address",INDIRECT(B391)),$K$2+1,100)</f>
        <v>'='CNPIs Health and Social'!$K$30</v>
      </c>
      <c r="D391" s="38" t="str">
        <f>M3B5nDomViolenceActualChng</f>
        <v/>
      </c>
      <c r="E391" s="38" t="s">
        <v>493</v>
      </c>
      <c r="F391" s="13" t="s">
        <v>1440</v>
      </c>
      <c r="I391" s="13" t="str">
        <f t="shared" si="6"/>
        <v>M3B5FALSE</v>
      </c>
      <c r="T391"/>
    </row>
    <row r="392" spans="1:20" ht="12.75" customHeight="1" x14ac:dyDescent="0.25">
      <c r="A392" s="13" t="s">
        <v>1441</v>
      </c>
      <c r="B392" s="13" t="s">
        <v>1441</v>
      </c>
      <c r="C392" s="32" t="str" cm="1">
        <f t="array" aca="1" ref="C392" ca="1">"'='" &amp; MID(CELL("address",INDIRECT(B392)),$K$2+1,100)</f>
        <v>'='CNPIs Health and Social'!$L$30</v>
      </c>
      <c r="D392" s="38" t="str">
        <f>M3B5nDomViolenceAccuracy</f>
        <v/>
      </c>
      <c r="E392" s="38" t="s">
        <v>493</v>
      </c>
      <c r="F392" s="13" t="s">
        <v>1441</v>
      </c>
      <c r="I392" s="13" t="str">
        <f t="shared" si="6"/>
        <v>M3B5FALSE</v>
      </c>
      <c r="T392"/>
    </row>
    <row r="393" spans="1:20" ht="12.75" customHeight="1" x14ac:dyDescent="0.25">
      <c r="A393" t="s">
        <v>838</v>
      </c>
      <c r="B393" t="s">
        <v>838</v>
      </c>
      <c r="C393" s="32" t="str" cm="1">
        <f t="array" aca="1" ref="C393" ca="1">"'='" &amp; MID(CELL("address",INDIRECT(B393)),$K$2+1,100)</f>
        <v>'='CNPIs Health and Social'!$G$31</v>
      </c>
      <c r="D393" s="38">
        <f>M3B5oChildAbuseBaseline</f>
        <v>0</v>
      </c>
      <c r="E393" s="38" t="s">
        <v>493</v>
      </c>
      <c r="F393" s="110" t="s">
        <v>838</v>
      </c>
      <c r="I393" s="13" t="str">
        <f t="shared" si="6"/>
        <v>M3B5FALSE</v>
      </c>
      <c r="T393"/>
    </row>
    <row r="394" spans="1:20" ht="12.75" customHeight="1" x14ac:dyDescent="0.25">
      <c r="A394" t="s">
        <v>839</v>
      </c>
      <c r="B394" t="s">
        <v>839</v>
      </c>
      <c r="C394" s="32" t="str" cm="1">
        <f t="array" aca="1" ref="C394" ca="1">"'='" &amp; MID(CELL("address",INDIRECT(B394)),$K$2+1,100)</f>
        <v>'='CNPIs Health and Social'!$H$31</v>
      </c>
      <c r="D394" s="38">
        <f>M3B5oChildAbuseTarget</f>
        <v>0</v>
      </c>
      <c r="E394" s="38" t="s">
        <v>493</v>
      </c>
      <c r="F394" s="110" t="s">
        <v>839</v>
      </c>
      <c r="I394" s="13" t="str">
        <f t="shared" si="6"/>
        <v>M3B5FALSE</v>
      </c>
      <c r="T394"/>
    </row>
    <row r="395" spans="1:20" ht="12.75" customHeight="1" x14ac:dyDescent="0.25">
      <c r="A395" s="13" t="s">
        <v>1442</v>
      </c>
      <c r="B395" s="13" t="s">
        <v>1442</v>
      </c>
      <c r="C395" s="32" t="str" cm="1">
        <f t="array" aca="1" ref="C395" ca="1">"'='" &amp; MID(CELL("address",INDIRECT(B395)),$K$2+1,100)</f>
        <v>'='CNPIs Health and Social'!$I$31</v>
      </c>
      <c r="D395" s="38" t="str">
        <f>M3B5oChildAbuseExpectChng</f>
        <v/>
      </c>
      <c r="E395" s="38" t="s">
        <v>493</v>
      </c>
      <c r="F395" s="13" t="s">
        <v>1442</v>
      </c>
      <c r="I395" s="13" t="str">
        <f t="shared" si="6"/>
        <v>M3B5FALSE</v>
      </c>
      <c r="T395"/>
    </row>
    <row r="396" spans="1:20" ht="12.75" customHeight="1" x14ac:dyDescent="0.25">
      <c r="A396" t="s">
        <v>840</v>
      </c>
      <c r="B396" t="s">
        <v>840</v>
      </c>
      <c r="C396" s="32" t="str" cm="1">
        <f t="array" aca="1" ref="C396" ca="1">"'='" &amp; MID(CELL("address",INDIRECT(B396)),$K$2+1,100)</f>
        <v>'='CNPIs Health and Social'!$J$31</v>
      </c>
      <c r="D396" s="38">
        <f>M3B5oChildAbuseResults</f>
        <v>0</v>
      </c>
      <c r="E396" s="38" t="s">
        <v>493</v>
      </c>
      <c r="F396" s="110" t="s">
        <v>840</v>
      </c>
      <c r="I396" s="13" t="str">
        <f t="shared" si="6"/>
        <v>M3B5FALSE</v>
      </c>
      <c r="T396"/>
    </row>
    <row r="397" spans="1:20" ht="12.75" customHeight="1" x14ac:dyDescent="0.25">
      <c r="A397" s="13" t="s">
        <v>1443</v>
      </c>
      <c r="B397" s="13" t="s">
        <v>1443</v>
      </c>
      <c r="C397" s="32" t="str" cm="1">
        <f t="array" aca="1" ref="C397" ca="1">"'='" &amp; MID(CELL("address",INDIRECT(B397)),$K$2+1,100)</f>
        <v>'='CNPIs Health and Social'!$K$31</v>
      </c>
      <c r="D397" s="38" t="str">
        <f>M3B5oChildAbuseActualChng</f>
        <v/>
      </c>
      <c r="E397" s="38" t="s">
        <v>493</v>
      </c>
      <c r="F397" s="13" t="s">
        <v>1443</v>
      </c>
      <c r="I397" s="13" t="str">
        <f t="shared" si="6"/>
        <v>M3B5FALSE</v>
      </c>
      <c r="T397"/>
    </row>
    <row r="398" spans="1:20" ht="12.75" customHeight="1" x14ac:dyDescent="0.25">
      <c r="A398" s="13" t="s">
        <v>1444</v>
      </c>
      <c r="B398" s="13" t="s">
        <v>1444</v>
      </c>
      <c r="C398" s="32" t="str" cm="1">
        <f t="array" aca="1" ref="C398" ca="1">"'='" &amp; MID(CELL("address",INDIRECT(B398)),$K$2+1,100)</f>
        <v>'='CNPIs Health and Social'!$L$31</v>
      </c>
      <c r="D398" s="38" t="str">
        <f>M3B5oChildAbuseAccuracy</f>
        <v/>
      </c>
      <c r="E398" s="38" t="s">
        <v>493</v>
      </c>
      <c r="F398" s="13" t="s">
        <v>1444</v>
      </c>
      <c r="I398" s="13" t="str">
        <f t="shared" si="6"/>
        <v>M3B5FALSE</v>
      </c>
      <c r="T398"/>
    </row>
    <row r="399" spans="1:20" ht="12.75" customHeight="1" x14ac:dyDescent="0.25">
      <c r="A399" t="s">
        <v>841</v>
      </c>
      <c r="B399" t="s">
        <v>841</v>
      </c>
      <c r="C399" s="32" t="str" cm="1">
        <f t="array" aca="1" ref="C399" ca="1">"'='" &amp; MID(CELL("address",INDIRECT(B399)),$K$2+1,100)</f>
        <v>'='CNPIs Health and Social'!$G$32</v>
      </c>
      <c r="D399" s="38">
        <f>M3B5pChildNeglectBaseline</f>
        <v>0</v>
      </c>
      <c r="E399" s="38" t="s">
        <v>493</v>
      </c>
      <c r="F399" s="110" t="s">
        <v>841</v>
      </c>
      <c r="I399" s="13" t="str">
        <f t="shared" si="6"/>
        <v>M3B5FALSE</v>
      </c>
      <c r="T399"/>
    </row>
    <row r="400" spans="1:20" ht="12.75" customHeight="1" x14ac:dyDescent="0.25">
      <c r="A400" t="s">
        <v>842</v>
      </c>
      <c r="B400" t="s">
        <v>842</v>
      </c>
      <c r="C400" s="32" t="str" cm="1">
        <f t="array" aca="1" ref="C400" ca="1">"'='" &amp; MID(CELL("address",INDIRECT(B400)),$K$2+1,100)</f>
        <v>'='CNPIs Health and Social'!$H$32</v>
      </c>
      <c r="D400" s="38">
        <f>M3B5pChildNeglectTarget</f>
        <v>0</v>
      </c>
      <c r="E400" s="38" t="s">
        <v>493</v>
      </c>
      <c r="F400" s="110" t="s">
        <v>842</v>
      </c>
      <c r="I400" s="13" t="str">
        <f t="shared" si="6"/>
        <v>M3B5FALSE</v>
      </c>
      <c r="T400"/>
    </row>
    <row r="401" spans="1:20" ht="12.75" customHeight="1" x14ac:dyDescent="0.25">
      <c r="A401" s="13" t="s">
        <v>1445</v>
      </c>
      <c r="B401" s="13" t="s">
        <v>1445</v>
      </c>
      <c r="C401" s="32" t="str" cm="1">
        <f t="array" aca="1" ref="C401" ca="1">"'='" &amp; MID(CELL("address",INDIRECT(B401)),$K$2+1,100)</f>
        <v>'='CNPIs Health and Social'!$I$32</v>
      </c>
      <c r="D401" s="38" t="str">
        <f>M3B5pChildNeglectExpectChng</f>
        <v/>
      </c>
      <c r="E401" s="38" t="s">
        <v>493</v>
      </c>
      <c r="F401" s="13" t="s">
        <v>1445</v>
      </c>
      <c r="I401" s="13" t="str">
        <f t="shared" si="6"/>
        <v>M3B5FALSE</v>
      </c>
      <c r="T401"/>
    </row>
    <row r="402" spans="1:20" ht="12.75" customHeight="1" x14ac:dyDescent="0.25">
      <c r="A402" t="s">
        <v>843</v>
      </c>
      <c r="B402" t="s">
        <v>843</v>
      </c>
      <c r="C402" s="32" t="str" cm="1">
        <f t="array" aca="1" ref="C402" ca="1">"'='" &amp; MID(CELL("address",INDIRECT(B402)),$K$2+1,100)</f>
        <v>'='CNPIs Health and Social'!$J$32</v>
      </c>
      <c r="D402" s="38">
        <f>M3B5pChildNeglectResults</f>
        <v>0</v>
      </c>
      <c r="E402" s="38" t="s">
        <v>493</v>
      </c>
      <c r="F402" s="110" t="s">
        <v>843</v>
      </c>
      <c r="I402" s="13" t="str">
        <f t="shared" si="6"/>
        <v>M3B5FALSE</v>
      </c>
      <c r="T402"/>
    </row>
    <row r="403" spans="1:20" ht="12.75" customHeight="1" x14ac:dyDescent="0.25">
      <c r="A403" s="13" t="s">
        <v>1446</v>
      </c>
      <c r="B403" s="13" t="s">
        <v>1446</v>
      </c>
      <c r="C403" s="32" t="str" cm="1">
        <f t="array" aca="1" ref="C403" ca="1">"'='" &amp; MID(CELL("address",INDIRECT(B403)),$K$2+1,100)</f>
        <v>'='CNPIs Health and Social'!$K$32</v>
      </c>
      <c r="D403" s="38" t="str">
        <f>M3B5pChildNeglectActualChng</f>
        <v/>
      </c>
      <c r="E403" s="38" t="s">
        <v>493</v>
      </c>
      <c r="F403" s="13" t="s">
        <v>1446</v>
      </c>
      <c r="I403" s="13" t="str">
        <f t="shared" si="6"/>
        <v>M3B5FALSE</v>
      </c>
      <c r="T403"/>
    </row>
    <row r="404" spans="1:20" ht="12.75" customHeight="1" x14ac:dyDescent="0.25">
      <c r="A404" s="13" t="s">
        <v>1447</v>
      </c>
      <c r="B404" s="13" t="s">
        <v>1447</v>
      </c>
      <c r="C404" s="32" t="str" cm="1">
        <f t="array" aca="1" ref="C404" ca="1">"'='" &amp; MID(CELL("address",INDIRECT(B404)),$K$2+1,100)</f>
        <v>'='CNPIs Health and Social'!$L$32</v>
      </c>
      <c r="D404" s="38" t="str">
        <f>M3B5pChildNeglectAccuracy</f>
        <v/>
      </c>
      <c r="E404" s="38" t="s">
        <v>493</v>
      </c>
      <c r="F404" s="13" t="s">
        <v>1447</v>
      </c>
      <c r="I404" s="13" t="str">
        <f t="shared" si="6"/>
        <v>M3B5FALSE</v>
      </c>
      <c r="T404"/>
    </row>
    <row r="405" spans="1:20" ht="12.75" customHeight="1" x14ac:dyDescent="0.25">
      <c r="A405" t="s">
        <v>844</v>
      </c>
      <c r="B405" t="s">
        <v>844</v>
      </c>
      <c r="C405" s="32" t="str" cm="1">
        <f t="array" aca="1" ref="C405" ca="1">"'='" &amp; MID(CELL("address",INDIRECT(B405)),$K$2+1,100)</f>
        <v>'='CNPIs Health and Social'!$G$33</v>
      </c>
      <c r="D405" s="38">
        <f>M3B5qElderAbuseBaseline</f>
        <v>0</v>
      </c>
      <c r="E405" s="38" t="s">
        <v>493</v>
      </c>
      <c r="F405" s="110" t="s">
        <v>844</v>
      </c>
      <c r="I405" s="13" t="str">
        <f t="shared" si="6"/>
        <v>M3B5FALSE</v>
      </c>
      <c r="T405"/>
    </row>
    <row r="406" spans="1:20" ht="12.75" customHeight="1" x14ac:dyDescent="0.25">
      <c r="A406" t="s">
        <v>845</v>
      </c>
      <c r="B406" t="s">
        <v>845</v>
      </c>
      <c r="C406" s="32" t="str" cm="1">
        <f t="array" aca="1" ref="C406" ca="1">"'='" &amp; MID(CELL("address",INDIRECT(B406)),$K$2+1,100)</f>
        <v>'='CNPIs Health and Social'!$H$33</v>
      </c>
      <c r="D406" s="38">
        <f>M3B5qElderAbuseTarget</f>
        <v>0</v>
      </c>
      <c r="E406" s="38" t="s">
        <v>493</v>
      </c>
      <c r="F406" s="110" t="s">
        <v>845</v>
      </c>
      <c r="I406" s="13" t="str">
        <f t="shared" si="6"/>
        <v>M3B5FALSE</v>
      </c>
      <c r="T406"/>
    </row>
    <row r="407" spans="1:20" ht="12.75" customHeight="1" x14ac:dyDescent="0.25">
      <c r="A407" s="13" t="s">
        <v>1448</v>
      </c>
      <c r="B407" s="13" t="s">
        <v>1448</v>
      </c>
      <c r="C407" s="32" t="str" cm="1">
        <f t="array" aca="1" ref="C407" ca="1">"'='" &amp; MID(CELL("address",INDIRECT(B407)),$K$2+1,100)</f>
        <v>'='CNPIs Health and Social'!$I$33</v>
      </c>
      <c r="D407" s="38" t="str">
        <f>M3B5qElderAbuseExpectChng</f>
        <v/>
      </c>
      <c r="E407" s="38" t="s">
        <v>493</v>
      </c>
      <c r="F407" s="13" t="s">
        <v>1448</v>
      </c>
      <c r="I407" s="13" t="str">
        <f t="shared" si="6"/>
        <v>M3B5FALSE</v>
      </c>
      <c r="T407"/>
    </row>
    <row r="408" spans="1:20" ht="12.75" customHeight="1" x14ac:dyDescent="0.25">
      <c r="A408" t="s">
        <v>846</v>
      </c>
      <c r="B408" t="s">
        <v>846</v>
      </c>
      <c r="C408" s="32" t="str" cm="1">
        <f t="array" aca="1" ref="C408" ca="1">"'='" &amp; MID(CELL("address",INDIRECT(B408)),$K$2+1,100)</f>
        <v>'='CNPIs Health and Social'!$J$33</v>
      </c>
      <c r="D408" s="38">
        <f>M3B5qElderAbuseResults</f>
        <v>0</v>
      </c>
      <c r="E408" s="38" t="s">
        <v>493</v>
      </c>
      <c r="F408" s="110" t="s">
        <v>846</v>
      </c>
      <c r="I408" s="13" t="str">
        <f t="shared" si="6"/>
        <v>M3B5FALSE</v>
      </c>
      <c r="T408"/>
    </row>
    <row r="409" spans="1:20" ht="12.75" customHeight="1" x14ac:dyDescent="0.25">
      <c r="A409" s="13" t="s">
        <v>1449</v>
      </c>
      <c r="B409" s="13" t="s">
        <v>1449</v>
      </c>
      <c r="C409" s="32" t="str" cm="1">
        <f t="array" aca="1" ref="C409" ca="1">"'='" &amp; MID(CELL("address",INDIRECT(B409)),$K$2+1,100)</f>
        <v>'='CNPIs Health and Social'!$K$33</v>
      </c>
      <c r="D409" s="38" t="str">
        <f>M3B5qElderAbuseActualChng</f>
        <v/>
      </c>
      <c r="E409" s="38" t="s">
        <v>493</v>
      </c>
      <c r="F409" s="13" t="s">
        <v>1449</v>
      </c>
      <c r="I409" s="13" t="str">
        <f t="shared" si="6"/>
        <v>M3B5FALSE</v>
      </c>
      <c r="T409"/>
    </row>
    <row r="410" spans="1:20" ht="12.75" customHeight="1" x14ac:dyDescent="0.25">
      <c r="A410" s="13" t="s">
        <v>1450</v>
      </c>
      <c r="B410" s="13" t="s">
        <v>1450</v>
      </c>
      <c r="C410" s="32" t="str" cm="1">
        <f t="array" aca="1" ref="C410" ca="1">"'='" &amp; MID(CELL("address",INDIRECT(B410)),$K$2+1,100)</f>
        <v>'='CNPIs Health and Social'!$L$33</v>
      </c>
      <c r="D410" s="38" t="str">
        <f>M3B5qElderAbuseAccuracy</f>
        <v/>
      </c>
      <c r="E410" s="38" t="s">
        <v>493</v>
      </c>
      <c r="F410" s="13" t="s">
        <v>1450</v>
      </c>
      <c r="I410" s="13" t="str">
        <f t="shared" si="6"/>
        <v>M3B5FALSE</v>
      </c>
      <c r="T410"/>
    </row>
    <row r="411" spans="1:20" ht="12.75" customHeight="1" x14ac:dyDescent="0.25">
      <c r="A411" t="s">
        <v>847</v>
      </c>
      <c r="B411" t="s">
        <v>847</v>
      </c>
      <c r="C411" s="32" t="str" cm="1">
        <f t="array" aca="1" ref="C411" ca="1">"'='" &amp; MID(CELL("address",INDIRECT(B411)),$K$2+1,100)</f>
        <v>'='CNPIs Health and Social'!$G$34</v>
      </c>
      <c r="D411" s="38">
        <f>M3B5rElderNeglectBaseline</f>
        <v>0</v>
      </c>
      <c r="E411" s="38" t="s">
        <v>493</v>
      </c>
      <c r="F411" s="110" t="s">
        <v>847</v>
      </c>
      <c r="I411" s="13" t="str">
        <f t="shared" si="6"/>
        <v>M3B5FALSE</v>
      </c>
      <c r="T411"/>
    </row>
    <row r="412" spans="1:20" ht="12.75" customHeight="1" x14ac:dyDescent="0.25">
      <c r="A412" t="s">
        <v>848</v>
      </c>
      <c r="B412" t="s">
        <v>848</v>
      </c>
      <c r="C412" s="32" t="str" cm="1">
        <f t="array" aca="1" ref="C412" ca="1">"'='" &amp; MID(CELL("address",INDIRECT(B412)),$K$2+1,100)</f>
        <v>'='CNPIs Health and Social'!$H$34</v>
      </c>
      <c r="D412" s="38">
        <f>M3B5rElderNeglectTarget</f>
        <v>0</v>
      </c>
      <c r="E412" s="38" t="s">
        <v>493</v>
      </c>
      <c r="F412" s="110" t="s">
        <v>848</v>
      </c>
      <c r="I412" s="13" t="str">
        <f t="shared" si="6"/>
        <v>M3B5FALSE</v>
      </c>
      <c r="T412"/>
    </row>
    <row r="413" spans="1:20" ht="12.75" customHeight="1" x14ac:dyDescent="0.25">
      <c r="A413" s="13" t="s">
        <v>1451</v>
      </c>
      <c r="B413" s="13" t="s">
        <v>1451</v>
      </c>
      <c r="C413" s="32" t="str" cm="1">
        <f t="array" aca="1" ref="C413" ca="1">"'='" &amp; MID(CELL("address",INDIRECT(B413)),$K$2+1,100)</f>
        <v>'='CNPIs Health and Social'!$I$34</v>
      </c>
      <c r="D413" s="38" t="str">
        <f>M3B5rElderNeglectExpectChng</f>
        <v/>
      </c>
      <c r="E413" s="38" t="s">
        <v>493</v>
      </c>
      <c r="F413" s="13" t="s">
        <v>1451</v>
      </c>
      <c r="I413" s="13" t="str">
        <f t="shared" si="6"/>
        <v>M3B5FALSE</v>
      </c>
      <c r="T413"/>
    </row>
    <row r="414" spans="1:20" ht="12.75" customHeight="1" x14ac:dyDescent="0.25">
      <c r="A414" t="s">
        <v>849</v>
      </c>
      <c r="B414" t="s">
        <v>849</v>
      </c>
      <c r="C414" s="32" t="str" cm="1">
        <f t="array" aca="1" ref="C414" ca="1">"'='" &amp; MID(CELL("address",INDIRECT(B414)),$K$2+1,100)</f>
        <v>'='CNPIs Health and Social'!$J$34</v>
      </c>
      <c r="D414" s="38">
        <f>M3B5rElderNeglectResults</f>
        <v>0</v>
      </c>
      <c r="E414" s="38" t="s">
        <v>493</v>
      </c>
      <c r="F414" s="110" t="s">
        <v>849</v>
      </c>
      <c r="I414" s="13" t="str">
        <f t="shared" si="6"/>
        <v>M3B5FALSE</v>
      </c>
      <c r="T414"/>
    </row>
    <row r="415" spans="1:20" ht="12.75" customHeight="1" x14ac:dyDescent="0.25">
      <c r="A415" s="13" t="s">
        <v>1452</v>
      </c>
      <c r="B415" s="13" t="s">
        <v>1452</v>
      </c>
      <c r="C415" s="32" t="str" cm="1">
        <f t="array" aca="1" ref="C415" ca="1">"'='" &amp; MID(CELL("address",INDIRECT(B415)),$K$2+1,100)</f>
        <v>'='CNPIs Health and Social'!$K$34</v>
      </c>
      <c r="D415" s="38" t="str">
        <f>M3B5rElderNeglectActualChng</f>
        <v/>
      </c>
      <c r="E415" s="38" t="s">
        <v>493</v>
      </c>
      <c r="F415" s="13" t="s">
        <v>1452</v>
      </c>
      <c r="I415" s="13" t="str">
        <f t="shared" si="6"/>
        <v>M3B5FALSE</v>
      </c>
      <c r="T415"/>
    </row>
    <row r="416" spans="1:20" ht="12.75" customHeight="1" x14ac:dyDescent="0.25">
      <c r="A416" s="13" t="s">
        <v>1453</v>
      </c>
      <c r="B416" s="13" t="s">
        <v>1453</v>
      </c>
      <c r="C416" s="32" t="str" cm="1">
        <f t="array" aca="1" ref="C416" ca="1">"'='" &amp; MID(CELL("address",INDIRECT(B416)),$K$2+1,100)</f>
        <v>'='CNPIs Health and Social'!$L$34</v>
      </c>
      <c r="D416" s="38" t="str">
        <f>M3B5rElderNeglectAccuracy</f>
        <v/>
      </c>
      <c r="E416" s="38" t="s">
        <v>493</v>
      </c>
      <c r="F416" s="13" t="s">
        <v>1453</v>
      </c>
      <c r="I416" s="13" t="str">
        <f t="shared" si="6"/>
        <v>M3B5FALSE</v>
      </c>
      <c r="T416"/>
    </row>
    <row r="417" spans="1:20" ht="12.75" customHeight="1" x14ac:dyDescent="0.25">
      <c r="A417" t="s">
        <v>850</v>
      </c>
      <c r="B417" t="s">
        <v>850</v>
      </c>
      <c r="C417" s="32" t="str" cm="1">
        <f t="array" aca="1" ref="C417" ca="1">"'='" &amp; MID(CELL("address",INDIRECT(B417)),$K$2+1,100)</f>
        <v>'='CNPIs Health and Social'!$G$37</v>
      </c>
      <c r="D417" s="38">
        <f>M3B5sRecidivismBaseline</f>
        <v>0</v>
      </c>
      <c r="E417" s="38" t="s">
        <v>493</v>
      </c>
      <c r="F417" s="110" t="s">
        <v>850</v>
      </c>
      <c r="I417" s="13" t="str">
        <f t="shared" si="6"/>
        <v>M3B5FALSE</v>
      </c>
      <c r="T417"/>
    </row>
    <row r="418" spans="1:20" ht="12.75" customHeight="1" x14ac:dyDescent="0.25">
      <c r="A418" t="s">
        <v>851</v>
      </c>
      <c r="B418" t="s">
        <v>851</v>
      </c>
      <c r="C418" s="32" t="str" cm="1">
        <f t="array" aca="1" ref="C418" ca="1">"'='" &amp; MID(CELL("address",INDIRECT(B418)),$K$2+1,100)</f>
        <v>'='CNPIs Health and Social'!$H$37</v>
      </c>
      <c r="D418" s="38">
        <f>M3B5sRecidivismTarget</f>
        <v>0</v>
      </c>
      <c r="E418" s="38" t="s">
        <v>493</v>
      </c>
      <c r="F418" s="110" t="s">
        <v>851</v>
      </c>
      <c r="I418" s="13" t="str">
        <f t="shared" si="6"/>
        <v>M3B5FALSE</v>
      </c>
      <c r="T418"/>
    </row>
    <row r="419" spans="1:20" ht="12.75" customHeight="1" x14ac:dyDescent="0.25">
      <c r="A419" s="13" t="s">
        <v>1454</v>
      </c>
      <c r="B419" s="13" t="s">
        <v>1454</v>
      </c>
      <c r="C419" s="32" t="str" cm="1">
        <f t="array" aca="1" ref="C419" ca="1">"'='" &amp; MID(CELL("address",INDIRECT(B419)),$K$2+1,100)</f>
        <v>'='CNPIs Health and Social'!$I$37</v>
      </c>
      <c r="D419" s="38" t="str">
        <f>M3B5sRecidivismExpectChng</f>
        <v/>
      </c>
      <c r="E419" s="38" t="s">
        <v>493</v>
      </c>
      <c r="F419" s="13" t="s">
        <v>1454</v>
      </c>
      <c r="I419" s="13" t="str">
        <f t="shared" si="6"/>
        <v>M3B5FALSE</v>
      </c>
      <c r="T419"/>
    </row>
    <row r="420" spans="1:20" ht="12.75" customHeight="1" x14ac:dyDescent="0.25">
      <c r="A420" t="s">
        <v>852</v>
      </c>
      <c r="B420" t="s">
        <v>852</v>
      </c>
      <c r="C420" s="32" t="str" cm="1">
        <f t="array" aca="1" ref="C420" ca="1">"'='" &amp; MID(CELL("address",INDIRECT(B420)),$K$2+1,100)</f>
        <v>'='CNPIs Health and Social'!$J$37</v>
      </c>
      <c r="D420" s="38">
        <f>M3B5sRecidivismResults</f>
        <v>0</v>
      </c>
      <c r="E420" s="38" t="s">
        <v>493</v>
      </c>
      <c r="F420" s="110" t="s">
        <v>852</v>
      </c>
      <c r="I420" s="13" t="str">
        <f t="shared" si="6"/>
        <v>M3B5FALSE</v>
      </c>
      <c r="T420"/>
    </row>
    <row r="421" spans="1:20" ht="12.75" customHeight="1" x14ac:dyDescent="0.25">
      <c r="A421" s="13" t="s">
        <v>1455</v>
      </c>
      <c r="B421" s="13" t="s">
        <v>1455</v>
      </c>
      <c r="C421" s="32" t="str" cm="1">
        <f t="array" aca="1" ref="C421" ca="1">"'='" &amp; MID(CELL("address",INDIRECT(B421)),$K$2+1,100)</f>
        <v>'='CNPIs Health and Social'!$K$37</v>
      </c>
      <c r="D421" s="38" t="str">
        <f>M3B5sRecidivismActualChng</f>
        <v/>
      </c>
      <c r="E421" s="38" t="s">
        <v>493</v>
      </c>
      <c r="F421" s="13" t="s">
        <v>1455</v>
      </c>
      <c r="I421" s="13" t="str">
        <f t="shared" si="6"/>
        <v>M3B5FALSE</v>
      </c>
      <c r="T421"/>
    </row>
    <row r="422" spans="1:20" ht="12.75" customHeight="1" x14ac:dyDescent="0.25">
      <c r="A422" s="13" t="s">
        <v>1456</v>
      </c>
      <c r="B422" s="13" t="s">
        <v>1456</v>
      </c>
      <c r="C422" s="32" t="str" cm="1">
        <f t="array" aca="1" ref="C422" ca="1">"'='" &amp; MID(CELL("address",INDIRECT(B422)),$K$2+1,100)</f>
        <v>'='CNPIs Health and Social'!$L$37</v>
      </c>
      <c r="D422" s="38" t="str">
        <f>M3B5sRecidivismAccuracy</f>
        <v/>
      </c>
      <c r="E422" s="38" t="s">
        <v>493</v>
      </c>
      <c r="F422" s="13" t="s">
        <v>1456</v>
      </c>
      <c r="I422" s="13" t="str">
        <f t="shared" si="6"/>
        <v>M3B5FALSE</v>
      </c>
      <c r="T422"/>
    </row>
    <row r="423" spans="1:20" ht="12.75" customHeight="1" x14ac:dyDescent="0.25">
      <c r="A423" t="s">
        <v>853</v>
      </c>
      <c r="B423" t="s">
        <v>853</v>
      </c>
      <c r="C423" s="32" t="str" cm="1">
        <f t="array" aca="1" ref="C423" ca="1">"'='" &amp; MID(CELL("address",INDIRECT(B423)),$K$2+1,100)</f>
        <v>'='CNPIs Health and Social'!$G$38</v>
      </c>
      <c r="D423" s="38">
        <f>M3B5tNonViolCrimeBaseline</f>
        <v>0</v>
      </c>
      <c r="E423" s="38" t="s">
        <v>493</v>
      </c>
      <c r="F423" s="110" t="s">
        <v>853</v>
      </c>
      <c r="I423" s="13" t="str">
        <f t="shared" si="6"/>
        <v>M3B5FALSE</v>
      </c>
      <c r="T423"/>
    </row>
    <row r="424" spans="1:20" ht="12.75" customHeight="1" x14ac:dyDescent="0.25">
      <c r="A424" t="s">
        <v>854</v>
      </c>
      <c r="B424" t="s">
        <v>854</v>
      </c>
      <c r="C424" s="32" t="str" cm="1">
        <f t="array" aca="1" ref="C424" ca="1">"'='" &amp; MID(CELL("address",INDIRECT(B424)),$K$2+1,100)</f>
        <v>'='CNPIs Health and Social'!$H$38</v>
      </c>
      <c r="D424" s="38">
        <f>M3B5tNonViolCrimeTarget</f>
        <v>0</v>
      </c>
      <c r="E424" s="38" t="s">
        <v>493</v>
      </c>
      <c r="F424" s="110" t="s">
        <v>854</v>
      </c>
      <c r="I424" s="13" t="str">
        <f t="shared" si="6"/>
        <v>M3B5FALSE</v>
      </c>
      <c r="T424"/>
    </row>
    <row r="425" spans="1:20" ht="12.75" customHeight="1" x14ac:dyDescent="0.25">
      <c r="A425" s="13" t="s">
        <v>1457</v>
      </c>
      <c r="B425" s="13" t="s">
        <v>1457</v>
      </c>
      <c r="C425" s="32" t="str" cm="1">
        <f t="array" aca="1" ref="C425" ca="1">"'='" &amp; MID(CELL("address",INDIRECT(B425)),$K$2+1,100)</f>
        <v>'='CNPIs Health and Social'!$I$38</v>
      </c>
      <c r="D425" s="38" t="str">
        <f>M3B5tNonViolCrimeExpectChng</f>
        <v/>
      </c>
      <c r="E425" s="38" t="s">
        <v>493</v>
      </c>
      <c r="F425" s="13" t="s">
        <v>1457</v>
      </c>
      <c r="I425" s="13" t="str">
        <f t="shared" si="6"/>
        <v>M3B5FALSE</v>
      </c>
      <c r="T425"/>
    </row>
    <row r="426" spans="1:20" ht="12.75" customHeight="1" x14ac:dyDescent="0.25">
      <c r="A426" t="s">
        <v>855</v>
      </c>
      <c r="B426" t="s">
        <v>855</v>
      </c>
      <c r="C426" s="32" t="str" cm="1">
        <f t="array" aca="1" ref="C426" ca="1">"'='" &amp; MID(CELL("address",INDIRECT(B426)),$K$2+1,100)</f>
        <v>'='CNPIs Health and Social'!$J$38</v>
      </c>
      <c r="D426" s="38">
        <f>M3B5tNonViolCrimeResults</f>
        <v>0</v>
      </c>
      <c r="E426" s="38" t="s">
        <v>493</v>
      </c>
      <c r="F426" s="110" t="s">
        <v>855</v>
      </c>
      <c r="I426" s="13" t="str">
        <f t="shared" ref="I426:I489" si="7">LEFT(A426,4) &amp; AND(D426&lt;&gt;"",D426&lt;&gt;0)</f>
        <v>M3B5FALSE</v>
      </c>
      <c r="T426"/>
    </row>
    <row r="427" spans="1:20" ht="12.75" customHeight="1" x14ac:dyDescent="0.25">
      <c r="A427" s="13" t="s">
        <v>1458</v>
      </c>
      <c r="B427" s="13" t="s">
        <v>1458</v>
      </c>
      <c r="C427" s="32" t="str" cm="1">
        <f t="array" aca="1" ref="C427" ca="1">"'='" &amp; MID(CELL("address",INDIRECT(B427)),$K$2+1,100)</f>
        <v>'='CNPIs Health and Social'!$K$38</v>
      </c>
      <c r="D427" s="38" t="str">
        <f>M3B5tNonViolCrimeActualChng</f>
        <v/>
      </c>
      <c r="E427" s="38" t="s">
        <v>493</v>
      </c>
      <c r="F427" s="13" t="s">
        <v>1458</v>
      </c>
      <c r="I427" s="13" t="str">
        <f t="shared" si="7"/>
        <v>M3B5FALSE</v>
      </c>
      <c r="T427"/>
    </row>
    <row r="428" spans="1:20" ht="12.75" customHeight="1" x14ac:dyDescent="0.25">
      <c r="A428" s="13" t="s">
        <v>1459</v>
      </c>
      <c r="B428" s="13" t="s">
        <v>1459</v>
      </c>
      <c r="C428" s="32" t="str" cm="1">
        <f t="array" aca="1" ref="C428" ca="1">"'='" &amp; MID(CELL("address",INDIRECT(B428)),$K$2+1,100)</f>
        <v>'='CNPIs Health and Social'!$L$38</v>
      </c>
      <c r="D428" s="38" t="str">
        <f>M3B5tNonViolCrimeAccuracy</f>
        <v/>
      </c>
      <c r="E428" s="38" t="s">
        <v>493</v>
      </c>
      <c r="F428" s="13" t="s">
        <v>1459</v>
      </c>
      <c r="I428" s="13" t="str">
        <f t="shared" si="7"/>
        <v>M3B5FALSE</v>
      </c>
      <c r="T428"/>
    </row>
    <row r="429" spans="1:20" ht="12.75" customHeight="1" x14ac:dyDescent="0.25">
      <c r="A429" t="s">
        <v>856</v>
      </c>
      <c r="B429" t="s">
        <v>856</v>
      </c>
      <c r="C429" s="32" t="str" cm="1">
        <f t="array" aca="1" ref="C429" ca="1">"'='" &amp; MID(CELL("address",INDIRECT(B429)),$K$2+1,100)</f>
        <v>'='CNPIs Health and Social'!$G$39</v>
      </c>
      <c r="D429" s="38">
        <f>M3B5uViolCrimeBaseline</f>
        <v>0</v>
      </c>
      <c r="E429" s="38" t="s">
        <v>493</v>
      </c>
      <c r="F429" s="110" t="s">
        <v>856</v>
      </c>
      <c r="I429" s="13" t="str">
        <f t="shared" si="7"/>
        <v>M3B5FALSE</v>
      </c>
      <c r="T429"/>
    </row>
    <row r="430" spans="1:20" ht="12.75" customHeight="1" x14ac:dyDescent="0.25">
      <c r="A430" t="s">
        <v>857</v>
      </c>
      <c r="B430" t="s">
        <v>857</v>
      </c>
      <c r="C430" s="32" t="str" cm="1">
        <f t="array" aca="1" ref="C430" ca="1">"'='" &amp; MID(CELL("address",INDIRECT(B430)),$K$2+1,100)</f>
        <v>'='CNPIs Health and Social'!$H$39</v>
      </c>
      <c r="D430" s="38">
        <f>M3B5uViolCrimeTarget</f>
        <v>0</v>
      </c>
      <c r="E430" s="38" t="s">
        <v>493</v>
      </c>
      <c r="F430" s="110" t="s">
        <v>857</v>
      </c>
      <c r="I430" s="13" t="str">
        <f t="shared" si="7"/>
        <v>M3B5FALSE</v>
      </c>
      <c r="T430"/>
    </row>
    <row r="431" spans="1:20" ht="12.75" customHeight="1" x14ac:dyDescent="0.25">
      <c r="A431" s="13" t="s">
        <v>1460</v>
      </c>
      <c r="B431" s="13" t="s">
        <v>1460</v>
      </c>
      <c r="C431" s="32" t="str" cm="1">
        <f t="array" aca="1" ref="C431" ca="1">"'='" &amp; MID(CELL("address",INDIRECT(B431)),$K$2+1,100)</f>
        <v>'='CNPIs Health and Social'!$I$39</v>
      </c>
      <c r="D431" s="38" t="str">
        <f>M3B5uViolCrimeExpectChng</f>
        <v/>
      </c>
      <c r="E431" s="38" t="s">
        <v>493</v>
      </c>
      <c r="F431" s="13" t="s">
        <v>1460</v>
      </c>
      <c r="I431" s="13" t="str">
        <f t="shared" si="7"/>
        <v>M3B5FALSE</v>
      </c>
      <c r="T431"/>
    </row>
    <row r="432" spans="1:20" ht="12.75" customHeight="1" x14ac:dyDescent="0.25">
      <c r="A432" t="s">
        <v>858</v>
      </c>
      <c r="B432" t="s">
        <v>858</v>
      </c>
      <c r="C432" s="32" t="str" cm="1">
        <f t="array" aca="1" ref="C432" ca="1">"'='" &amp; MID(CELL("address",INDIRECT(B432)),$K$2+1,100)</f>
        <v>'='CNPIs Health and Social'!$J$39</v>
      </c>
      <c r="D432" s="38">
        <f>M3B5uViolCrimeResults</f>
        <v>0</v>
      </c>
      <c r="E432" s="38" t="s">
        <v>493</v>
      </c>
      <c r="F432" s="110" t="s">
        <v>858</v>
      </c>
      <c r="I432" s="13" t="str">
        <f t="shared" si="7"/>
        <v>M3B5FALSE</v>
      </c>
      <c r="T432"/>
    </row>
    <row r="433" spans="1:20" ht="12.75" customHeight="1" x14ac:dyDescent="0.25">
      <c r="A433" s="13" t="s">
        <v>1461</v>
      </c>
      <c r="B433" s="13" t="s">
        <v>1461</v>
      </c>
      <c r="C433" s="32" t="str" cm="1">
        <f t="array" aca="1" ref="C433" ca="1">"'='" &amp; MID(CELL("address",INDIRECT(B433)),$K$2+1,100)</f>
        <v>'='CNPIs Health and Social'!$K$39</v>
      </c>
      <c r="D433" s="38" t="str">
        <f>M3B5uViolCrimeActualChng</f>
        <v/>
      </c>
      <c r="E433" s="38" t="s">
        <v>493</v>
      </c>
      <c r="F433" s="13" t="s">
        <v>1461</v>
      </c>
      <c r="I433" s="13" t="str">
        <f t="shared" si="7"/>
        <v>M3B5FALSE</v>
      </c>
      <c r="T433"/>
    </row>
    <row r="434" spans="1:20" ht="12.75" customHeight="1" x14ac:dyDescent="0.25">
      <c r="A434" s="13" t="s">
        <v>1462</v>
      </c>
      <c r="B434" s="13" t="s">
        <v>1462</v>
      </c>
      <c r="C434" s="32" t="str" cm="1">
        <f t="array" aca="1" ref="C434" ca="1">"'='" &amp; MID(CELL("address",INDIRECT(B434)),$K$2+1,100)</f>
        <v>'='CNPIs Health and Social'!$L$39</v>
      </c>
      <c r="D434" s="38" t="str">
        <f>M3B5uViolCrimeAccuracy</f>
        <v/>
      </c>
      <c r="E434" s="38" t="s">
        <v>493</v>
      </c>
      <c r="F434" s="13" t="s">
        <v>1462</v>
      </c>
      <c r="I434" s="13" t="str">
        <f t="shared" si="7"/>
        <v>M3B5FALSE</v>
      </c>
      <c r="T434"/>
    </row>
    <row r="435" spans="1:20" ht="12.75" customHeight="1" x14ac:dyDescent="0.25">
      <c r="A435" t="s">
        <v>859</v>
      </c>
      <c r="B435" t="s">
        <v>859</v>
      </c>
      <c r="C435" s="32" t="str" cm="1">
        <f t="array" aca="1" ref="C435" ca="1">"'='" &amp; MID(CELL("address",INDIRECT(B435)),$K$2+1,100)</f>
        <v>'='CNPIs Health and Social'!$G$40</v>
      </c>
      <c r="D435" s="38">
        <f>M3B5vJuvenileCourtBaseline</f>
        <v>0</v>
      </c>
      <c r="E435" s="38" t="s">
        <v>493</v>
      </c>
      <c r="F435" s="110" t="s">
        <v>859</v>
      </c>
      <c r="I435" s="13" t="str">
        <f t="shared" si="7"/>
        <v>M3B5FALSE</v>
      </c>
      <c r="T435"/>
    </row>
    <row r="436" spans="1:20" ht="12.75" customHeight="1" x14ac:dyDescent="0.25">
      <c r="A436" t="s">
        <v>860</v>
      </c>
      <c r="B436" t="s">
        <v>860</v>
      </c>
      <c r="C436" s="32" t="str" cm="1">
        <f t="array" aca="1" ref="C436" ca="1">"'='" &amp; MID(CELL("address",INDIRECT(B436)),$K$2+1,100)</f>
        <v>'='CNPIs Health and Social'!$H$40</v>
      </c>
      <c r="D436" s="38">
        <f>M3B5vJuvenileCourtTarget</f>
        <v>0</v>
      </c>
      <c r="E436" s="38" t="s">
        <v>493</v>
      </c>
      <c r="F436" s="110" t="s">
        <v>860</v>
      </c>
      <c r="I436" s="13" t="str">
        <f t="shared" si="7"/>
        <v>M3B5FALSE</v>
      </c>
      <c r="T436"/>
    </row>
    <row r="437" spans="1:20" ht="12.75" customHeight="1" x14ac:dyDescent="0.25">
      <c r="A437" s="13" t="s">
        <v>1463</v>
      </c>
      <c r="B437" s="13" t="s">
        <v>1463</v>
      </c>
      <c r="C437" s="32" t="str" cm="1">
        <f t="array" aca="1" ref="C437" ca="1">"'='" &amp; MID(CELL("address",INDIRECT(B437)),$K$2+1,100)</f>
        <v>'='CNPIs Health and Social'!$I$40</v>
      </c>
      <c r="D437" s="38" t="str">
        <f>M3B5vJuvenileCourtExpectChng</f>
        <v/>
      </c>
      <c r="E437" s="38" t="s">
        <v>493</v>
      </c>
      <c r="F437" s="13" t="s">
        <v>1463</v>
      </c>
      <c r="I437" s="13" t="str">
        <f t="shared" si="7"/>
        <v>M3B5FALSE</v>
      </c>
      <c r="T437"/>
    </row>
    <row r="438" spans="1:20" ht="12.75" customHeight="1" x14ac:dyDescent="0.25">
      <c r="A438" t="s">
        <v>861</v>
      </c>
      <c r="B438" t="s">
        <v>861</v>
      </c>
      <c r="C438" s="32" t="str" cm="1">
        <f t="array" aca="1" ref="C438" ca="1">"'='" &amp; MID(CELL("address",INDIRECT(B438)),$K$2+1,100)</f>
        <v>'='CNPIs Health and Social'!$J$40</v>
      </c>
      <c r="D438" s="38">
        <f>M3B5vJuvenileCourtResults</f>
        <v>0</v>
      </c>
      <c r="E438" s="38" t="s">
        <v>493</v>
      </c>
      <c r="F438" s="110" t="s">
        <v>861</v>
      </c>
      <c r="I438" s="13" t="str">
        <f t="shared" si="7"/>
        <v>M3B5FALSE</v>
      </c>
      <c r="T438"/>
    </row>
    <row r="439" spans="1:20" ht="12.75" customHeight="1" x14ac:dyDescent="0.25">
      <c r="A439" s="13" t="s">
        <v>1464</v>
      </c>
      <c r="B439" s="13" t="s">
        <v>1464</v>
      </c>
      <c r="C439" s="32" t="str" cm="1">
        <f t="array" aca="1" ref="C439" ca="1">"'='" &amp; MID(CELL("address",INDIRECT(B439)),$K$2+1,100)</f>
        <v>'='CNPIs Health and Social'!$K$40</v>
      </c>
      <c r="D439" s="38" t="str">
        <f>M3B5vJuvenileCourtActualChng</f>
        <v/>
      </c>
      <c r="E439" s="38" t="s">
        <v>493</v>
      </c>
      <c r="F439" s="13" t="s">
        <v>1464</v>
      </c>
      <c r="I439" s="13" t="str">
        <f t="shared" si="7"/>
        <v>M3B5FALSE</v>
      </c>
      <c r="T439"/>
    </row>
    <row r="440" spans="1:20" ht="12.75" customHeight="1" x14ac:dyDescent="0.25">
      <c r="A440" s="13" t="s">
        <v>1465</v>
      </c>
      <c r="B440" s="13" t="s">
        <v>1465</v>
      </c>
      <c r="C440" s="32" t="str" cm="1">
        <f t="array" aca="1" ref="C440" ca="1">"'='" &amp; MID(CELL("address",INDIRECT(B440)),$K$2+1,100)</f>
        <v>'='CNPIs Health and Social'!$L$40</v>
      </c>
      <c r="D440" s="38" t="str">
        <f>M3B5vJuvenileCourtAccuracy</f>
        <v/>
      </c>
      <c r="E440" s="38" t="s">
        <v>493</v>
      </c>
      <c r="F440" s="13" t="s">
        <v>1465</v>
      </c>
      <c r="I440" s="13" t="str">
        <f t="shared" si="7"/>
        <v>M3B5FALSE</v>
      </c>
      <c r="T440"/>
    </row>
    <row r="441" spans="1:20" ht="12.75" customHeight="1" x14ac:dyDescent="0.25">
      <c r="A441" t="s">
        <v>805</v>
      </c>
      <c r="B441" t="s">
        <v>805</v>
      </c>
      <c r="C441" s="32" t="str" cm="1">
        <f t="array" aca="1" ref="C441" ca="1">"'='" &amp; MID(CELL("address",INDIRECT(B441)),$K$2+1,100)</f>
        <v>'='CNPIs Health and Social'!$C$43</v>
      </c>
      <c r="D441" s="38">
        <f>M3B5z4OtherHealthSoc4Name</f>
        <v>0</v>
      </c>
      <c r="E441" s="38" t="s">
        <v>284</v>
      </c>
      <c r="F441" s="110" t="s">
        <v>805</v>
      </c>
      <c r="G441" s="38">
        <v>1000</v>
      </c>
      <c r="I441" s="13" t="str">
        <f t="shared" si="7"/>
        <v>M3B5FALSE</v>
      </c>
      <c r="T441"/>
    </row>
    <row r="442" spans="1:20" ht="12.75" customHeight="1" x14ac:dyDescent="0.25">
      <c r="A442" t="s">
        <v>867</v>
      </c>
      <c r="B442" t="s">
        <v>867</v>
      </c>
      <c r="C442" s="32" t="str" cm="1">
        <f t="array" aca="1" ref="C442" ca="1">"'='" &amp; MID(CELL("address",INDIRECT(B442)),$K$2+1,100)</f>
        <v>'='CNPIs Health and Social'!$G$43</v>
      </c>
      <c r="D442" s="38">
        <f>M3B5z4OtherHealthSoc4Baseline</f>
        <v>0</v>
      </c>
      <c r="E442" s="38" t="s">
        <v>493</v>
      </c>
      <c r="F442" s="110" t="s">
        <v>867</v>
      </c>
      <c r="I442" s="13" t="str">
        <f t="shared" si="7"/>
        <v>M3B5FALSE</v>
      </c>
      <c r="T442"/>
    </row>
    <row r="443" spans="1:20" ht="12.75" customHeight="1" x14ac:dyDescent="0.25">
      <c r="A443" t="s">
        <v>806</v>
      </c>
      <c r="B443" t="s">
        <v>806</v>
      </c>
      <c r="C443" s="32" t="str" cm="1">
        <f t="array" aca="1" ref="C443" ca="1">"'='" &amp; MID(CELL("address",INDIRECT(B443)),$K$2+1,100)</f>
        <v>'='CNPIs Health and Social'!$H$43</v>
      </c>
      <c r="D443" s="38">
        <f>M3B5z4OtherHealthSoc4Target</f>
        <v>0</v>
      </c>
      <c r="E443" s="38" t="s">
        <v>493</v>
      </c>
      <c r="F443" s="110" t="s">
        <v>806</v>
      </c>
      <c r="I443" s="13" t="str">
        <f t="shared" si="7"/>
        <v>M3B5FALSE</v>
      </c>
      <c r="T443"/>
    </row>
    <row r="444" spans="1:20" ht="12.75" customHeight="1" x14ac:dyDescent="0.25">
      <c r="A444" s="13" t="s">
        <v>1469</v>
      </c>
      <c r="B444" s="13" t="s">
        <v>1469</v>
      </c>
      <c r="C444" s="32" t="str" cm="1">
        <f t="array" aca="1" ref="C444" ca="1">"'='" &amp; MID(CELL("address",INDIRECT(B444)),$K$2+1,100)</f>
        <v>'='CNPIs Health and Social'!$I$43</v>
      </c>
      <c r="D444" s="38" t="str">
        <f>M3B5z4OtherHealthSoc4ExpectChng</f>
        <v/>
      </c>
      <c r="E444" s="38" t="s">
        <v>493</v>
      </c>
      <c r="F444" s="13" t="s">
        <v>1469</v>
      </c>
      <c r="I444" s="13" t="str">
        <f t="shared" si="7"/>
        <v>M3B5FALSE</v>
      </c>
      <c r="T444"/>
    </row>
    <row r="445" spans="1:20" ht="12.75" customHeight="1" x14ac:dyDescent="0.25">
      <c r="A445" t="s">
        <v>807</v>
      </c>
      <c r="B445" t="s">
        <v>807</v>
      </c>
      <c r="C445" s="32" t="str" cm="1">
        <f t="array" aca="1" ref="C445" ca="1">"'='" &amp; MID(CELL("address",INDIRECT(B445)),$K$2+1,100)</f>
        <v>'='CNPIs Health and Social'!$J$43</v>
      </c>
      <c r="D445" s="38">
        <f>M3B5z4OtherHealthSoc4Results</f>
        <v>0</v>
      </c>
      <c r="E445" s="38" t="s">
        <v>493</v>
      </c>
      <c r="F445" s="110" t="s">
        <v>807</v>
      </c>
      <c r="I445" s="13" t="str">
        <f t="shared" si="7"/>
        <v>M3B5FALSE</v>
      </c>
      <c r="T445"/>
    </row>
    <row r="446" spans="1:20" ht="12.75" customHeight="1" x14ac:dyDescent="0.25">
      <c r="A446" s="13" t="s">
        <v>1470</v>
      </c>
      <c r="B446" s="13" t="s">
        <v>1470</v>
      </c>
      <c r="C446" s="32" t="str" cm="1">
        <f t="array" aca="1" ref="C446" ca="1">"'='" &amp; MID(CELL("address",INDIRECT(B446)),$K$2+1,100)</f>
        <v>'='CNPIs Health and Social'!$K$43</v>
      </c>
      <c r="D446" s="38" t="str">
        <f>M3B5z4OtherHealthSoc4ActualChng</f>
        <v/>
      </c>
      <c r="E446" s="38" t="s">
        <v>493</v>
      </c>
      <c r="F446" s="13" t="s">
        <v>1470</v>
      </c>
      <c r="I446" s="13" t="str">
        <f t="shared" si="7"/>
        <v>M3B5FALSE</v>
      </c>
      <c r="T446"/>
    </row>
    <row r="447" spans="1:20" ht="12.75" customHeight="1" x14ac:dyDescent="0.25">
      <c r="A447" s="13" t="s">
        <v>1471</v>
      </c>
      <c r="B447" s="13" t="s">
        <v>1471</v>
      </c>
      <c r="C447" s="32" t="str" cm="1">
        <f t="array" aca="1" ref="C447" ca="1">"'='" &amp; MID(CELL("address",INDIRECT(B447)),$K$2+1,100)</f>
        <v>'='CNPIs Health and Social'!$L$43</v>
      </c>
      <c r="D447" s="38" t="str">
        <f>M3B5z4OtherHealthSoc4Accuracy</f>
        <v/>
      </c>
      <c r="E447" s="38" t="s">
        <v>493</v>
      </c>
      <c r="F447" s="13" t="s">
        <v>1471</v>
      </c>
      <c r="I447" s="13" t="str">
        <f t="shared" si="7"/>
        <v>M3B5FALSE</v>
      </c>
      <c r="T447"/>
    </row>
    <row r="448" spans="1:20" ht="12.75" customHeight="1" x14ac:dyDescent="0.25">
      <c r="A448" t="s">
        <v>808</v>
      </c>
      <c r="B448" t="s">
        <v>808</v>
      </c>
      <c r="C448" s="32" t="str" cm="1">
        <f t="array" aca="1" ref="C448" ca="1">"'='" &amp; MID(CELL("address",INDIRECT(B448)),$K$2+1,100)</f>
        <v>'='CNPIs Health and Social'!$C$44</v>
      </c>
      <c r="D448" s="38">
        <f>M3B5z5OtherHealthSoc5Name</f>
        <v>0</v>
      </c>
      <c r="E448" s="38" t="s">
        <v>284</v>
      </c>
      <c r="F448" s="110" t="s">
        <v>808</v>
      </c>
      <c r="G448" s="38">
        <v>1000</v>
      </c>
      <c r="I448" s="13" t="str">
        <f t="shared" si="7"/>
        <v>M3B5FALSE</v>
      </c>
      <c r="T448"/>
    </row>
    <row r="449" spans="1:20" ht="12.75" customHeight="1" x14ac:dyDescent="0.25">
      <c r="A449" t="s">
        <v>866</v>
      </c>
      <c r="B449" t="s">
        <v>866</v>
      </c>
      <c r="C449" s="32" t="str" cm="1">
        <f t="array" aca="1" ref="C449" ca="1">"'='" &amp; MID(CELL("address",INDIRECT(B449)),$K$2+1,100)</f>
        <v>'='CNPIs Health and Social'!$G$44</v>
      </c>
      <c r="D449" s="38">
        <f>M3B5z5OtherHealthSoc5Baseline</f>
        <v>0</v>
      </c>
      <c r="E449" s="38" t="s">
        <v>493</v>
      </c>
      <c r="F449" s="110" t="s">
        <v>866</v>
      </c>
      <c r="I449" s="13" t="str">
        <f t="shared" si="7"/>
        <v>M3B5FALSE</v>
      </c>
      <c r="T449"/>
    </row>
    <row r="450" spans="1:20" ht="12.75" customHeight="1" x14ac:dyDescent="0.25">
      <c r="A450" t="s">
        <v>809</v>
      </c>
      <c r="B450" t="s">
        <v>809</v>
      </c>
      <c r="C450" s="32" t="str" cm="1">
        <f t="array" aca="1" ref="C450" ca="1">"'='" &amp; MID(CELL("address",INDIRECT(B450)),$K$2+1,100)</f>
        <v>'='CNPIs Health and Social'!$H$44</v>
      </c>
      <c r="D450" s="38">
        <f>M3B5z5OtherHealthSoc5Target</f>
        <v>0</v>
      </c>
      <c r="E450" s="38" t="s">
        <v>493</v>
      </c>
      <c r="F450" s="110" t="s">
        <v>809</v>
      </c>
      <c r="I450" s="13" t="str">
        <f t="shared" si="7"/>
        <v>M3B5FALSE</v>
      </c>
      <c r="T450"/>
    </row>
    <row r="451" spans="1:20" ht="12.75" customHeight="1" x14ac:dyDescent="0.25">
      <c r="A451" s="13" t="s">
        <v>1472</v>
      </c>
      <c r="B451" s="13" t="s">
        <v>1472</v>
      </c>
      <c r="C451" s="32" t="str" cm="1">
        <f t="array" aca="1" ref="C451" ca="1">"'='" &amp; MID(CELL("address",INDIRECT(B451)),$K$2+1,100)</f>
        <v>'='CNPIs Health and Social'!$I$44</v>
      </c>
      <c r="D451" s="38" t="str">
        <f>M3B5z5OtherHealthSoc5ExpectChng</f>
        <v/>
      </c>
      <c r="E451" s="38" t="s">
        <v>493</v>
      </c>
      <c r="F451" s="13" t="s">
        <v>1472</v>
      </c>
      <c r="I451" s="13" t="str">
        <f t="shared" si="7"/>
        <v>M3B5FALSE</v>
      </c>
      <c r="T451"/>
    </row>
    <row r="452" spans="1:20" ht="12.75" customHeight="1" x14ac:dyDescent="0.25">
      <c r="A452" t="s">
        <v>810</v>
      </c>
      <c r="B452" t="s">
        <v>810</v>
      </c>
      <c r="C452" s="32" t="str" cm="1">
        <f t="array" aca="1" ref="C452" ca="1">"'='" &amp; MID(CELL("address",INDIRECT(B452)),$K$2+1,100)</f>
        <v>'='CNPIs Health and Social'!$J$44</v>
      </c>
      <c r="D452" s="38">
        <f>M3B5z5OtherHealthSoc5Results</f>
        <v>0</v>
      </c>
      <c r="E452" s="38" t="s">
        <v>493</v>
      </c>
      <c r="F452" s="110" t="s">
        <v>810</v>
      </c>
      <c r="I452" s="13" t="str">
        <f t="shared" si="7"/>
        <v>M3B5FALSE</v>
      </c>
      <c r="T452"/>
    </row>
    <row r="453" spans="1:20" ht="12.75" customHeight="1" x14ac:dyDescent="0.25">
      <c r="A453" s="13" t="s">
        <v>1473</v>
      </c>
      <c r="B453" s="13" t="s">
        <v>1473</v>
      </c>
      <c r="C453" s="32" t="str" cm="1">
        <f t="array" aca="1" ref="C453" ca="1">"'='" &amp; MID(CELL("address",INDIRECT(B453)),$K$2+1,100)</f>
        <v>'='CNPIs Health and Social'!$K$44</v>
      </c>
      <c r="D453" s="38" t="str">
        <f>M3B5z5OtherHealthSoc5ActualChng</f>
        <v/>
      </c>
      <c r="E453" s="38" t="s">
        <v>493</v>
      </c>
      <c r="F453" s="13" t="s">
        <v>1473</v>
      </c>
      <c r="I453" s="13" t="str">
        <f t="shared" si="7"/>
        <v>M3B5FALSE</v>
      </c>
      <c r="T453"/>
    </row>
    <row r="454" spans="1:20" ht="12.75" customHeight="1" x14ac:dyDescent="0.25">
      <c r="A454" s="13" t="s">
        <v>1474</v>
      </c>
      <c r="B454" s="13" t="s">
        <v>1474</v>
      </c>
      <c r="C454" s="32" t="str" cm="1">
        <f t="array" aca="1" ref="C454" ca="1">"'='" &amp; MID(CELL("address",INDIRECT(B454)),$K$2+1,100)</f>
        <v>'='CNPIs Health and Social'!$L$44</v>
      </c>
      <c r="D454" s="38" t="str">
        <f>M3B5z5OtherHealthSoc5Accuracy</f>
        <v/>
      </c>
      <c r="E454" s="38" t="s">
        <v>493</v>
      </c>
      <c r="F454" s="13" t="s">
        <v>1474</v>
      </c>
      <c r="I454" s="13" t="str">
        <f t="shared" si="7"/>
        <v>M3B5FALSE</v>
      </c>
      <c r="T454"/>
    </row>
    <row r="455" spans="1:20" ht="12.75" customHeight="1" x14ac:dyDescent="0.25">
      <c r="A455" t="s">
        <v>862</v>
      </c>
      <c r="B455" t="s">
        <v>862</v>
      </c>
      <c r="C455" s="32" t="str" cm="1">
        <f t="array" aca="1" ref="C455" ca="1">"'='" &amp; MID(CELL("address",INDIRECT(B455)),$K$2+1,100)</f>
        <v>'='CNPIs Health and Social'!$C$45</v>
      </c>
      <c r="D455" s="38">
        <f>M3B5z6OtherHealthSoc6Name</f>
        <v>0</v>
      </c>
      <c r="E455" s="38" t="s">
        <v>284</v>
      </c>
      <c r="F455" s="110" t="s">
        <v>862</v>
      </c>
      <c r="G455" s="38">
        <v>1000</v>
      </c>
      <c r="I455" s="13" t="str">
        <f t="shared" si="7"/>
        <v>M3B5FALSE</v>
      </c>
      <c r="T455"/>
    </row>
    <row r="456" spans="1:20" ht="12.75" customHeight="1" x14ac:dyDescent="0.25">
      <c r="A456" t="s">
        <v>863</v>
      </c>
      <c r="B456" t="s">
        <v>863</v>
      </c>
      <c r="C456" s="32" t="str" cm="1">
        <f t="array" aca="1" ref="C456" ca="1">"'='" &amp; MID(CELL("address",INDIRECT(B456)),$K$2+1,100)</f>
        <v>'='CNPIs Health and Social'!$G$45</v>
      </c>
      <c r="D456" s="38">
        <f>M3B5z6OtherHealthSoc6Baseline</f>
        <v>0</v>
      </c>
      <c r="E456" s="38" t="s">
        <v>493</v>
      </c>
      <c r="F456" s="110" t="s">
        <v>863</v>
      </c>
      <c r="I456" s="13" t="str">
        <f t="shared" si="7"/>
        <v>M3B5FALSE</v>
      </c>
      <c r="T456"/>
    </row>
    <row r="457" spans="1:20" ht="12.75" customHeight="1" x14ac:dyDescent="0.25">
      <c r="A457" t="s">
        <v>864</v>
      </c>
      <c r="B457" t="s">
        <v>864</v>
      </c>
      <c r="C457" s="32" t="str" cm="1">
        <f t="array" aca="1" ref="C457" ca="1">"'='" &amp; MID(CELL("address",INDIRECT(B457)),$K$2+1,100)</f>
        <v>'='CNPIs Health and Social'!$H$45</v>
      </c>
      <c r="D457" s="38">
        <f>M3B5z6OtherHealthSoc6Target</f>
        <v>0</v>
      </c>
      <c r="E457" s="38" t="s">
        <v>493</v>
      </c>
      <c r="F457" s="110" t="s">
        <v>864</v>
      </c>
      <c r="I457" s="13" t="str">
        <f t="shared" si="7"/>
        <v>M3B5FALSE</v>
      </c>
      <c r="T457"/>
    </row>
    <row r="458" spans="1:20" ht="12.75" customHeight="1" x14ac:dyDescent="0.25">
      <c r="A458" s="13" t="s">
        <v>1475</v>
      </c>
      <c r="B458" s="13" t="s">
        <v>1475</v>
      </c>
      <c r="C458" s="32" t="str" cm="1">
        <f t="array" aca="1" ref="C458" ca="1">"'='" &amp; MID(CELL("address",INDIRECT(B458)),$K$2+1,100)</f>
        <v>'='CNPIs Health and Social'!$I$45</v>
      </c>
      <c r="D458" s="38" t="str">
        <f>M3B5z6OtherHealthSoc6ExpectChng</f>
        <v/>
      </c>
      <c r="E458" s="38" t="s">
        <v>493</v>
      </c>
      <c r="F458" s="13" t="s">
        <v>1475</v>
      </c>
      <c r="I458" s="13" t="str">
        <f t="shared" si="7"/>
        <v>M3B5FALSE</v>
      </c>
      <c r="T458"/>
    </row>
    <row r="459" spans="1:20" ht="12.75" customHeight="1" x14ac:dyDescent="0.25">
      <c r="A459" t="s">
        <v>865</v>
      </c>
      <c r="B459" t="s">
        <v>865</v>
      </c>
      <c r="C459" s="32" t="str" cm="1">
        <f t="array" aca="1" ref="C459" ca="1">"'='" &amp; MID(CELL("address",INDIRECT(B459)),$K$2+1,100)</f>
        <v>'='CNPIs Health and Social'!$J$45</v>
      </c>
      <c r="D459" s="38">
        <f>M3B5z6OtherHealthSoc6Results</f>
        <v>0</v>
      </c>
      <c r="E459" s="38" t="s">
        <v>493</v>
      </c>
      <c r="F459" s="110" t="s">
        <v>865</v>
      </c>
      <c r="I459" s="13" t="str">
        <f t="shared" si="7"/>
        <v>M3B5FALSE</v>
      </c>
      <c r="T459"/>
    </row>
    <row r="460" spans="1:20" ht="12.75" customHeight="1" x14ac:dyDescent="0.25">
      <c r="A460" s="13" t="s">
        <v>1476</v>
      </c>
      <c r="B460" s="13" t="s">
        <v>1476</v>
      </c>
      <c r="C460" s="32" t="str" cm="1">
        <f t="array" aca="1" ref="C460" ca="1">"'='" &amp; MID(CELL("address",INDIRECT(B460)),$K$2+1,100)</f>
        <v>'='CNPIs Health and Social'!$K$45</v>
      </c>
      <c r="D460" s="38" t="str">
        <f>M3B5z6OtherHealthSoc6ActualChng</f>
        <v/>
      </c>
      <c r="E460" s="38" t="s">
        <v>493</v>
      </c>
      <c r="F460" s="13" t="s">
        <v>1476</v>
      </c>
      <c r="I460" s="13" t="str">
        <f t="shared" si="7"/>
        <v>M3B5FALSE</v>
      </c>
      <c r="T460"/>
    </row>
    <row r="461" spans="1:20" ht="12.75" customHeight="1" x14ac:dyDescent="0.25">
      <c r="A461" s="13" t="s">
        <v>1477</v>
      </c>
      <c r="B461" s="13" t="s">
        <v>1477</v>
      </c>
      <c r="C461" s="32" t="str" cm="1">
        <f t="array" aca="1" ref="C461" ca="1">"'='" &amp; MID(CELL("address",INDIRECT(B461)),$K$2+1,100)</f>
        <v>'='CNPIs Health and Social'!$L$45</v>
      </c>
      <c r="D461" s="38" t="str">
        <f>M3B5z6OtherHealthSoc6Accuracy</f>
        <v/>
      </c>
      <c r="E461" s="38" t="s">
        <v>493</v>
      </c>
      <c r="F461" s="13" t="s">
        <v>1477</v>
      </c>
      <c r="I461" s="13" t="str">
        <f t="shared" si="7"/>
        <v>M3B5FALSE</v>
      </c>
      <c r="T461"/>
    </row>
    <row r="462" spans="1:20" ht="12.75" customHeight="1" x14ac:dyDescent="0.25">
      <c r="A462" t="s">
        <v>911</v>
      </c>
      <c r="B462" t="s">
        <v>911</v>
      </c>
      <c r="C462" s="32" t="str" cm="1">
        <f t="array" aca="1" ref="C462" ca="1">"'='" &amp; MID(CELL("address",INDIRECT(B462)),$K$2+1,100)</f>
        <v>'='CNPIs Health and Social'!$B$48</v>
      </c>
      <c r="D462" s="38">
        <f>M3B5Comments</f>
        <v>0</v>
      </c>
      <c r="E462" s="38" t="s">
        <v>284</v>
      </c>
      <c r="F462" s="110" t="s">
        <v>911</v>
      </c>
      <c r="G462" s="38">
        <v>5000</v>
      </c>
      <c r="I462" s="13" t="str">
        <f t="shared" si="7"/>
        <v>M3B5FALSE</v>
      </c>
      <c r="T462"/>
    </row>
    <row r="463" spans="1:20" ht="12.75" customHeight="1" x14ac:dyDescent="0.25">
      <c r="A463" t="s">
        <v>742</v>
      </c>
      <c r="B463" t="s">
        <v>742</v>
      </c>
      <c r="C463" s="32" t="str" cm="1">
        <f t="array" aca="1" ref="C463" ca="1">"'='" &amp; MID(CELL("address",INDIRECT(B463)),$K$2+1,100)</f>
        <v>'='CNPIs Housing'!$J$9</v>
      </c>
      <c r="D463" s="38">
        <f>M3B4aSafeHousDevTarget</f>
        <v>0</v>
      </c>
      <c r="E463" s="38" t="s">
        <v>493</v>
      </c>
      <c r="F463" s="110" t="s">
        <v>742</v>
      </c>
      <c r="I463" s="13" t="str">
        <f t="shared" si="7"/>
        <v>M3B4FALSE</v>
      </c>
      <c r="T463"/>
    </row>
    <row r="464" spans="1:20" ht="12.75" customHeight="1" x14ac:dyDescent="0.25">
      <c r="A464" t="s">
        <v>743</v>
      </c>
      <c r="B464" t="s">
        <v>743</v>
      </c>
      <c r="C464" s="32" t="str" cm="1">
        <f t="array" aca="1" ref="C464" ca="1">"'='" &amp; MID(CELL("address",INDIRECT(B464)),$K$2+1,100)</f>
        <v>'='CNPIs Housing'!$K$9</v>
      </c>
      <c r="D464" s="38">
        <f>M3B4aSafeHousDevResults</f>
        <v>0</v>
      </c>
      <c r="E464" s="38" t="s">
        <v>493</v>
      </c>
      <c r="F464" s="110" t="s">
        <v>743</v>
      </c>
      <c r="I464" s="13" t="str">
        <f t="shared" si="7"/>
        <v>M3B4FALSE</v>
      </c>
      <c r="T464"/>
    </row>
    <row r="465" spans="1:20" ht="12.75" customHeight="1" x14ac:dyDescent="0.25">
      <c r="A465" s="13" t="s">
        <v>1379</v>
      </c>
      <c r="B465" s="13" t="s">
        <v>1379</v>
      </c>
      <c r="C465" s="32" t="str" cm="1">
        <f t="array" aca="1" ref="C465" ca="1">"'='" &amp; MID(CELL("address",INDIRECT(B465)),$K$2+1,100)</f>
        <v>'='CNPIs Housing'!$L$9</v>
      </c>
      <c r="D465" s="38" t="str">
        <f>M3B4aSafeHousDevAccuracy</f>
        <v/>
      </c>
      <c r="E465" s="38" t="s">
        <v>493</v>
      </c>
      <c r="F465" s="13" t="s">
        <v>1379</v>
      </c>
      <c r="I465" s="13" t="str">
        <f t="shared" si="7"/>
        <v>M3B4FALSE</v>
      </c>
      <c r="T465"/>
    </row>
    <row r="466" spans="1:20" ht="12.75" customHeight="1" x14ac:dyDescent="0.25">
      <c r="A466" t="s">
        <v>744</v>
      </c>
      <c r="B466" t="s">
        <v>744</v>
      </c>
      <c r="C466" s="32" t="str" cm="1">
        <f t="array" aca="1" ref="C466" ca="1">"'='" &amp; MID(CELL("address",INDIRECT(B466)),$K$2+1,100)</f>
        <v>'='CNPIs Housing'!$J$10</v>
      </c>
      <c r="D466" s="38">
        <f>M3B4bSafeHousMainTarget</f>
        <v>0</v>
      </c>
      <c r="E466" s="38" t="s">
        <v>493</v>
      </c>
      <c r="F466" s="110" t="s">
        <v>744</v>
      </c>
      <c r="I466" s="13" t="str">
        <f t="shared" si="7"/>
        <v>M3B4FALSE</v>
      </c>
      <c r="T466"/>
    </row>
    <row r="467" spans="1:20" ht="12.75" customHeight="1" x14ac:dyDescent="0.25">
      <c r="A467" t="s">
        <v>745</v>
      </c>
      <c r="B467" t="s">
        <v>745</v>
      </c>
      <c r="C467" s="32" t="str" cm="1">
        <f t="array" aca="1" ref="C467" ca="1">"'='" &amp; MID(CELL("address",INDIRECT(B467)),$K$2+1,100)</f>
        <v>'='CNPIs Housing'!$K$10</v>
      </c>
      <c r="D467" s="38">
        <f>M3B4bSafeHousMainResults</f>
        <v>0</v>
      </c>
      <c r="E467" s="38" t="s">
        <v>493</v>
      </c>
      <c r="F467" s="110" t="s">
        <v>745</v>
      </c>
      <c r="I467" s="13" t="str">
        <f t="shared" si="7"/>
        <v>M3B4FALSE</v>
      </c>
      <c r="T467"/>
    </row>
    <row r="468" spans="1:20" ht="12.75" customHeight="1" x14ac:dyDescent="0.25">
      <c r="A468" s="13" t="s">
        <v>1380</v>
      </c>
      <c r="B468" s="13" t="s">
        <v>1380</v>
      </c>
      <c r="C468" s="32" t="str" cm="1">
        <f t="array" aca="1" ref="C468" ca="1">"'='" &amp; MID(CELL("address",INDIRECT(B468)),$K$2+1,100)</f>
        <v>'='CNPIs Housing'!$L$10</v>
      </c>
      <c r="D468" s="38" t="str">
        <f>M3B4bSafeHousMainAccuracy</f>
        <v/>
      </c>
      <c r="E468" s="38" t="s">
        <v>493</v>
      </c>
      <c r="F468" s="13" t="s">
        <v>1380</v>
      </c>
      <c r="I468" s="13" t="str">
        <f t="shared" si="7"/>
        <v>M3B4FALSE</v>
      </c>
      <c r="T468"/>
    </row>
    <row r="469" spans="1:20" ht="12.75" customHeight="1" x14ac:dyDescent="0.25">
      <c r="A469" t="s">
        <v>746</v>
      </c>
      <c r="B469" t="s">
        <v>746</v>
      </c>
      <c r="C469" s="32" t="str" cm="1">
        <f t="array" aca="1" ref="C469" ca="1">"'='" &amp; MID(CELL("address",INDIRECT(B469)),$K$2+1,100)</f>
        <v>'='CNPIs Housing'!$J$11</v>
      </c>
      <c r="D469" s="38">
        <f>M3B4cShelterBedCreateTarget</f>
        <v>0</v>
      </c>
      <c r="E469" s="38" t="s">
        <v>493</v>
      </c>
      <c r="F469" s="110" t="s">
        <v>746</v>
      </c>
      <c r="I469" s="13" t="str">
        <f t="shared" si="7"/>
        <v>M3B4FALSE</v>
      </c>
      <c r="T469"/>
    </row>
    <row r="470" spans="1:20" ht="12.75" customHeight="1" x14ac:dyDescent="0.25">
      <c r="A470" t="s">
        <v>747</v>
      </c>
      <c r="B470" t="s">
        <v>747</v>
      </c>
      <c r="C470" s="32" t="str" cm="1">
        <f t="array" aca="1" ref="C470" ca="1">"'='" &amp; MID(CELL("address",INDIRECT(B470)),$K$2+1,100)</f>
        <v>'='CNPIs Housing'!$K$11</v>
      </c>
      <c r="D470" s="38">
        <f>M3B4cShelterBedCreateResults</f>
        <v>0</v>
      </c>
      <c r="E470" s="38" t="s">
        <v>493</v>
      </c>
      <c r="F470" s="110" t="s">
        <v>747</v>
      </c>
      <c r="I470" s="13" t="str">
        <f t="shared" si="7"/>
        <v>M3B4FALSE</v>
      </c>
      <c r="T470"/>
    </row>
    <row r="471" spans="1:20" ht="12.75" customHeight="1" x14ac:dyDescent="0.25">
      <c r="A471" s="13" t="s">
        <v>1381</v>
      </c>
      <c r="B471" s="13" t="s">
        <v>1381</v>
      </c>
      <c r="C471" s="32" t="str" cm="1">
        <f t="array" aca="1" ref="C471" ca="1">"'='" &amp; MID(CELL("address",INDIRECT(B471)),$K$2+1,100)</f>
        <v>'='CNPIs Housing'!$L$11</v>
      </c>
      <c r="D471" s="38" t="str">
        <f>M3B4cShelterBedCreateAccuracy</f>
        <v/>
      </c>
      <c r="E471" s="38" t="s">
        <v>493</v>
      </c>
      <c r="F471" s="13" t="s">
        <v>1381</v>
      </c>
      <c r="I471" s="13" t="str">
        <f t="shared" si="7"/>
        <v>M3B4FALSE</v>
      </c>
      <c r="T471"/>
    </row>
    <row r="472" spans="1:20" ht="12.75" customHeight="1" x14ac:dyDescent="0.25">
      <c r="A472" t="s">
        <v>748</v>
      </c>
      <c r="B472" t="s">
        <v>748</v>
      </c>
      <c r="C472" s="32" t="str" cm="1">
        <f t="array" aca="1" ref="C472" ca="1">"'='" &amp; MID(CELL("address",INDIRECT(B472)),$K$2+1,100)</f>
        <v>'='CNPIs Housing'!$J$12</v>
      </c>
      <c r="D472" s="38">
        <f>M3B4dShelterBedMainTarget</f>
        <v>0</v>
      </c>
      <c r="E472" s="38" t="s">
        <v>493</v>
      </c>
      <c r="F472" s="110" t="s">
        <v>748</v>
      </c>
      <c r="I472" s="13" t="str">
        <f t="shared" si="7"/>
        <v>M3B4FALSE</v>
      </c>
      <c r="T472"/>
    </row>
    <row r="473" spans="1:20" ht="12.75" customHeight="1" x14ac:dyDescent="0.25">
      <c r="A473" t="s">
        <v>749</v>
      </c>
      <c r="B473" t="s">
        <v>749</v>
      </c>
      <c r="C473" s="32" t="str" cm="1">
        <f t="array" aca="1" ref="C473" ca="1">"'='" &amp; MID(CELL("address",INDIRECT(B473)),$K$2+1,100)</f>
        <v>'='CNPIs Housing'!$K$12</v>
      </c>
      <c r="D473" s="38">
        <f>M3B4dShelterBedMainResults</f>
        <v>0</v>
      </c>
      <c r="E473" s="38" t="s">
        <v>493</v>
      </c>
      <c r="F473" s="110" t="s">
        <v>749</v>
      </c>
      <c r="I473" s="13" t="str">
        <f t="shared" si="7"/>
        <v>M3B4FALSE</v>
      </c>
      <c r="T473"/>
    </row>
    <row r="474" spans="1:20" ht="12.75" customHeight="1" x14ac:dyDescent="0.25">
      <c r="A474" s="13" t="s">
        <v>1382</v>
      </c>
      <c r="B474" s="13" t="s">
        <v>1382</v>
      </c>
      <c r="C474" s="32" t="str" cm="1">
        <f t="array" aca="1" ref="C474" ca="1">"'='" &amp; MID(CELL("address",INDIRECT(B474)),$K$2+1,100)</f>
        <v>'='CNPIs Housing'!$L$12</v>
      </c>
      <c r="D474" s="38" t="str">
        <f>M3B4dShelterBedMainAccuracy</f>
        <v/>
      </c>
      <c r="E474" s="38" t="s">
        <v>493</v>
      </c>
      <c r="F474" s="13" t="s">
        <v>1382</v>
      </c>
      <c r="I474" s="13" t="str">
        <f t="shared" si="7"/>
        <v>M3B4FALSE</v>
      </c>
      <c r="T474"/>
    </row>
    <row r="475" spans="1:20" ht="12.75" customHeight="1" x14ac:dyDescent="0.25">
      <c r="A475" t="s">
        <v>750</v>
      </c>
      <c r="B475" t="s">
        <v>750</v>
      </c>
      <c r="C475" s="32" t="str" cm="1">
        <f t="array" aca="1" ref="C475" ca="1">"'='" &amp; MID(CELL("address",INDIRECT(B475)),$K$2+1,100)</f>
        <v>'='CNPIs Housing'!$C$15</v>
      </c>
      <c r="D475" s="38">
        <f>M3B4z1OtherHousing1Name</f>
        <v>0</v>
      </c>
      <c r="E475" s="38" t="s">
        <v>284</v>
      </c>
      <c r="F475" s="110" t="s">
        <v>750</v>
      </c>
      <c r="G475" s="38">
        <v>1000</v>
      </c>
      <c r="I475" s="13" t="str">
        <f t="shared" si="7"/>
        <v>M3B4FALSE</v>
      </c>
      <c r="T475"/>
    </row>
    <row r="476" spans="1:20" ht="12.75" customHeight="1" x14ac:dyDescent="0.25">
      <c r="A476" t="s">
        <v>751</v>
      </c>
      <c r="B476" t="s">
        <v>751</v>
      </c>
      <c r="C476" s="32" t="str" cm="1">
        <f t="array" aca="1" ref="C476" ca="1">"'='" &amp; MID(CELL("address",INDIRECT(B476)),$K$2+1,100)</f>
        <v>'='CNPIs Housing'!$J$15</v>
      </c>
      <c r="D476" s="38">
        <f>M3B4z1OtherHousing1Target</f>
        <v>0</v>
      </c>
      <c r="E476" s="38" t="s">
        <v>493</v>
      </c>
      <c r="F476" s="110" t="s">
        <v>751</v>
      </c>
      <c r="I476" s="13" t="str">
        <f t="shared" si="7"/>
        <v>M3B4FALSE</v>
      </c>
      <c r="T476"/>
    </row>
    <row r="477" spans="1:20" ht="12.75" customHeight="1" x14ac:dyDescent="0.25">
      <c r="A477" t="s">
        <v>752</v>
      </c>
      <c r="B477" t="s">
        <v>752</v>
      </c>
      <c r="C477" s="32" t="str" cm="1">
        <f t="array" aca="1" ref="C477" ca="1">"'='" &amp; MID(CELL("address",INDIRECT(B477)),$K$2+1,100)</f>
        <v>'='CNPIs Housing'!$K$15</v>
      </c>
      <c r="D477" s="38">
        <f>M3B4z1OtherHousing1Results</f>
        <v>0</v>
      </c>
      <c r="E477" s="38" t="s">
        <v>493</v>
      </c>
      <c r="F477" s="110" t="s">
        <v>752</v>
      </c>
      <c r="I477" s="13" t="str">
        <f t="shared" si="7"/>
        <v>M3B4FALSE</v>
      </c>
      <c r="T477"/>
    </row>
    <row r="478" spans="1:20" ht="12.75" customHeight="1" x14ac:dyDescent="0.25">
      <c r="A478" s="13" t="s">
        <v>1398</v>
      </c>
      <c r="B478" s="13" t="s">
        <v>1398</v>
      </c>
      <c r="C478" s="32" t="str" cm="1">
        <f t="array" aca="1" ref="C478" ca="1">"'='" &amp; MID(CELL("address",INDIRECT(B478)),$K$2+1,100)</f>
        <v>'='CNPIs Housing'!$L$15</v>
      </c>
      <c r="D478" s="38" t="str">
        <f>M3B4z1OtherHousing1Accuracy</f>
        <v/>
      </c>
      <c r="E478" s="38" t="s">
        <v>493</v>
      </c>
      <c r="F478" s="13" t="s">
        <v>1398</v>
      </c>
      <c r="I478" s="13" t="str">
        <f t="shared" si="7"/>
        <v>M3B4FALSE</v>
      </c>
      <c r="T478"/>
    </row>
    <row r="479" spans="1:20" ht="12.75" customHeight="1" x14ac:dyDescent="0.25">
      <c r="A479" t="s">
        <v>753</v>
      </c>
      <c r="B479" t="s">
        <v>753</v>
      </c>
      <c r="C479" s="32" t="str" cm="1">
        <f t="array" aca="1" ref="C479" ca="1">"'='" &amp; MID(CELL("address",INDIRECT(B479)),$K$2+1,100)</f>
        <v>'='CNPIs Housing'!$C$16</v>
      </c>
      <c r="D479" s="38">
        <f>M3B4z2OtherHousing2Name</f>
        <v>0</v>
      </c>
      <c r="E479" s="38" t="s">
        <v>284</v>
      </c>
      <c r="F479" s="110" t="s">
        <v>753</v>
      </c>
      <c r="G479" s="38">
        <v>1000</v>
      </c>
      <c r="I479" s="13" t="str">
        <f t="shared" si="7"/>
        <v>M3B4FALSE</v>
      </c>
      <c r="T479"/>
    </row>
    <row r="480" spans="1:20" ht="12.75" customHeight="1" x14ac:dyDescent="0.25">
      <c r="A480" t="s">
        <v>754</v>
      </c>
      <c r="B480" t="s">
        <v>754</v>
      </c>
      <c r="C480" s="32" t="str" cm="1">
        <f t="array" aca="1" ref="C480" ca="1">"'='" &amp; MID(CELL("address",INDIRECT(B480)),$K$2+1,100)</f>
        <v>'='CNPIs Housing'!$J$16</v>
      </c>
      <c r="D480" s="38">
        <f>M3B4z2OtherHousing2Target</f>
        <v>0</v>
      </c>
      <c r="E480" s="38" t="s">
        <v>493</v>
      </c>
      <c r="F480" s="110" t="s">
        <v>754</v>
      </c>
      <c r="I480" s="13" t="str">
        <f t="shared" si="7"/>
        <v>M3B4FALSE</v>
      </c>
      <c r="T480"/>
    </row>
    <row r="481" spans="1:20" ht="12.75" customHeight="1" x14ac:dyDescent="0.25">
      <c r="A481" t="s">
        <v>755</v>
      </c>
      <c r="B481" t="s">
        <v>755</v>
      </c>
      <c r="C481" s="32" t="str" cm="1">
        <f t="array" aca="1" ref="C481" ca="1">"'='" &amp; MID(CELL("address",INDIRECT(B481)),$K$2+1,100)</f>
        <v>'='CNPIs Housing'!$K$16</v>
      </c>
      <c r="D481" s="38">
        <f>M3B4z2OtherHousing2Results</f>
        <v>0</v>
      </c>
      <c r="E481" s="38" t="s">
        <v>493</v>
      </c>
      <c r="F481" s="110" t="s">
        <v>755</v>
      </c>
      <c r="I481" s="13" t="str">
        <f t="shared" si="7"/>
        <v>M3B4FALSE</v>
      </c>
      <c r="T481"/>
    </row>
    <row r="482" spans="1:20" ht="12.75" customHeight="1" x14ac:dyDescent="0.25">
      <c r="A482" s="13" t="s">
        <v>1399</v>
      </c>
      <c r="B482" s="13" t="s">
        <v>1399</v>
      </c>
      <c r="C482" s="32" t="str" cm="1">
        <f t="array" aca="1" ref="C482" ca="1">"'='" &amp; MID(CELL("address",INDIRECT(B482)),$K$2+1,100)</f>
        <v>'='CNPIs Housing'!$L$16</v>
      </c>
      <c r="D482" s="38" t="str">
        <f>M3B4z2OtherHousing2Accuracy</f>
        <v/>
      </c>
      <c r="E482" s="38" t="s">
        <v>493</v>
      </c>
      <c r="F482" s="13" t="s">
        <v>1399</v>
      </c>
      <c r="I482" s="13" t="str">
        <f t="shared" si="7"/>
        <v>M3B4FALSE</v>
      </c>
      <c r="T482"/>
    </row>
    <row r="483" spans="1:20" ht="12.75" customHeight="1" x14ac:dyDescent="0.25">
      <c r="A483" t="s">
        <v>756</v>
      </c>
      <c r="B483" t="s">
        <v>756</v>
      </c>
      <c r="C483" s="32" t="str" cm="1">
        <f t="array" aca="1" ref="C483" ca="1">"'='" &amp; MID(CELL("address",INDIRECT(B483)),$K$2+1,100)</f>
        <v>'='CNPIs Housing'!$C$17</v>
      </c>
      <c r="D483" s="38">
        <f>M3B4z3OtherHousing3Name</f>
        <v>0</v>
      </c>
      <c r="E483" s="38" t="s">
        <v>284</v>
      </c>
      <c r="F483" s="110" t="s">
        <v>756</v>
      </c>
      <c r="G483" s="38">
        <v>1000</v>
      </c>
      <c r="I483" s="13" t="str">
        <f t="shared" si="7"/>
        <v>M3B4FALSE</v>
      </c>
      <c r="T483"/>
    </row>
    <row r="484" spans="1:20" ht="12.75" customHeight="1" x14ac:dyDescent="0.25">
      <c r="A484" t="s">
        <v>757</v>
      </c>
      <c r="B484" t="s">
        <v>757</v>
      </c>
      <c r="C484" s="32" t="str" cm="1">
        <f t="array" aca="1" ref="C484" ca="1">"'='" &amp; MID(CELL("address",INDIRECT(B484)),$K$2+1,100)</f>
        <v>'='CNPIs Housing'!$J$17</v>
      </c>
      <c r="D484" s="38">
        <f>M3B4z3OtherHousing3Target</f>
        <v>0</v>
      </c>
      <c r="E484" s="38" t="s">
        <v>493</v>
      </c>
      <c r="F484" s="110" t="s">
        <v>757</v>
      </c>
      <c r="I484" s="13" t="str">
        <f t="shared" si="7"/>
        <v>M3B4FALSE</v>
      </c>
      <c r="T484"/>
    </row>
    <row r="485" spans="1:20" ht="12.75" customHeight="1" x14ac:dyDescent="0.25">
      <c r="A485" t="s">
        <v>758</v>
      </c>
      <c r="B485" t="s">
        <v>758</v>
      </c>
      <c r="C485" s="32" t="str" cm="1">
        <f t="array" aca="1" ref="C485" ca="1">"'='" &amp; MID(CELL("address",INDIRECT(B485)),$K$2+1,100)</f>
        <v>'='CNPIs Housing'!$K$17</v>
      </c>
      <c r="D485" s="38">
        <f>M3B4z3OtherHousing3Results</f>
        <v>0</v>
      </c>
      <c r="E485" s="38" t="s">
        <v>493</v>
      </c>
      <c r="F485" s="110" t="s">
        <v>758</v>
      </c>
      <c r="I485" s="13" t="str">
        <f t="shared" si="7"/>
        <v>M3B4FALSE</v>
      </c>
      <c r="T485"/>
    </row>
    <row r="486" spans="1:20" ht="12.75" customHeight="1" x14ac:dyDescent="0.25">
      <c r="A486" s="13" t="s">
        <v>1400</v>
      </c>
      <c r="B486" s="13" t="s">
        <v>1400</v>
      </c>
      <c r="C486" s="32" t="str" cm="1">
        <f t="array" aca="1" ref="C486" ca="1">"'='" &amp; MID(CELL("address",INDIRECT(B486)),$K$2+1,100)</f>
        <v>'='CNPIs Housing'!$L$17</v>
      </c>
      <c r="D486" s="38" t="str">
        <f>M3B4z3OtherHousing3Accuracy</f>
        <v/>
      </c>
      <c r="E486" s="38" t="s">
        <v>493</v>
      </c>
      <c r="F486" s="13" t="s">
        <v>1400</v>
      </c>
      <c r="I486" s="13" t="str">
        <f t="shared" si="7"/>
        <v>M3B4FALSE</v>
      </c>
      <c r="T486"/>
    </row>
    <row r="487" spans="1:20" ht="12.75" customHeight="1" x14ac:dyDescent="0.25">
      <c r="A487" t="s">
        <v>765</v>
      </c>
      <c r="B487" t="s">
        <v>765</v>
      </c>
      <c r="C487" s="32" t="str" cm="1">
        <f t="array" aca="1" ref="C487" ca="1">"'='" &amp; MID(CELL("address",INDIRECT(B487)),$K$2+1,100)</f>
        <v>'='CNPIs Housing'!$G$20</v>
      </c>
      <c r="D487" s="38">
        <f>M3B4eHomelessBaseline</f>
        <v>0</v>
      </c>
      <c r="E487" s="38" t="s">
        <v>493</v>
      </c>
      <c r="F487" s="110" t="s">
        <v>765</v>
      </c>
      <c r="I487" s="13" t="str">
        <f t="shared" si="7"/>
        <v>M3B4FALSE</v>
      </c>
      <c r="T487"/>
    </row>
    <row r="488" spans="1:20" ht="12.75" customHeight="1" x14ac:dyDescent="0.25">
      <c r="A488" t="s">
        <v>766</v>
      </c>
      <c r="B488" t="s">
        <v>766</v>
      </c>
      <c r="C488" s="32" t="str" cm="1">
        <f t="array" aca="1" ref="C488" ca="1">"'='" &amp; MID(CELL("address",INDIRECT(B488)),$K$2+1,100)</f>
        <v>'='CNPIs Housing'!$H$20</v>
      </c>
      <c r="D488" s="38">
        <f>M3B4eHomelessTarget</f>
        <v>0</v>
      </c>
      <c r="E488" s="38" t="s">
        <v>493</v>
      </c>
      <c r="F488" s="110" t="s">
        <v>766</v>
      </c>
      <c r="I488" s="13" t="str">
        <f t="shared" si="7"/>
        <v>M3B4FALSE</v>
      </c>
      <c r="T488"/>
    </row>
    <row r="489" spans="1:20" ht="12.75" customHeight="1" x14ac:dyDescent="0.25">
      <c r="A489" s="13" t="s">
        <v>1383</v>
      </c>
      <c r="B489" s="13" t="s">
        <v>1383</v>
      </c>
      <c r="C489" s="32" t="str" cm="1">
        <f t="array" aca="1" ref="C489" ca="1">"'='" &amp; MID(CELL("address",INDIRECT(B489)),$K$2+1,100)</f>
        <v>'='CNPIs Housing'!$I$20</v>
      </c>
      <c r="D489" s="38" t="str">
        <f>M3B4eHomelessExpectChng</f>
        <v/>
      </c>
      <c r="E489" s="38" t="s">
        <v>493</v>
      </c>
      <c r="F489" s="13" t="s">
        <v>1383</v>
      </c>
      <c r="I489" s="13" t="str">
        <f t="shared" si="7"/>
        <v>M3B4FALSE</v>
      </c>
      <c r="T489"/>
    </row>
    <row r="490" spans="1:20" ht="12.75" customHeight="1" x14ac:dyDescent="0.25">
      <c r="A490" t="s">
        <v>767</v>
      </c>
      <c r="B490" t="s">
        <v>767</v>
      </c>
      <c r="C490" s="32" t="str" cm="1">
        <f t="array" aca="1" ref="C490" ca="1">"'='" &amp; MID(CELL("address",INDIRECT(B490)),$K$2+1,100)</f>
        <v>'='CNPIs Housing'!$J$20</v>
      </c>
      <c r="D490" s="38">
        <f>M3B4eHomelessResults</f>
        <v>0</v>
      </c>
      <c r="E490" s="38" t="s">
        <v>493</v>
      </c>
      <c r="F490" s="110" t="s">
        <v>767</v>
      </c>
      <c r="I490" s="13" t="str">
        <f t="shared" ref="I490:I553" si="8">LEFT(A490,4) &amp; AND(D490&lt;&gt;"",D490&lt;&gt;0)</f>
        <v>M3B4FALSE</v>
      </c>
      <c r="T490"/>
    </row>
    <row r="491" spans="1:20" ht="12.75" customHeight="1" x14ac:dyDescent="0.25">
      <c r="A491" s="13" t="s">
        <v>1384</v>
      </c>
      <c r="B491" s="13" t="s">
        <v>1384</v>
      </c>
      <c r="C491" s="32" t="str" cm="1">
        <f t="array" aca="1" ref="C491" ca="1">"'='" &amp; MID(CELL("address",INDIRECT(B491)),$K$2+1,100)</f>
        <v>'='CNPIs Housing'!$K$20</v>
      </c>
      <c r="D491" s="38" t="str">
        <f>M3B4eHomelessActualChng</f>
        <v/>
      </c>
      <c r="E491" s="38" t="s">
        <v>493</v>
      </c>
      <c r="F491" s="13" t="s">
        <v>1384</v>
      </c>
      <c r="I491" s="13" t="str">
        <f t="shared" si="8"/>
        <v>M3B4FALSE</v>
      </c>
      <c r="T491"/>
    </row>
    <row r="492" spans="1:20" ht="12.75" customHeight="1" x14ac:dyDescent="0.25">
      <c r="A492" s="13" t="s">
        <v>1385</v>
      </c>
      <c r="B492" s="13" t="s">
        <v>1385</v>
      </c>
      <c r="C492" s="32" t="str" cm="1">
        <f t="array" aca="1" ref="C492" ca="1">"'='" &amp; MID(CELL("address",INDIRECT(B492)),$K$2+1,100)</f>
        <v>'='CNPIs Housing'!$L$20</v>
      </c>
      <c r="D492" s="38" t="str">
        <f>M3B4eHomelessAccuracy</f>
        <v/>
      </c>
      <c r="E492" s="38" t="s">
        <v>493</v>
      </c>
      <c r="F492" s="13" t="s">
        <v>1385</v>
      </c>
      <c r="I492" s="13" t="str">
        <f t="shared" si="8"/>
        <v>M3B4FALSE</v>
      </c>
      <c r="T492"/>
    </row>
    <row r="493" spans="1:20" ht="12.75" customHeight="1" x14ac:dyDescent="0.25">
      <c r="A493" t="s">
        <v>768</v>
      </c>
      <c r="B493" t="s">
        <v>768</v>
      </c>
      <c r="C493" s="32" t="str" cm="1">
        <f t="array" aca="1" ref="C493" ca="1">"'='" &amp; MID(CELL("address",INDIRECT(B493)),$K$2+1,100)</f>
        <v>'='CNPIs Housing'!$G$21</v>
      </c>
      <c r="D493" s="38">
        <f>M3B4fForecloseRateBaseline</f>
        <v>0</v>
      </c>
      <c r="E493" s="38" t="s">
        <v>493</v>
      </c>
      <c r="F493" s="110" t="s">
        <v>768</v>
      </c>
      <c r="I493" s="13" t="str">
        <f t="shared" si="8"/>
        <v>M3B4FALSE</v>
      </c>
      <c r="T493"/>
    </row>
    <row r="494" spans="1:20" ht="12.75" customHeight="1" x14ac:dyDescent="0.25">
      <c r="A494" t="s">
        <v>769</v>
      </c>
      <c r="B494" t="s">
        <v>769</v>
      </c>
      <c r="C494" s="32" t="str" cm="1">
        <f t="array" aca="1" ref="C494" ca="1">"'='" &amp; MID(CELL("address",INDIRECT(B494)),$K$2+1,100)</f>
        <v>'='CNPIs Housing'!$H$21</v>
      </c>
      <c r="D494" s="38">
        <f>M3B4fForecloseRateTarget</f>
        <v>0</v>
      </c>
      <c r="E494" s="38" t="s">
        <v>493</v>
      </c>
      <c r="F494" s="110" t="s">
        <v>769</v>
      </c>
      <c r="I494" s="13" t="str">
        <f t="shared" si="8"/>
        <v>M3B4FALSE</v>
      </c>
      <c r="T494"/>
    </row>
    <row r="495" spans="1:20" ht="12.75" customHeight="1" x14ac:dyDescent="0.25">
      <c r="A495" s="13" t="s">
        <v>1386</v>
      </c>
      <c r="B495" s="13" t="s">
        <v>1386</v>
      </c>
      <c r="C495" s="32" t="str" cm="1">
        <f t="array" aca="1" ref="C495" ca="1">"'='" &amp; MID(CELL("address",INDIRECT(B495)),$K$2+1,100)</f>
        <v>'='CNPIs Housing'!$I$21</v>
      </c>
      <c r="D495" s="38" t="str">
        <f>M3B4fForecloseRateExpectChng</f>
        <v/>
      </c>
      <c r="E495" s="38" t="s">
        <v>493</v>
      </c>
      <c r="F495" s="13" t="s">
        <v>1386</v>
      </c>
      <c r="I495" s="13" t="str">
        <f t="shared" si="8"/>
        <v>M3B4FALSE</v>
      </c>
      <c r="T495"/>
    </row>
    <row r="496" spans="1:20" ht="12.75" customHeight="1" x14ac:dyDescent="0.25">
      <c r="A496" t="s">
        <v>770</v>
      </c>
      <c r="B496" t="s">
        <v>770</v>
      </c>
      <c r="C496" s="32" t="str" cm="1">
        <f t="array" aca="1" ref="C496" ca="1">"'='" &amp; MID(CELL("address",INDIRECT(B496)),$K$2+1,100)</f>
        <v>'='CNPIs Housing'!$J$21</v>
      </c>
      <c r="D496" s="38">
        <f>M3B4fForecloseRateResults</f>
        <v>0</v>
      </c>
      <c r="E496" s="38" t="s">
        <v>493</v>
      </c>
      <c r="F496" s="110" t="s">
        <v>770</v>
      </c>
      <c r="I496" s="13" t="str">
        <f t="shared" si="8"/>
        <v>M3B4FALSE</v>
      </c>
      <c r="T496"/>
    </row>
    <row r="497" spans="1:20" ht="12.75" customHeight="1" x14ac:dyDescent="0.25">
      <c r="A497" s="13" t="s">
        <v>1387</v>
      </c>
      <c r="B497" s="13" t="s">
        <v>1387</v>
      </c>
      <c r="C497" s="32" t="str" cm="1">
        <f t="array" aca="1" ref="C497" ca="1">"'='" &amp; MID(CELL("address",INDIRECT(B497)),$K$2+1,100)</f>
        <v>'='CNPIs Housing'!$K$21</v>
      </c>
      <c r="D497" s="38" t="str">
        <f>M3B4fForecloseRateActualChng</f>
        <v/>
      </c>
      <c r="E497" s="38" t="s">
        <v>493</v>
      </c>
      <c r="F497" s="13" t="s">
        <v>1387</v>
      </c>
      <c r="I497" s="13" t="str">
        <f t="shared" si="8"/>
        <v>M3B4FALSE</v>
      </c>
      <c r="T497"/>
    </row>
    <row r="498" spans="1:20" ht="12.75" customHeight="1" x14ac:dyDescent="0.25">
      <c r="A498" s="13" t="s">
        <v>1388</v>
      </c>
      <c r="B498" s="13" t="s">
        <v>1388</v>
      </c>
      <c r="C498" s="32" t="str" cm="1">
        <f t="array" aca="1" ref="C498" ca="1">"'='" &amp; MID(CELL("address",INDIRECT(B498)),$K$2+1,100)</f>
        <v>'='CNPIs Housing'!$L$21</v>
      </c>
      <c r="D498" s="38" t="str">
        <f>M3B4fForecloseRateAccuracy</f>
        <v/>
      </c>
      <c r="E498" s="38" t="s">
        <v>493</v>
      </c>
      <c r="F498" s="13" t="s">
        <v>1388</v>
      </c>
      <c r="I498" s="13" t="str">
        <f t="shared" si="8"/>
        <v>M3B4FALSE</v>
      </c>
      <c r="T498"/>
    </row>
    <row r="499" spans="1:20" ht="12.75" customHeight="1" x14ac:dyDescent="0.25">
      <c r="A499" t="s">
        <v>771</v>
      </c>
      <c r="B499" t="s">
        <v>771</v>
      </c>
      <c r="C499" s="32" t="str" cm="1">
        <f t="array" aca="1" ref="C499" ca="1">"'='" &amp; MID(CELL("address",INDIRECT(B499)),$K$2+1,100)</f>
        <v>'='CNPIs Housing'!$G$22</v>
      </c>
      <c r="D499" s="38">
        <f>M3B4gHomeOwnBaseline</f>
        <v>0</v>
      </c>
      <c r="E499" s="38" t="s">
        <v>493</v>
      </c>
      <c r="F499" s="110" t="s">
        <v>771</v>
      </c>
      <c r="I499" s="13" t="str">
        <f t="shared" si="8"/>
        <v>M3B4FALSE</v>
      </c>
      <c r="T499"/>
    </row>
    <row r="500" spans="1:20" ht="12.75" customHeight="1" x14ac:dyDescent="0.25">
      <c r="A500" t="s">
        <v>772</v>
      </c>
      <c r="B500" t="s">
        <v>772</v>
      </c>
      <c r="C500" s="32" t="str" cm="1">
        <f t="array" aca="1" ref="C500" ca="1">"'='" &amp; MID(CELL("address",INDIRECT(B500)),$K$2+1,100)</f>
        <v>'='CNPIs Housing'!$H$22</v>
      </c>
      <c r="D500" s="38">
        <f>M3B4gHomeOwnTarget</f>
        <v>0</v>
      </c>
      <c r="E500" s="38" t="s">
        <v>493</v>
      </c>
      <c r="F500" s="110" t="s">
        <v>772</v>
      </c>
      <c r="I500" s="13" t="str">
        <f t="shared" si="8"/>
        <v>M3B4FALSE</v>
      </c>
      <c r="T500"/>
    </row>
    <row r="501" spans="1:20" ht="12.75" customHeight="1" x14ac:dyDescent="0.25">
      <c r="A501" s="13" t="s">
        <v>1389</v>
      </c>
      <c r="B501" s="13" t="s">
        <v>1389</v>
      </c>
      <c r="C501" s="32" t="str" cm="1">
        <f t="array" aca="1" ref="C501" ca="1">"'='" &amp; MID(CELL("address",INDIRECT(B501)),$K$2+1,100)</f>
        <v>'='CNPIs Housing'!$I$22</v>
      </c>
      <c r="D501" s="38" t="str">
        <f>M3B4gHomeOwnExpectChng</f>
        <v/>
      </c>
      <c r="E501" s="38" t="s">
        <v>493</v>
      </c>
      <c r="F501" s="13" t="s">
        <v>1389</v>
      </c>
      <c r="I501" s="13" t="str">
        <f t="shared" si="8"/>
        <v>M3B4FALSE</v>
      </c>
      <c r="T501"/>
    </row>
    <row r="502" spans="1:20" ht="12.75" customHeight="1" x14ac:dyDescent="0.25">
      <c r="A502" t="s">
        <v>773</v>
      </c>
      <c r="B502" t="s">
        <v>773</v>
      </c>
      <c r="C502" s="32" t="str" cm="1">
        <f t="array" aca="1" ref="C502" ca="1">"'='" &amp; MID(CELL("address",INDIRECT(B502)),$K$2+1,100)</f>
        <v>'='CNPIs Housing'!$J$22</v>
      </c>
      <c r="D502" s="38">
        <f>M3B4gHomeOwnResults</f>
        <v>0</v>
      </c>
      <c r="E502" s="38" t="s">
        <v>493</v>
      </c>
      <c r="F502" s="110" t="s">
        <v>773</v>
      </c>
      <c r="I502" s="13" t="str">
        <f t="shared" si="8"/>
        <v>M3B4FALSE</v>
      </c>
      <c r="T502"/>
    </row>
    <row r="503" spans="1:20" ht="12.75" customHeight="1" x14ac:dyDescent="0.25">
      <c r="A503" s="13" t="s">
        <v>1390</v>
      </c>
      <c r="B503" s="13" t="s">
        <v>1390</v>
      </c>
      <c r="C503" s="32" t="str" cm="1">
        <f t="array" aca="1" ref="C503" ca="1">"'='" &amp; MID(CELL("address",INDIRECT(B503)),$K$2+1,100)</f>
        <v>'='CNPIs Housing'!$K$22</v>
      </c>
      <c r="D503" s="38" t="str">
        <f>M3B4gHomeOwnActualChng</f>
        <v/>
      </c>
      <c r="E503" s="38" t="s">
        <v>493</v>
      </c>
      <c r="F503" s="13" t="s">
        <v>1390</v>
      </c>
      <c r="I503" s="13" t="str">
        <f t="shared" si="8"/>
        <v>M3B4FALSE</v>
      </c>
      <c r="T503"/>
    </row>
    <row r="504" spans="1:20" ht="12.75" customHeight="1" x14ac:dyDescent="0.25">
      <c r="A504" s="13" t="s">
        <v>1391</v>
      </c>
      <c r="B504" s="13" t="s">
        <v>1391</v>
      </c>
      <c r="C504" s="32" t="str" cm="1">
        <f t="array" aca="1" ref="C504" ca="1">"'='" &amp; MID(CELL("address",INDIRECT(B504)),$K$2+1,100)</f>
        <v>'='CNPIs Housing'!$L$22</v>
      </c>
      <c r="D504" s="38" t="str">
        <f>M3B4gHomeOwnAccuracy</f>
        <v/>
      </c>
      <c r="E504" s="38" t="s">
        <v>493</v>
      </c>
      <c r="F504" s="13" t="s">
        <v>1391</v>
      </c>
      <c r="I504" s="13" t="str">
        <f t="shared" si="8"/>
        <v>M3B4FALSE</v>
      </c>
      <c r="T504"/>
    </row>
    <row r="505" spans="1:20" ht="12.75" customHeight="1" x14ac:dyDescent="0.25">
      <c r="A505" t="s">
        <v>774</v>
      </c>
      <c r="B505" t="s">
        <v>774</v>
      </c>
      <c r="C505" s="32" t="str" cm="1">
        <f t="array" aca="1" ref="C505" ca="1">"'='" &amp; MID(CELL("address",INDIRECT(B505)),$K$2+1,100)</f>
        <v>'='CNPIs Housing'!$G$23</v>
      </c>
      <c r="D505" s="38">
        <f>M3B4hAffordHouseBaseline</f>
        <v>0</v>
      </c>
      <c r="E505" s="38" t="s">
        <v>493</v>
      </c>
      <c r="F505" s="110" t="s">
        <v>774</v>
      </c>
      <c r="I505" s="13" t="str">
        <f t="shared" si="8"/>
        <v>M3B4FALSE</v>
      </c>
      <c r="T505"/>
    </row>
    <row r="506" spans="1:20" ht="12.75" customHeight="1" x14ac:dyDescent="0.25">
      <c r="A506" t="s">
        <v>775</v>
      </c>
      <c r="B506" t="s">
        <v>775</v>
      </c>
      <c r="C506" s="32" t="str" cm="1">
        <f t="array" aca="1" ref="C506" ca="1">"'='" &amp; MID(CELL("address",INDIRECT(B506)),$K$2+1,100)</f>
        <v>'='CNPIs Housing'!$H$23</v>
      </c>
      <c r="D506" s="38">
        <f>M3B4hAffordHouseTarget</f>
        <v>0</v>
      </c>
      <c r="E506" s="38" t="s">
        <v>493</v>
      </c>
      <c r="F506" s="110" t="s">
        <v>775</v>
      </c>
      <c r="I506" s="13" t="str">
        <f t="shared" si="8"/>
        <v>M3B4FALSE</v>
      </c>
      <c r="T506"/>
    </row>
    <row r="507" spans="1:20" ht="12.75" customHeight="1" x14ac:dyDescent="0.25">
      <c r="A507" s="13" t="s">
        <v>1392</v>
      </c>
      <c r="B507" s="13" t="s">
        <v>1392</v>
      </c>
      <c r="C507" s="32" t="str" cm="1">
        <f t="array" aca="1" ref="C507" ca="1">"'='" &amp; MID(CELL("address",INDIRECT(B507)),$K$2+1,100)</f>
        <v>'='CNPIs Housing'!$I$23</v>
      </c>
      <c r="D507" s="38" t="str">
        <f>M3B4hAffordHouseExpectChng</f>
        <v/>
      </c>
      <c r="E507" s="38" t="s">
        <v>493</v>
      </c>
      <c r="F507" s="13" t="s">
        <v>1392</v>
      </c>
      <c r="I507" s="13" t="str">
        <f t="shared" si="8"/>
        <v>M3B4FALSE</v>
      </c>
      <c r="T507"/>
    </row>
    <row r="508" spans="1:20" ht="12.75" customHeight="1" x14ac:dyDescent="0.25">
      <c r="A508" t="s">
        <v>776</v>
      </c>
      <c r="B508" t="s">
        <v>776</v>
      </c>
      <c r="C508" s="32" t="str" cm="1">
        <f t="array" aca="1" ref="C508" ca="1">"'='" &amp; MID(CELL("address",INDIRECT(B508)),$K$2+1,100)</f>
        <v>'='CNPIs Housing'!$J$23</v>
      </c>
      <c r="D508" s="38">
        <f>M3B4hAffordHouseResults</f>
        <v>0</v>
      </c>
      <c r="E508" s="38" t="s">
        <v>493</v>
      </c>
      <c r="F508" s="110" t="s">
        <v>776</v>
      </c>
      <c r="I508" s="13" t="str">
        <f t="shared" si="8"/>
        <v>M3B4FALSE</v>
      </c>
      <c r="T508"/>
    </row>
    <row r="509" spans="1:20" ht="12.75" customHeight="1" x14ac:dyDescent="0.25">
      <c r="A509" s="13" t="s">
        <v>1393</v>
      </c>
      <c r="B509" s="13" t="s">
        <v>1393</v>
      </c>
      <c r="C509" s="32" t="str" cm="1">
        <f t="array" aca="1" ref="C509" ca="1">"'='" &amp; MID(CELL("address",INDIRECT(B509)),$K$2+1,100)</f>
        <v>'='CNPIs Housing'!$K$23</v>
      </c>
      <c r="D509" s="38" t="str">
        <f>M3B4hAffordHouseActualChng</f>
        <v/>
      </c>
      <c r="E509" s="38" t="s">
        <v>493</v>
      </c>
      <c r="F509" s="13" t="s">
        <v>1393</v>
      </c>
      <c r="I509" s="13" t="str">
        <f t="shared" si="8"/>
        <v>M3B4FALSE</v>
      </c>
      <c r="T509"/>
    </row>
    <row r="510" spans="1:20" ht="12.75" customHeight="1" x14ac:dyDescent="0.25">
      <c r="A510" s="13" t="s">
        <v>1394</v>
      </c>
      <c r="B510" s="13" t="s">
        <v>1394</v>
      </c>
      <c r="C510" s="32" t="str" cm="1">
        <f t="array" aca="1" ref="C510" ca="1">"'='" &amp; MID(CELL("address",INDIRECT(B510)),$K$2+1,100)</f>
        <v>'='CNPIs Housing'!$L$23</v>
      </c>
      <c r="D510" s="38" t="str">
        <f>M3B4hAffordHouseAccuracy</f>
        <v/>
      </c>
      <c r="E510" s="38" t="s">
        <v>493</v>
      </c>
      <c r="F510" s="13" t="s">
        <v>1394</v>
      </c>
      <c r="I510" s="13" t="str">
        <f t="shared" si="8"/>
        <v>M3B4FALSE</v>
      </c>
      <c r="T510"/>
    </row>
    <row r="511" spans="1:20" ht="12.75" customHeight="1" x14ac:dyDescent="0.25">
      <c r="A511" t="s">
        <v>777</v>
      </c>
      <c r="B511" t="s">
        <v>777</v>
      </c>
      <c r="C511" s="32" t="str" cm="1">
        <f t="array" aca="1" ref="C511" ca="1">"'='" &amp; MID(CELL("address",INDIRECT(B511)),$K$2+1,100)</f>
        <v>'='CNPIs Housing'!$G$24</v>
      </c>
      <c r="D511" s="38">
        <f>M3B4iShelterBedBaseline</f>
        <v>0</v>
      </c>
      <c r="E511" s="38" t="s">
        <v>493</v>
      </c>
      <c r="F511" s="110" t="s">
        <v>777</v>
      </c>
      <c r="I511" s="13" t="str">
        <f t="shared" si="8"/>
        <v>M3B4FALSE</v>
      </c>
      <c r="T511"/>
    </row>
    <row r="512" spans="1:20" ht="12.75" customHeight="1" x14ac:dyDescent="0.25">
      <c r="A512" t="s">
        <v>778</v>
      </c>
      <c r="B512" t="s">
        <v>778</v>
      </c>
      <c r="C512" s="32" t="str" cm="1">
        <f t="array" aca="1" ref="C512" ca="1">"'='" &amp; MID(CELL("address",INDIRECT(B512)),$K$2+1,100)</f>
        <v>'='CNPIs Housing'!$H$24</v>
      </c>
      <c r="D512" s="38">
        <f>M3B4iShelterBedTarget</f>
        <v>0</v>
      </c>
      <c r="E512" s="38" t="s">
        <v>493</v>
      </c>
      <c r="F512" s="110" t="s">
        <v>778</v>
      </c>
      <c r="I512" s="13" t="str">
        <f t="shared" si="8"/>
        <v>M3B4FALSE</v>
      </c>
      <c r="T512"/>
    </row>
    <row r="513" spans="1:20" ht="12.75" customHeight="1" x14ac:dyDescent="0.25">
      <c r="A513" s="13" t="s">
        <v>1395</v>
      </c>
      <c r="B513" s="13" t="s">
        <v>1395</v>
      </c>
      <c r="C513" s="32" t="str" cm="1">
        <f t="array" aca="1" ref="C513" ca="1">"'='" &amp; MID(CELL("address",INDIRECT(B513)),$K$2+1,100)</f>
        <v>'='CNPIs Housing'!$I$24</v>
      </c>
      <c r="D513" s="38" t="str">
        <f>M3B4iShelterBedExpectChng</f>
        <v/>
      </c>
      <c r="E513" s="38" t="s">
        <v>493</v>
      </c>
      <c r="F513" s="13" t="s">
        <v>1395</v>
      </c>
      <c r="I513" s="13" t="str">
        <f t="shared" si="8"/>
        <v>M3B4FALSE</v>
      </c>
      <c r="T513"/>
    </row>
    <row r="514" spans="1:20" ht="12.75" customHeight="1" x14ac:dyDescent="0.25">
      <c r="A514" t="s">
        <v>779</v>
      </c>
      <c r="B514" t="s">
        <v>779</v>
      </c>
      <c r="C514" s="32" t="str" cm="1">
        <f t="array" aca="1" ref="C514" ca="1">"'='" &amp; MID(CELL("address",INDIRECT(B514)),$K$2+1,100)</f>
        <v>'='CNPIs Housing'!$J$24</v>
      </c>
      <c r="D514" s="38">
        <f>M3B4iShelterBedResults</f>
        <v>0</v>
      </c>
      <c r="E514" s="38" t="s">
        <v>493</v>
      </c>
      <c r="F514" s="110" t="s">
        <v>779</v>
      </c>
      <c r="I514" s="13" t="str">
        <f t="shared" si="8"/>
        <v>M3B4FALSE</v>
      </c>
      <c r="T514"/>
    </row>
    <row r="515" spans="1:20" ht="12.75" customHeight="1" x14ac:dyDescent="0.25">
      <c r="A515" s="13" t="s">
        <v>1396</v>
      </c>
      <c r="B515" s="13" t="s">
        <v>1396</v>
      </c>
      <c r="C515" s="32" t="str" cm="1">
        <f t="array" aca="1" ref="C515" ca="1">"'='" &amp; MID(CELL("address",INDIRECT(B515)),$K$2+1,100)</f>
        <v>'='CNPIs Housing'!$K$24</v>
      </c>
      <c r="D515" s="38" t="str">
        <f>M3B4iShelterBedActualChng</f>
        <v/>
      </c>
      <c r="E515" s="38" t="s">
        <v>493</v>
      </c>
      <c r="F515" s="13" t="s">
        <v>1396</v>
      </c>
      <c r="I515" s="13" t="str">
        <f t="shared" si="8"/>
        <v>M3B4FALSE</v>
      </c>
      <c r="T515"/>
    </row>
    <row r="516" spans="1:20" ht="12.75" customHeight="1" x14ac:dyDescent="0.25">
      <c r="A516" s="13" t="s">
        <v>1397</v>
      </c>
      <c r="B516" s="13" t="s">
        <v>1397</v>
      </c>
      <c r="C516" s="32" t="str" cm="1">
        <f t="array" aca="1" ref="C516" ca="1">"'='" &amp; MID(CELL("address",INDIRECT(B516)),$K$2+1,100)</f>
        <v>'='CNPIs Housing'!$L$24</v>
      </c>
      <c r="D516" s="38" t="str">
        <f>M3B4iShelterBedAccuracy</f>
        <v/>
      </c>
      <c r="E516" s="38" t="s">
        <v>493</v>
      </c>
      <c r="F516" s="13" t="s">
        <v>1397</v>
      </c>
      <c r="I516" s="13" t="str">
        <f t="shared" si="8"/>
        <v>M3B4FALSE</v>
      </c>
      <c r="T516"/>
    </row>
    <row r="517" spans="1:20" ht="12.75" customHeight="1" x14ac:dyDescent="0.25">
      <c r="A517" t="s">
        <v>759</v>
      </c>
      <c r="B517" t="s">
        <v>759</v>
      </c>
      <c r="C517" s="32" t="str" cm="1">
        <f t="array" aca="1" ref="C517" ca="1">"'='" &amp; MID(CELL("address",INDIRECT(B517)),$K$2+1,100)</f>
        <v>'='CNPIs Housing'!$C$27</v>
      </c>
      <c r="D517" s="38">
        <f>M3B4z4OtherHousing4Name</f>
        <v>0</v>
      </c>
      <c r="E517" s="38" t="s">
        <v>284</v>
      </c>
      <c r="F517" s="110" t="s">
        <v>759</v>
      </c>
      <c r="G517" s="38">
        <v>1000</v>
      </c>
      <c r="I517" s="13" t="str">
        <f t="shared" si="8"/>
        <v>M3B4FALSE</v>
      </c>
      <c r="T517"/>
    </row>
    <row r="518" spans="1:20" ht="12.75" customHeight="1" x14ac:dyDescent="0.25">
      <c r="A518" t="s">
        <v>785</v>
      </c>
      <c r="B518" t="s">
        <v>785</v>
      </c>
      <c r="C518" s="32" t="str" cm="1">
        <f t="array" aca="1" ref="C518" ca="1">"'='" &amp; MID(CELL("address",INDIRECT(B518)),$K$2+1,100)</f>
        <v>'='CNPIs Housing'!$G$27</v>
      </c>
      <c r="D518" s="38">
        <f>M3B4z4OtherHousing4Baseline</f>
        <v>0</v>
      </c>
      <c r="E518" s="38" t="s">
        <v>493</v>
      </c>
      <c r="F518" s="110" t="s">
        <v>785</v>
      </c>
      <c r="I518" s="13" t="str">
        <f t="shared" si="8"/>
        <v>M3B4FALSE</v>
      </c>
      <c r="T518"/>
    </row>
    <row r="519" spans="1:20" ht="12.75" customHeight="1" x14ac:dyDescent="0.25">
      <c r="A519" t="s">
        <v>760</v>
      </c>
      <c r="B519" t="s">
        <v>760</v>
      </c>
      <c r="C519" s="32" t="str" cm="1">
        <f t="array" aca="1" ref="C519" ca="1">"'='" &amp; MID(CELL("address",INDIRECT(B519)),$K$2+1,100)</f>
        <v>'='CNPIs Housing'!$H$27</v>
      </c>
      <c r="D519" s="38">
        <f>M3B4z4OtherHousing4Target</f>
        <v>0</v>
      </c>
      <c r="E519" s="38" t="s">
        <v>493</v>
      </c>
      <c r="F519" s="110" t="s">
        <v>760</v>
      </c>
      <c r="I519" s="13" t="str">
        <f t="shared" si="8"/>
        <v>M3B4FALSE</v>
      </c>
      <c r="T519"/>
    </row>
    <row r="520" spans="1:20" ht="12.75" customHeight="1" x14ac:dyDescent="0.25">
      <c r="A520" s="13" t="s">
        <v>1401</v>
      </c>
      <c r="B520" s="13" t="s">
        <v>1401</v>
      </c>
      <c r="C520" s="32" t="str" cm="1">
        <f t="array" aca="1" ref="C520" ca="1">"'='" &amp; MID(CELL("address",INDIRECT(B520)),$K$2+1,100)</f>
        <v>'='CNPIs Housing'!$I$27</v>
      </c>
      <c r="D520" s="38" t="str">
        <f>M3B4z4OtherHousing4ExpectChng</f>
        <v/>
      </c>
      <c r="E520" s="38" t="s">
        <v>493</v>
      </c>
      <c r="F520" s="13" t="s">
        <v>1401</v>
      </c>
      <c r="I520" s="13" t="str">
        <f t="shared" si="8"/>
        <v>M3B4FALSE</v>
      </c>
      <c r="T520"/>
    </row>
    <row r="521" spans="1:20" ht="12.75" customHeight="1" x14ac:dyDescent="0.25">
      <c r="A521" t="s">
        <v>761</v>
      </c>
      <c r="B521" t="s">
        <v>761</v>
      </c>
      <c r="C521" s="32" t="str" cm="1">
        <f t="array" aca="1" ref="C521" ca="1">"'='" &amp; MID(CELL("address",INDIRECT(B521)),$K$2+1,100)</f>
        <v>'='CNPIs Housing'!$J$27</v>
      </c>
      <c r="D521" s="38">
        <f>M3B4z4OtherHousing4Results</f>
        <v>0</v>
      </c>
      <c r="E521" s="38" t="s">
        <v>493</v>
      </c>
      <c r="F521" s="110" t="s">
        <v>761</v>
      </c>
      <c r="I521" s="13" t="str">
        <f t="shared" si="8"/>
        <v>M3B4FALSE</v>
      </c>
      <c r="T521"/>
    </row>
    <row r="522" spans="1:20" ht="12.75" customHeight="1" x14ac:dyDescent="0.25">
      <c r="A522" s="13" t="s">
        <v>1402</v>
      </c>
      <c r="B522" s="13" t="s">
        <v>1402</v>
      </c>
      <c r="C522" s="32" t="str" cm="1">
        <f t="array" aca="1" ref="C522" ca="1">"'='" &amp; MID(CELL("address",INDIRECT(B522)),$K$2+1,100)</f>
        <v>'='CNPIs Housing'!$K$27</v>
      </c>
      <c r="D522" s="38" t="str">
        <f>M3B4z4OtherHousing4ActualChng</f>
        <v/>
      </c>
      <c r="E522" s="38" t="s">
        <v>493</v>
      </c>
      <c r="F522" s="13" t="s">
        <v>1402</v>
      </c>
      <c r="I522" s="13" t="str">
        <f t="shared" si="8"/>
        <v>M3B4FALSE</v>
      </c>
      <c r="T522"/>
    </row>
    <row r="523" spans="1:20" ht="12.75" customHeight="1" x14ac:dyDescent="0.25">
      <c r="A523" s="13" t="s">
        <v>1403</v>
      </c>
      <c r="B523" s="13" t="s">
        <v>1403</v>
      </c>
      <c r="C523" s="32" t="str" cm="1">
        <f t="array" aca="1" ref="C523" ca="1">"'='" &amp; MID(CELL("address",INDIRECT(B523)),$K$2+1,100)</f>
        <v>'='CNPIs Housing'!$L$27</v>
      </c>
      <c r="D523" s="38" t="str">
        <f>M3B4z4OtherHousing4Accuracy</f>
        <v/>
      </c>
      <c r="E523" s="38" t="s">
        <v>493</v>
      </c>
      <c r="F523" s="13" t="s">
        <v>1403</v>
      </c>
      <c r="I523" s="13" t="str">
        <f t="shared" si="8"/>
        <v>M3B4FALSE</v>
      </c>
      <c r="T523"/>
    </row>
    <row r="524" spans="1:20" ht="12.75" customHeight="1" x14ac:dyDescent="0.25">
      <c r="A524" t="s">
        <v>762</v>
      </c>
      <c r="B524" t="s">
        <v>762</v>
      </c>
      <c r="C524" s="32" t="str" cm="1">
        <f t="array" aca="1" ref="C524" ca="1">"'='" &amp; MID(CELL("address",INDIRECT(B524)),$K$2+1,100)</f>
        <v>'='CNPIs Housing'!$C$28</v>
      </c>
      <c r="D524" s="38">
        <f>M3B4z5OtherHousing5Name</f>
        <v>0</v>
      </c>
      <c r="E524" s="38" t="s">
        <v>284</v>
      </c>
      <c r="F524" s="110" t="s">
        <v>762</v>
      </c>
      <c r="G524" s="38">
        <v>1000</v>
      </c>
      <c r="I524" s="13" t="str">
        <f t="shared" si="8"/>
        <v>M3B4FALSE</v>
      </c>
      <c r="T524"/>
    </row>
    <row r="525" spans="1:20" ht="12.75" customHeight="1" x14ac:dyDescent="0.25">
      <c r="A525" t="s">
        <v>784</v>
      </c>
      <c r="B525" t="s">
        <v>784</v>
      </c>
      <c r="C525" s="32" t="str" cm="1">
        <f t="array" aca="1" ref="C525" ca="1">"'='" &amp; MID(CELL("address",INDIRECT(B525)),$K$2+1,100)</f>
        <v>'='CNPIs Housing'!$G$28</v>
      </c>
      <c r="D525" s="38">
        <f>M3B4z5OtherHousing5Baseline</f>
        <v>0</v>
      </c>
      <c r="E525" s="38" t="s">
        <v>493</v>
      </c>
      <c r="F525" s="110" t="s">
        <v>784</v>
      </c>
      <c r="I525" s="13" t="str">
        <f t="shared" si="8"/>
        <v>M3B4FALSE</v>
      </c>
      <c r="T525"/>
    </row>
    <row r="526" spans="1:20" ht="12.75" customHeight="1" x14ac:dyDescent="0.25">
      <c r="A526" t="s">
        <v>763</v>
      </c>
      <c r="B526" t="s">
        <v>763</v>
      </c>
      <c r="C526" s="32" t="str" cm="1">
        <f t="array" aca="1" ref="C526" ca="1">"'='" &amp; MID(CELL("address",INDIRECT(B526)),$K$2+1,100)</f>
        <v>'='CNPIs Housing'!$H$28</v>
      </c>
      <c r="D526" s="38">
        <f>M3B4z5OtherHousing5Target</f>
        <v>0</v>
      </c>
      <c r="E526" s="38" t="s">
        <v>493</v>
      </c>
      <c r="F526" s="110" t="s">
        <v>763</v>
      </c>
      <c r="I526" s="13" t="str">
        <f t="shared" si="8"/>
        <v>M3B4FALSE</v>
      </c>
      <c r="T526"/>
    </row>
    <row r="527" spans="1:20" ht="12.75" customHeight="1" x14ac:dyDescent="0.25">
      <c r="A527" s="13" t="s">
        <v>1404</v>
      </c>
      <c r="B527" s="13" t="s">
        <v>1404</v>
      </c>
      <c r="C527" s="32" t="str" cm="1">
        <f t="array" aca="1" ref="C527" ca="1">"'='" &amp; MID(CELL("address",INDIRECT(B527)),$K$2+1,100)</f>
        <v>'='CNPIs Housing'!$I$28</v>
      </c>
      <c r="D527" s="38" t="str">
        <f>M3B4z5OtherHousing5ExpectChng</f>
        <v/>
      </c>
      <c r="E527" s="38" t="s">
        <v>493</v>
      </c>
      <c r="F527" s="13" t="s">
        <v>1404</v>
      </c>
      <c r="I527" s="13" t="str">
        <f t="shared" si="8"/>
        <v>M3B4FALSE</v>
      </c>
      <c r="T527"/>
    </row>
    <row r="528" spans="1:20" ht="12.75" customHeight="1" x14ac:dyDescent="0.25">
      <c r="A528" t="s">
        <v>764</v>
      </c>
      <c r="B528" t="s">
        <v>764</v>
      </c>
      <c r="C528" s="32" t="str" cm="1">
        <f t="array" aca="1" ref="C528" ca="1">"'='" &amp; MID(CELL("address",INDIRECT(B528)),$K$2+1,100)</f>
        <v>'='CNPIs Housing'!$J$28</v>
      </c>
      <c r="D528" s="38">
        <f>M3B4z5OtherHousing5Results</f>
        <v>0</v>
      </c>
      <c r="E528" s="38" t="s">
        <v>493</v>
      </c>
      <c r="F528" s="110" t="s">
        <v>764</v>
      </c>
      <c r="I528" s="13" t="str">
        <f t="shared" si="8"/>
        <v>M3B4FALSE</v>
      </c>
      <c r="T528"/>
    </row>
    <row r="529" spans="1:20" ht="12.75" customHeight="1" x14ac:dyDescent="0.25">
      <c r="A529" s="13" t="s">
        <v>1405</v>
      </c>
      <c r="B529" s="13" t="s">
        <v>1405</v>
      </c>
      <c r="C529" s="32" t="str" cm="1">
        <f t="array" aca="1" ref="C529" ca="1">"'='" &amp; MID(CELL("address",INDIRECT(B529)),$K$2+1,100)</f>
        <v>'='CNPIs Housing'!$K$28</v>
      </c>
      <c r="D529" s="38" t="str">
        <f>M3B4z5OtherHousing5ActualChng</f>
        <v/>
      </c>
      <c r="E529" s="38" t="s">
        <v>493</v>
      </c>
      <c r="F529" s="13" t="s">
        <v>1405</v>
      </c>
      <c r="I529" s="13" t="str">
        <f t="shared" si="8"/>
        <v>M3B4FALSE</v>
      </c>
      <c r="T529"/>
    </row>
    <row r="530" spans="1:20" ht="12.75" customHeight="1" x14ac:dyDescent="0.25">
      <c r="A530" s="13" t="s">
        <v>1406</v>
      </c>
      <c r="B530" s="13" t="s">
        <v>1406</v>
      </c>
      <c r="C530" s="32" t="str" cm="1">
        <f t="array" aca="1" ref="C530" ca="1">"'='" &amp; MID(CELL("address",INDIRECT(B530)),$K$2+1,100)</f>
        <v>'='CNPIs Housing'!$L$28</v>
      </c>
      <c r="D530" s="38" t="str">
        <f>M3B4z5OtherHousing5Accuracy</f>
        <v/>
      </c>
      <c r="E530" s="38" t="s">
        <v>493</v>
      </c>
      <c r="F530" s="13" t="s">
        <v>1406</v>
      </c>
      <c r="I530" s="13" t="str">
        <f t="shared" si="8"/>
        <v>M3B4FALSE</v>
      </c>
      <c r="T530"/>
    </row>
    <row r="531" spans="1:20" ht="12.75" customHeight="1" x14ac:dyDescent="0.25">
      <c r="A531" t="s">
        <v>780</v>
      </c>
      <c r="B531" t="s">
        <v>780</v>
      </c>
      <c r="C531" s="32" t="str" cm="1">
        <f t="array" aca="1" ref="C531" ca="1">"'='" &amp; MID(CELL("address",INDIRECT(B531)),$K$2+1,100)</f>
        <v>'='CNPIs Housing'!$C$29</v>
      </c>
      <c r="D531" s="38">
        <f>M3B4z6OtherHousing6Name</f>
        <v>0</v>
      </c>
      <c r="E531" s="38" t="s">
        <v>284</v>
      </c>
      <c r="F531" s="110" t="s">
        <v>780</v>
      </c>
      <c r="G531" s="38">
        <v>1000</v>
      </c>
      <c r="I531" s="13" t="str">
        <f t="shared" si="8"/>
        <v>M3B4FALSE</v>
      </c>
      <c r="T531"/>
    </row>
    <row r="532" spans="1:20" ht="12.75" customHeight="1" x14ac:dyDescent="0.25">
      <c r="A532" t="s">
        <v>781</v>
      </c>
      <c r="B532" t="s">
        <v>781</v>
      </c>
      <c r="C532" s="32" t="str" cm="1">
        <f t="array" aca="1" ref="C532" ca="1">"'='" &amp; MID(CELL("address",INDIRECT(B532)),$K$2+1,100)</f>
        <v>'='CNPIs Housing'!$G$29</v>
      </c>
      <c r="D532" s="38">
        <f>M3B4z6OtherHousing6Baseline</f>
        <v>0</v>
      </c>
      <c r="E532" s="38" t="s">
        <v>493</v>
      </c>
      <c r="F532" s="110" t="s">
        <v>781</v>
      </c>
      <c r="I532" s="13" t="str">
        <f t="shared" si="8"/>
        <v>M3B4FALSE</v>
      </c>
      <c r="T532"/>
    </row>
    <row r="533" spans="1:20" ht="12.75" customHeight="1" x14ac:dyDescent="0.25">
      <c r="A533" t="s">
        <v>782</v>
      </c>
      <c r="B533" t="s">
        <v>782</v>
      </c>
      <c r="C533" s="32" t="str" cm="1">
        <f t="array" aca="1" ref="C533" ca="1">"'='" &amp; MID(CELL("address",INDIRECT(B533)),$K$2+1,100)</f>
        <v>'='CNPIs Housing'!$H$29</v>
      </c>
      <c r="D533" s="38">
        <f>M3B4z6OtherHousing6Target</f>
        <v>0</v>
      </c>
      <c r="E533" s="38" t="s">
        <v>493</v>
      </c>
      <c r="F533" s="110" t="s">
        <v>782</v>
      </c>
      <c r="I533" s="13" t="str">
        <f t="shared" si="8"/>
        <v>M3B4FALSE</v>
      </c>
      <c r="T533"/>
    </row>
    <row r="534" spans="1:20" ht="12.75" customHeight="1" x14ac:dyDescent="0.25">
      <c r="A534" s="13" t="s">
        <v>1407</v>
      </c>
      <c r="B534" s="13" t="s">
        <v>1407</v>
      </c>
      <c r="C534" s="32" t="str" cm="1">
        <f t="array" aca="1" ref="C534" ca="1">"'='" &amp; MID(CELL("address",INDIRECT(B534)),$K$2+1,100)</f>
        <v>'='CNPIs Housing'!$I$29</v>
      </c>
      <c r="D534" s="38" t="str">
        <f>M3B4z6OtherHousing6ExpectChng</f>
        <v/>
      </c>
      <c r="E534" s="38" t="s">
        <v>493</v>
      </c>
      <c r="F534" s="13" t="s">
        <v>1407</v>
      </c>
      <c r="I534" s="13" t="str">
        <f t="shared" si="8"/>
        <v>M3B4FALSE</v>
      </c>
      <c r="T534"/>
    </row>
    <row r="535" spans="1:20" ht="12.75" customHeight="1" x14ac:dyDescent="0.25">
      <c r="A535" t="s">
        <v>783</v>
      </c>
      <c r="B535" t="s">
        <v>783</v>
      </c>
      <c r="C535" s="32" t="str" cm="1">
        <f t="array" aca="1" ref="C535" ca="1">"'='" &amp; MID(CELL("address",INDIRECT(B535)),$K$2+1,100)</f>
        <v>'='CNPIs Housing'!$J$29</v>
      </c>
      <c r="D535" s="38">
        <f>M3B4z6OtherHousing6Results</f>
        <v>0</v>
      </c>
      <c r="E535" s="38" t="s">
        <v>493</v>
      </c>
      <c r="F535" s="110" t="s">
        <v>783</v>
      </c>
      <c r="I535" s="13" t="str">
        <f t="shared" si="8"/>
        <v>M3B4FALSE</v>
      </c>
      <c r="T535"/>
    </row>
    <row r="536" spans="1:20" ht="12.75" customHeight="1" x14ac:dyDescent="0.25">
      <c r="A536" s="13" t="s">
        <v>1408</v>
      </c>
      <c r="B536" s="13" t="s">
        <v>1408</v>
      </c>
      <c r="C536" s="32" t="str" cm="1">
        <f t="array" aca="1" ref="C536" ca="1">"'='" &amp; MID(CELL("address",INDIRECT(B536)),$K$2+1,100)</f>
        <v>'='CNPIs Housing'!$K$29</v>
      </c>
      <c r="D536" s="38" t="str">
        <f>M3B4z6OtherHousing6ActualChng</f>
        <v/>
      </c>
      <c r="E536" s="38" t="s">
        <v>493</v>
      </c>
      <c r="F536" s="13" t="s">
        <v>1408</v>
      </c>
      <c r="I536" s="13" t="str">
        <f t="shared" si="8"/>
        <v>M3B4FALSE</v>
      </c>
      <c r="T536"/>
    </row>
    <row r="537" spans="1:20" ht="12.75" customHeight="1" x14ac:dyDescent="0.25">
      <c r="A537" s="13" t="s">
        <v>1409</v>
      </c>
      <c r="B537" s="13" t="s">
        <v>1409</v>
      </c>
      <c r="C537" s="32" t="str" cm="1">
        <f t="array" aca="1" ref="C537" ca="1">"'='" &amp; MID(CELL("address",INDIRECT(B537)),$K$2+1,100)</f>
        <v>'='CNPIs Housing'!$L$29</v>
      </c>
      <c r="D537" s="38" t="str">
        <f>M3B4z6OtherHousing6Accuracy</f>
        <v/>
      </c>
      <c r="E537" s="38" t="s">
        <v>493</v>
      </c>
      <c r="F537" s="13" t="s">
        <v>1409</v>
      </c>
      <c r="I537" s="13" t="str">
        <f t="shared" si="8"/>
        <v>M3B4FALSE</v>
      </c>
      <c r="T537"/>
    </row>
    <row r="538" spans="1:20" ht="12.75" customHeight="1" x14ac:dyDescent="0.25">
      <c r="A538" t="s">
        <v>910</v>
      </c>
      <c r="B538" t="s">
        <v>910</v>
      </c>
      <c r="C538" s="32" t="str" cm="1">
        <f t="array" aca="1" ref="C538" ca="1">"'='" &amp; MID(CELL("address",INDIRECT(B538)),$K$2+1,100)</f>
        <v>'='CNPIs Housing'!$B$32</v>
      </c>
      <c r="D538" s="38">
        <f>M3B4Comments</f>
        <v>0</v>
      </c>
      <c r="E538" s="38" t="s">
        <v>284</v>
      </c>
      <c r="F538" s="110" t="s">
        <v>910</v>
      </c>
      <c r="G538" s="38">
        <v>5000</v>
      </c>
      <c r="I538" s="13" t="str">
        <f t="shared" si="8"/>
        <v>M3B4FALSE</v>
      </c>
      <c r="T538"/>
    </row>
    <row r="539" spans="1:20" ht="12.75" customHeight="1" x14ac:dyDescent="0.25">
      <c r="A539" t="s">
        <v>728</v>
      </c>
      <c r="B539" t="s">
        <v>728</v>
      </c>
      <c r="C539" s="32" t="str" cm="1">
        <f t="array" aca="1" ref="C539" ca="1">"'='" &amp; MID(CELL("address",INDIRECT(B539)),$K$2+1,100)</f>
        <v>'='CNPIs Infrastructure Asset'!$H$10</v>
      </c>
      <c r="D539" s="38">
        <f>M3B3a1CommercialTarget</f>
        <v>0</v>
      </c>
      <c r="E539" s="38" t="s">
        <v>493</v>
      </c>
      <c r="F539" s="110" t="s">
        <v>728</v>
      </c>
      <c r="H539" s="55"/>
      <c r="I539" s="13" t="str">
        <f t="shared" si="8"/>
        <v>M3B3FALSE</v>
      </c>
      <c r="T539"/>
    </row>
    <row r="540" spans="1:20" ht="12.75" customHeight="1" x14ac:dyDescent="0.25">
      <c r="A540" t="s">
        <v>716</v>
      </c>
      <c r="B540" t="s">
        <v>716</v>
      </c>
      <c r="C540" s="32" t="str" cm="1">
        <f t="array" aca="1" ref="C540" ca="1">"'='" &amp; MID(CELL("address",INDIRECT(B540)),$K$2+1,100)</f>
        <v>'='CNPIs Infrastructure Asset'!$I$10</v>
      </c>
      <c r="D540" s="38">
        <f>M3B3a1CommercialResults</f>
        <v>0</v>
      </c>
      <c r="E540" s="38" t="s">
        <v>493</v>
      </c>
      <c r="F540" s="110" t="s">
        <v>716</v>
      </c>
      <c r="H540" s="55"/>
      <c r="I540" s="13" t="str">
        <f t="shared" si="8"/>
        <v>M3B3FALSE</v>
      </c>
      <c r="T540"/>
    </row>
    <row r="541" spans="1:20" ht="12.75" customHeight="1" x14ac:dyDescent="0.25">
      <c r="A541" s="13" t="s">
        <v>1340</v>
      </c>
      <c r="B541" s="13" t="s">
        <v>1340</v>
      </c>
      <c r="C541" s="32" t="str" cm="1">
        <f t="array" aca="1" ref="C541" ca="1">"'='" &amp; MID(CELL("address",INDIRECT(B541)),$K$2+1,100)</f>
        <v>'='CNPIs Infrastructure Asset'!$J$10</v>
      </c>
      <c r="D541" s="38" t="str">
        <f>M3B3a1CommercialAccuracy</f>
        <v/>
      </c>
      <c r="E541" s="38" t="s">
        <v>493</v>
      </c>
      <c r="F541" s="13" t="s">
        <v>1340</v>
      </c>
      <c r="I541" s="13" t="str">
        <f t="shared" si="8"/>
        <v>M3B3FALSE</v>
      </c>
      <c r="T541"/>
    </row>
    <row r="542" spans="1:20" ht="12.75" customHeight="1" x14ac:dyDescent="0.25">
      <c r="A542" t="s">
        <v>729</v>
      </c>
      <c r="B542" t="s">
        <v>729</v>
      </c>
      <c r="C542" s="32" t="str" cm="1">
        <f t="array" aca="1" ref="C542" ca="1">"'='" &amp; MID(CELL("address",INDIRECT(B542)),$K$2+1,100)</f>
        <v>'='CNPIs Infrastructure Asset'!$H$11</v>
      </c>
      <c r="D542" s="38">
        <f>M3B3a2FinancialTarget</f>
        <v>0</v>
      </c>
      <c r="E542" s="38" t="s">
        <v>493</v>
      </c>
      <c r="F542" s="110" t="s">
        <v>729</v>
      </c>
      <c r="H542" s="55"/>
      <c r="I542" s="13" t="str">
        <f t="shared" si="8"/>
        <v>M3B3FALSE</v>
      </c>
      <c r="T542"/>
    </row>
    <row r="543" spans="1:20" ht="12.75" customHeight="1" x14ac:dyDescent="0.25">
      <c r="A543" t="s">
        <v>717</v>
      </c>
      <c r="B543" t="s">
        <v>717</v>
      </c>
      <c r="C543" s="32" t="str" cm="1">
        <f t="array" aca="1" ref="C543" ca="1">"'='" &amp; MID(CELL("address",INDIRECT(B543)),$K$2+1,100)</f>
        <v>'='CNPIs Infrastructure Asset'!$I$11</v>
      </c>
      <c r="D543" s="38">
        <f>M3B3a2FinancialResults</f>
        <v>0</v>
      </c>
      <c r="E543" s="38" t="s">
        <v>493</v>
      </c>
      <c r="F543" s="110" t="s">
        <v>717</v>
      </c>
      <c r="H543" s="55"/>
      <c r="I543" s="13" t="str">
        <f t="shared" si="8"/>
        <v>M3B3FALSE</v>
      </c>
      <c r="T543"/>
    </row>
    <row r="544" spans="1:20" ht="12.75" customHeight="1" x14ac:dyDescent="0.25">
      <c r="A544" s="13" t="s">
        <v>1341</v>
      </c>
      <c r="B544" s="13" t="s">
        <v>1341</v>
      </c>
      <c r="C544" s="32" t="str" cm="1">
        <f t="array" aca="1" ref="C544" ca="1">"'='" &amp; MID(CELL("address",INDIRECT(B544)),$K$2+1,100)</f>
        <v>'='CNPIs Infrastructure Asset'!$J$11</v>
      </c>
      <c r="D544" s="38" t="str">
        <f>M3B3a2FinancialAccuracy</f>
        <v/>
      </c>
      <c r="E544" s="38" t="s">
        <v>493</v>
      </c>
      <c r="F544" s="13" t="s">
        <v>1341</v>
      </c>
      <c r="I544" s="13" t="str">
        <f t="shared" si="8"/>
        <v>M3B3FALSE</v>
      </c>
      <c r="T544"/>
    </row>
    <row r="545" spans="1:20" ht="12.75" customHeight="1" x14ac:dyDescent="0.25">
      <c r="A545" t="s">
        <v>730</v>
      </c>
      <c r="B545" t="s">
        <v>730</v>
      </c>
      <c r="C545" s="32" t="str" cm="1">
        <f t="array" aca="1" ref="C545" ca="1">"'='" &amp; MID(CELL("address",INDIRECT(B545)),$K$2+1,100)</f>
        <v>'='CNPIs Infrastructure Asset'!$H$12</v>
      </c>
      <c r="D545" s="38">
        <f>M3B3a3TechCommTarget</f>
        <v>0</v>
      </c>
      <c r="E545" s="38" t="s">
        <v>493</v>
      </c>
      <c r="F545" s="110" t="s">
        <v>730</v>
      </c>
      <c r="H545" s="55"/>
      <c r="I545" s="13" t="str">
        <f t="shared" si="8"/>
        <v>M3B3FALSE</v>
      </c>
      <c r="T545"/>
    </row>
    <row r="546" spans="1:20" ht="12.75" customHeight="1" x14ac:dyDescent="0.25">
      <c r="A546" t="s">
        <v>718</v>
      </c>
      <c r="B546" t="s">
        <v>718</v>
      </c>
      <c r="C546" s="32" t="str" cm="1">
        <f t="array" aca="1" ref="C546" ca="1">"'='" &amp; MID(CELL("address",INDIRECT(B546)),$K$2+1,100)</f>
        <v>'='CNPIs Infrastructure Asset'!$I$12</v>
      </c>
      <c r="D546" s="38">
        <f>M3B3a3TechCommResults</f>
        <v>0</v>
      </c>
      <c r="E546" s="38" t="s">
        <v>493</v>
      </c>
      <c r="F546" s="110" t="s">
        <v>718</v>
      </c>
      <c r="H546" s="55"/>
      <c r="I546" s="13" t="str">
        <f t="shared" si="8"/>
        <v>M3B3FALSE</v>
      </c>
      <c r="T546"/>
    </row>
    <row r="547" spans="1:20" ht="12.75" customHeight="1" x14ac:dyDescent="0.25">
      <c r="A547" s="13" t="s">
        <v>1342</v>
      </c>
      <c r="B547" s="13" t="s">
        <v>1342</v>
      </c>
      <c r="C547" s="32" t="str" cm="1">
        <f t="array" aca="1" ref="C547" ca="1">"'='" &amp; MID(CELL("address",INDIRECT(B547)),$K$2+1,100)</f>
        <v>'='CNPIs Infrastructure Asset'!$J$12</v>
      </c>
      <c r="D547" s="38" t="str">
        <f>M3B3a3TechCommAccuracy</f>
        <v/>
      </c>
      <c r="E547" s="38" t="s">
        <v>493</v>
      </c>
      <c r="F547" s="13" t="s">
        <v>1342</v>
      </c>
      <c r="I547" s="13" t="str">
        <f t="shared" si="8"/>
        <v>M3B3FALSE</v>
      </c>
      <c r="T547"/>
    </row>
    <row r="548" spans="1:20" ht="12.75" customHeight="1" x14ac:dyDescent="0.25">
      <c r="A548" t="s">
        <v>731</v>
      </c>
      <c r="B548" t="s">
        <v>731</v>
      </c>
      <c r="C548" s="32" t="str" cm="1">
        <f t="array" aca="1" ref="C548" ca="1">"'='" &amp; MID(CELL("address",INDIRECT(B548)),$K$2+1,100)</f>
        <v>'='CNPIs Infrastructure Asset'!$H$13</v>
      </c>
      <c r="D548" s="38">
        <f>M3B3a4TransportationTarget</f>
        <v>0</v>
      </c>
      <c r="E548" s="38" t="s">
        <v>493</v>
      </c>
      <c r="F548" s="110" t="s">
        <v>731</v>
      </c>
      <c r="H548" s="55"/>
      <c r="I548" s="13" t="str">
        <f t="shared" si="8"/>
        <v>M3B3FALSE</v>
      </c>
      <c r="T548"/>
    </row>
    <row r="549" spans="1:20" ht="12.75" customHeight="1" x14ac:dyDescent="0.25">
      <c r="A549" t="s">
        <v>719</v>
      </c>
      <c r="B549" t="s">
        <v>719</v>
      </c>
      <c r="C549" s="32" t="str" cm="1">
        <f t="array" aca="1" ref="C549" ca="1">"'='" &amp; MID(CELL("address",INDIRECT(B549)),$K$2+1,100)</f>
        <v>'='CNPIs Infrastructure Asset'!$I$13</v>
      </c>
      <c r="D549" s="38">
        <f>M3B3a4TransportationResults</f>
        <v>0</v>
      </c>
      <c r="E549" s="38" t="s">
        <v>493</v>
      </c>
      <c r="F549" s="110" t="s">
        <v>719</v>
      </c>
      <c r="H549" s="55"/>
      <c r="I549" s="13" t="str">
        <f t="shared" si="8"/>
        <v>M3B3FALSE</v>
      </c>
      <c r="T549"/>
    </row>
    <row r="550" spans="1:20" ht="12.75" customHeight="1" x14ac:dyDescent="0.25">
      <c r="A550" s="13" t="s">
        <v>1343</v>
      </c>
      <c r="B550" s="13" t="s">
        <v>1343</v>
      </c>
      <c r="C550" s="32" t="str" cm="1">
        <f t="array" aca="1" ref="C550" ca="1">"'='" &amp; MID(CELL("address",INDIRECT(B550)),$K$2+1,100)</f>
        <v>'='CNPIs Infrastructure Asset'!$J$13</v>
      </c>
      <c r="D550" s="38" t="str">
        <f>M3B3a4TransportationAccuracy</f>
        <v/>
      </c>
      <c r="E550" s="38" t="s">
        <v>493</v>
      </c>
      <c r="F550" s="13" t="s">
        <v>1343</v>
      </c>
      <c r="I550" s="13" t="str">
        <f t="shared" si="8"/>
        <v>M3B3FALSE</v>
      </c>
      <c r="T550"/>
    </row>
    <row r="551" spans="1:20" ht="12.75" customHeight="1" x14ac:dyDescent="0.25">
      <c r="A551" t="s">
        <v>732</v>
      </c>
      <c r="B551" t="s">
        <v>732</v>
      </c>
      <c r="C551" s="32" t="str" cm="1">
        <f t="array" aca="1" ref="C551" ca="1">"'='" &amp; MID(CELL("address",INDIRECT(B551)),$K$2+1,100)</f>
        <v>'='CNPIs Infrastructure Asset'!$H$14</v>
      </c>
      <c r="D551" s="38">
        <f>M3B3a5RecreationalTarget</f>
        <v>0</v>
      </c>
      <c r="E551" s="38" t="s">
        <v>493</v>
      </c>
      <c r="F551" s="110" t="s">
        <v>732</v>
      </c>
      <c r="H551" s="55"/>
      <c r="I551" s="13" t="str">
        <f t="shared" si="8"/>
        <v>M3B3FALSE</v>
      </c>
      <c r="T551"/>
    </row>
    <row r="552" spans="1:20" ht="12.75" customHeight="1" x14ac:dyDescent="0.25">
      <c r="A552" t="s">
        <v>720</v>
      </c>
      <c r="B552" t="s">
        <v>720</v>
      </c>
      <c r="C552" s="32" t="str" cm="1">
        <f t="array" aca="1" ref="C552" ca="1">"'='" &amp; MID(CELL("address",INDIRECT(B552)),$K$2+1,100)</f>
        <v>'='CNPIs Infrastructure Asset'!$I$14</v>
      </c>
      <c r="D552" s="38">
        <f>M3B3a5RecreationalResults</f>
        <v>0</v>
      </c>
      <c r="E552" s="38" t="s">
        <v>493</v>
      </c>
      <c r="F552" s="110" t="s">
        <v>720</v>
      </c>
      <c r="H552" s="55"/>
      <c r="I552" s="13" t="str">
        <f t="shared" si="8"/>
        <v>M3B3FALSE</v>
      </c>
      <c r="T552"/>
    </row>
    <row r="553" spans="1:20" ht="12.75" customHeight="1" x14ac:dyDescent="0.25">
      <c r="A553" s="13" t="s">
        <v>1344</v>
      </c>
      <c r="B553" s="13" t="s">
        <v>1344</v>
      </c>
      <c r="C553" s="32" t="str" cm="1">
        <f t="array" aca="1" ref="C553" ca="1">"'='" &amp; MID(CELL("address",INDIRECT(B553)),$K$2+1,100)</f>
        <v>'='CNPIs Infrastructure Asset'!$J$14</v>
      </c>
      <c r="D553" s="38" t="str">
        <f>M3B3a5RecreationalAccuracy</f>
        <v/>
      </c>
      <c r="E553" s="38" t="s">
        <v>493</v>
      </c>
      <c r="F553" s="13" t="s">
        <v>1344</v>
      </c>
      <c r="I553" s="13" t="str">
        <f t="shared" si="8"/>
        <v>M3B3FALSE</v>
      </c>
      <c r="T553"/>
    </row>
    <row r="554" spans="1:20" ht="12.75" customHeight="1" x14ac:dyDescent="0.25">
      <c r="A554" t="s">
        <v>733</v>
      </c>
      <c r="B554" t="s">
        <v>733</v>
      </c>
      <c r="C554" s="32" t="str" cm="1">
        <f t="array" aca="1" ref="C554" ca="1">"'='" &amp; MID(CELL("address",INDIRECT(B554)),$K$2+1,100)</f>
        <v>'='CNPIs Infrastructure Asset'!$H$15</v>
      </c>
      <c r="D554" s="38">
        <f>M3B3a6OtherPublicTarget</f>
        <v>0</v>
      </c>
      <c r="E554" s="38" t="s">
        <v>493</v>
      </c>
      <c r="F554" s="110" t="s">
        <v>733</v>
      </c>
      <c r="H554" s="55"/>
      <c r="I554" s="13" t="str">
        <f t="shared" ref="I554:I617" si="9">LEFT(A554,4) &amp; AND(D554&lt;&gt;"",D554&lt;&gt;0)</f>
        <v>M3B3FALSE</v>
      </c>
      <c r="T554"/>
    </row>
    <row r="555" spans="1:20" ht="12.75" customHeight="1" x14ac:dyDescent="0.25">
      <c r="A555" t="s">
        <v>721</v>
      </c>
      <c r="B555" t="s">
        <v>721</v>
      </c>
      <c r="C555" s="32" t="str" cm="1">
        <f t="array" aca="1" ref="C555" ca="1">"'='" &amp; MID(CELL("address",INDIRECT(B555)),$K$2+1,100)</f>
        <v>'='CNPIs Infrastructure Asset'!$I$15</v>
      </c>
      <c r="D555" s="38">
        <f>M3B3a6OtherPublicResults</f>
        <v>0</v>
      </c>
      <c r="E555" s="38" t="s">
        <v>493</v>
      </c>
      <c r="F555" s="110" t="s">
        <v>721</v>
      </c>
      <c r="H555" s="55"/>
      <c r="I555" s="13" t="str">
        <f t="shared" si="9"/>
        <v>M3B3FALSE</v>
      </c>
      <c r="T555"/>
    </row>
    <row r="556" spans="1:20" ht="12.75" customHeight="1" x14ac:dyDescent="0.25">
      <c r="A556" s="13" t="s">
        <v>1345</v>
      </c>
      <c r="B556" s="13" t="s">
        <v>1345</v>
      </c>
      <c r="C556" s="32" t="str" cm="1">
        <f t="array" aca="1" ref="C556" ca="1">"'='" &amp; MID(CELL("address",INDIRECT(B556)),$K$2+1,100)</f>
        <v>'='CNPIs Infrastructure Asset'!$J$15</v>
      </c>
      <c r="D556" s="38" t="str">
        <f>M3B3a6OtherPublicAccuracy</f>
        <v/>
      </c>
      <c r="E556" s="38" t="s">
        <v>493</v>
      </c>
      <c r="F556" s="13" t="s">
        <v>1345</v>
      </c>
      <c r="I556" s="13" t="str">
        <f t="shared" si="9"/>
        <v>M3B3FALSE</v>
      </c>
      <c r="T556"/>
    </row>
    <row r="557" spans="1:20" ht="12.75" customHeight="1" x14ac:dyDescent="0.25">
      <c r="A557" t="s">
        <v>734</v>
      </c>
      <c r="B557" t="s">
        <v>734</v>
      </c>
      <c r="C557" s="32" t="str" cm="1">
        <f t="array" aca="1" ref="C557" ca="1">"'='" &amp; MID(CELL("address",INDIRECT(B557)),$K$2+1,100)</f>
        <v>'='CNPIs Infrastructure Asset'!$H$17</v>
      </c>
      <c r="D557" s="38">
        <f>M3B3b1CommercialTarget</f>
        <v>0</v>
      </c>
      <c r="E557" s="38" t="s">
        <v>493</v>
      </c>
      <c r="F557" s="110" t="s">
        <v>734</v>
      </c>
      <c r="H557" s="55"/>
      <c r="I557" s="13" t="str">
        <f t="shared" si="9"/>
        <v>M3B3FALSE</v>
      </c>
      <c r="T557"/>
    </row>
    <row r="558" spans="1:20" ht="12.75" customHeight="1" x14ac:dyDescent="0.25">
      <c r="A558" t="s">
        <v>722</v>
      </c>
      <c r="B558" t="s">
        <v>722</v>
      </c>
      <c r="C558" s="32" t="str" cm="1">
        <f t="array" aca="1" ref="C558" ca="1">"'='" &amp; MID(CELL("address",INDIRECT(B558)),$K$2+1,100)</f>
        <v>'='CNPIs Infrastructure Asset'!$I$17</v>
      </c>
      <c r="D558" s="38">
        <f>M3B3b1CommercialResults</f>
        <v>0</v>
      </c>
      <c r="E558" s="38" t="s">
        <v>493</v>
      </c>
      <c r="F558" s="110" t="s">
        <v>722</v>
      </c>
      <c r="H558" s="55"/>
      <c r="I558" s="13" t="str">
        <f t="shared" si="9"/>
        <v>M3B3FALSE</v>
      </c>
      <c r="T558"/>
    </row>
    <row r="559" spans="1:20" ht="12.75" customHeight="1" x14ac:dyDescent="0.25">
      <c r="A559" s="13" t="s">
        <v>1346</v>
      </c>
      <c r="B559" s="13" t="s">
        <v>1346</v>
      </c>
      <c r="C559" s="32" t="str" cm="1">
        <f t="array" aca="1" ref="C559" ca="1">"'='" &amp; MID(CELL("address",INDIRECT(B559)),$K$2+1,100)</f>
        <v>'='CNPIs Infrastructure Asset'!$J$17</v>
      </c>
      <c r="D559" s="38" t="str">
        <f>M3B3b1CommercialAccuracy</f>
        <v/>
      </c>
      <c r="E559" s="38" t="s">
        <v>493</v>
      </c>
      <c r="F559" s="13" t="s">
        <v>1346</v>
      </c>
      <c r="I559" s="13" t="str">
        <f t="shared" si="9"/>
        <v>M3B3FALSE</v>
      </c>
      <c r="T559"/>
    </row>
    <row r="560" spans="1:20" ht="12.75" customHeight="1" x14ac:dyDescent="0.25">
      <c r="A560" t="s">
        <v>735</v>
      </c>
      <c r="B560" t="s">
        <v>735</v>
      </c>
      <c r="C560" s="32" t="str" cm="1">
        <f t="array" aca="1" ref="C560" ca="1">"'='" &amp; MID(CELL("address",INDIRECT(B560)),$K$2+1,100)</f>
        <v>'='CNPIs Infrastructure Asset'!$H$18</v>
      </c>
      <c r="D560" s="38">
        <f>M3B3b2FinancialTarget</f>
        <v>0</v>
      </c>
      <c r="E560" s="38" t="s">
        <v>493</v>
      </c>
      <c r="F560" s="110" t="s">
        <v>735</v>
      </c>
      <c r="H560" s="55"/>
      <c r="I560" s="13" t="str">
        <f t="shared" si="9"/>
        <v>M3B3FALSE</v>
      </c>
      <c r="T560"/>
    </row>
    <row r="561" spans="1:20" ht="12.75" customHeight="1" x14ac:dyDescent="0.25">
      <c r="A561" t="s">
        <v>723</v>
      </c>
      <c r="B561" t="s">
        <v>723</v>
      </c>
      <c r="C561" s="32" t="str" cm="1">
        <f t="array" aca="1" ref="C561" ca="1">"'='" &amp; MID(CELL("address",INDIRECT(B561)),$K$2+1,100)</f>
        <v>'='CNPIs Infrastructure Asset'!$I$18</v>
      </c>
      <c r="D561" s="38">
        <f>M3B3b2FinancialResults</f>
        <v>0</v>
      </c>
      <c r="E561" s="38" t="s">
        <v>493</v>
      </c>
      <c r="F561" s="110" t="s">
        <v>723</v>
      </c>
      <c r="H561" s="55"/>
      <c r="I561" s="13" t="str">
        <f t="shared" si="9"/>
        <v>M3B3FALSE</v>
      </c>
      <c r="T561"/>
    </row>
    <row r="562" spans="1:20" ht="12.75" customHeight="1" x14ac:dyDescent="0.25">
      <c r="A562" s="13" t="s">
        <v>1347</v>
      </c>
      <c r="B562" s="13" t="s">
        <v>1347</v>
      </c>
      <c r="C562" s="32" t="str" cm="1">
        <f t="array" aca="1" ref="C562" ca="1">"'='" &amp; MID(CELL("address",INDIRECT(B562)),$K$2+1,100)</f>
        <v>'='CNPIs Infrastructure Asset'!$J$18</v>
      </c>
      <c r="D562" s="38" t="str">
        <f>M3B3b2FinancialAccuracy</f>
        <v/>
      </c>
      <c r="E562" s="38" t="s">
        <v>493</v>
      </c>
      <c r="F562" s="13" t="s">
        <v>1347</v>
      </c>
      <c r="I562" s="13" t="str">
        <f t="shared" si="9"/>
        <v>M3B3FALSE</v>
      </c>
      <c r="T562"/>
    </row>
    <row r="563" spans="1:20" ht="12.75" customHeight="1" x14ac:dyDescent="0.25">
      <c r="A563" t="s">
        <v>736</v>
      </c>
      <c r="B563" t="s">
        <v>736</v>
      </c>
      <c r="C563" s="32" t="str" cm="1">
        <f t="array" aca="1" ref="C563" ca="1">"'='" &amp; MID(CELL("address",INDIRECT(B563)),$K$2+1,100)</f>
        <v>'='CNPIs Infrastructure Asset'!$H$19</v>
      </c>
      <c r="D563" s="38">
        <f>M3B3b3TechCommTarget</f>
        <v>0</v>
      </c>
      <c r="E563" s="38" t="s">
        <v>493</v>
      </c>
      <c r="F563" s="110" t="s">
        <v>736</v>
      </c>
      <c r="H563" s="55"/>
      <c r="I563" s="13" t="str">
        <f t="shared" si="9"/>
        <v>M3B3FALSE</v>
      </c>
      <c r="T563"/>
    </row>
    <row r="564" spans="1:20" ht="12.75" customHeight="1" x14ac:dyDescent="0.25">
      <c r="A564" t="s">
        <v>724</v>
      </c>
      <c r="B564" t="s">
        <v>724</v>
      </c>
      <c r="C564" s="32" t="str" cm="1">
        <f t="array" aca="1" ref="C564" ca="1">"'='" &amp; MID(CELL("address",INDIRECT(B564)),$K$2+1,100)</f>
        <v>'='CNPIs Infrastructure Asset'!$I$19</v>
      </c>
      <c r="D564" s="38">
        <f>M3B3b3TechCommResults</f>
        <v>0</v>
      </c>
      <c r="E564" s="38" t="s">
        <v>493</v>
      </c>
      <c r="F564" s="110" t="s">
        <v>724</v>
      </c>
      <c r="H564" s="55"/>
      <c r="I564" s="13" t="str">
        <f t="shared" si="9"/>
        <v>M3B3FALSE</v>
      </c>
      <c r="T564"/>
    </row>
    <row r="565" spans="1:20" ht="12.75" customHeight="1" x14ac:dyDescent="0.25">
      <c r="A565" s="13" t="s">
        <v>1348</v>
      </c>
      <c r="B565" s="13" t="s">
        <v>1348</v>
      </c>
      <c r="C565" s="32" t="str" cm="1">
        <f t="array" aca="1" ref="C565" ca="1">"'='" &amp; MID(CELL("address",INDIRECT(B565)),$K$2+1,100)</f>
        <v>'='CNPIs Infrastructure Asset'!$J$19</v>
      </c>
      <c r="D565" s="38" t="str">
        <f>M3B3b3TechCommAccuracy</f>
        <v/>
      </c>
      <c r="E565" s="38" t="s">
        <v>493</v>
      </c>
      <c r="F565" s="13" t="s">
        <v>1348</v>
      </c>
      <c r="I565" s="13" t="str">
        <f t="shared" si="9"/>
        <v>M3B3FALSE</v>
      </c>
      <c r="T565"/>
    </row>
    <row r="566" spans="1:20" ht="12.75" customHeight="1" x14ac:dyDescent="0.25">
      <c r="A566" t="s">
        <v>737</v>
      </c>
      <c r="B566" t="s">
        <v>737</v>
      </c>
      <c r="C566" s="32" t="str" cm="1">
        <f t="array" aca="1" ref="C566" ca="1">"'='" &amp; MID(CELL("address",INDIRECT(B566)),$K$2+1,100)</f>
        <v>'='CNPIs Infrastructure Asset'!$H$20</v>
      </c>
      <c r="D566" s="38">
        <f>M3B3b4TransportationTarget</f>
        <v>0</v>
      </c>
      <c r="E566" s="38" t="s">
        <v>493</v>
      </c>
      <c r="F566" s="110" t="s">
        <v>737</v>
      </c>
      <c r="H566" s="55"/>
      <c r="I566" s="13" t="str">
        <f t="shared" si="9"/>
        <v>M3B3FALSE</v>
      </c>
      <c r="T566"/>
    </row>
    <row r="567" spans="1:20" ht="12.75" customHeight="1" x14ac:dyDescent="0.25">
      <c r="A567" t="s">
        <v>725</v>
      </c>
      <c r="B567" t="s">
        <v>725</v>
      </c>
      <c r="C567" s="32" t="str" cm="1">
        <f t="array" aca="1" ref="C567" ca="1">"'='" &amp; MID(CELL("address",INDIRECT(B567)),$K$2+1,100)</f>
        <v>'='CNPIs Infrastructure Asset'!$I$20</v>
      </c>
      <c r="D567" s="38">
        <f>M3B3b4TransportationResults</f>
        <v>0</v>
      </c>
      <c r="E567" s="38" t="s">
        <v>493</v>
      </c>
      <c r="F567" s="110" t="s">
        <v>725</v>
      </c>
      <c r="H567" s="55"/>
      <c r="I567" s="13" t="str">
        <f t="shared" si="9"/>
        <v>M3B3FALSE</v>
      </c>
      <c r="T567"/>
    </row>
    <row r="568" spans="1:20" ht="12.75" customHeight="1" x14ac:dyDescent="0.25">
      <c r="A568" s="13" t="s">
        <v>1349</v>
      </c>
      <c r="B568" s="13" t="s">
        <v>1349</v>
      </c>
      <c r="C568" s="32" t="str" cm="1">
        <f t="array" aca="1" ref="C568" ca="1">"'='" &amp; MID(CELL("address",INDIRECT(B568)),$K$2+1,100)</f>
        <v>'='CNPIs Infrastructure Asset'!$J$20</v>
      </c>
      <c r="D568" s="38" t="str">
        <f>M3B3b4TransportationAccuracy</f>
        <v/>
      </c>
      <c r="E568" s="38" t="s">
        <v>493</v>
      </c>
      <c r="F568" s="13" t="s">
        <v>1349</v>
      </c>
      <c r="I568" s="13" t="str">
        <f t="shared" si="9"/>
        <v>M3B3FALSE</v>
      </c>
      <c r="T568"/>
    </row>
    <row r="569" spans="1:20" ht="12.75" customHeight="1" x14ac:dyDescent="0.25">
      <c r="A569" t="s">
        <v>738</v>
      </c>
      <c r="B569" t="s">
        <v>738</v>
      </c>
      <c r="C569" s="32" t="str" cm="1">
        <f t="array" aca="1" ref="C569" ca="1">"'='" &amp; MID(CELL("address",INDIRECT(B569)),$K$2+1,100)</f>
        <v>'='CNPIs Infrastructure Asset'!$H$21</v>
      </c>
      <c r="D569" s="38">
        <f>M3B3b5RecreationalTarget</f>
        <v>0</v>
      </c>
      <c r="E569" s="38" t="s">
        <v>493</v>
      </c>
      <c r="F569" s="110" t="s">
        <v>738</v>
      </c>
      <c r="H569" s="55"/>
      <c r="I569" s="13" t="str">
        <f t="shared" si="9"/>
        <v>M3B3FALSE</v>
      </c>
      <c r="T569"/>
    </row>
    <row r="570" spans="1:20" ht="12.75" customHeight="1" x14ac:dyDescent="0.25">
      <c r="A570" t="s">
        <v>726</v>
      </c>
      <c r="B570" t="s">
        <v>726</v>
      </c>
      <c r="C570" s="32" t="str" cm="1">
        <f t="array" aca="1" ref="C570" ca="1">"'='" &amp; MID(CELL("address",INDIRECT(B570)),$K$2+1,100)</f>
        <v>'='CNPIs Infrastructure Asset'!$I$21</v>
      </c>
      <c r="D570" s="38">
        <f>M3B3b5RecreationalResults</f>
        <v>0</v>
      </c>
      <c r="E570" s="38" t="s">
        <v>493</v>
      </c>
      <c r="F570" s="110" t="s">
        <v>726</v>
      </c>
      <c r="H570" s="55"/>
      <c r="I570" s="13" t="str">
        <f t="shared" si="9"/>
        <v>M3B3FALSE</v>
      </c>
      <c r="T570"/>
    </row>
    <row r="571" spans="1:20" ht="12.75" customHeight="1" x14ac:dyDescent="0.25">
      <c r="A571" s="13" t="s">
        <v>1350</v>
      </c>
      <c r="B571" s="13" t="s">
        <v>1350</v>
      </c>
      <c r="C571" s="32" t="str" cm="1">
        <f t="array" aca="1" ref="C571" ca="1">"'='" &amp; MID(CELL("address",INDIRECT(B571)),$K$2+1,100)</f>
        <v>'='CNPIs Infrastructure Asset'!$J$21</v>
      </c>
      <c r="D571" s="38" t="str">
        <f>M3B3b5RecreationalAccuracy</f>
        <v/>
      </c>
      <c r="E571" s="38" t="s">
        <v>493</v>
      </c>
      <c r="F571" s="13" t="s">
        <v>1350</v>
      </c>
      <c r="I571" s="13" t="str">
        <f t="shared" si="9"/>
        <v>M3B3FALSE</v>
      </c>
      <c r="T571"/>
    </row>
    <row r="572" spans="1:20" ht="12.75" customHeight="1" x14ac:dyDescent="0.25">
      <c r="A572" t="s">
        <v>739</v>
      </c>
      <c r="B572" t="s">
        <v>739</v>
      </c>
      <c r="C572" s="32" t="str" cm="1">
        <f t="array" aca="1" ref="C572" ca="1">"'='" &amp; MID(CELL("address",INDIRECT(B572)),$K$2+1,100)</f>
        <v>'='CNPIs Infrastructure Asset'!$H$22</v>
      </c>
      <c r="D572" s="38">
        <f>M3B3b6OtherPublicTarget</f>
        <v>0</v>
      </c>
      <c r="E572" s="38" t="s">
        <v>493</v>
      </c>
      <c r="F572" s="110" t="s">
        <v>739</v>
      </c>
      <c r="H572" s="55"/>
      <c r="I572" s="13" t="str">
        <f t="shared" si="9"/>
        <v>M3B3FALSE</v>
      </c>
      <c r="T572"/>
    </row>
    <row r="573" spans="1:20" ht="12.75" customHeight="1" x14ac:dyDescent="0.25">
      <c r="A573" t="s">
        <v>727</v>
      </c>
      <c r="B573" t="s">
        <v>727</v>
      </c>
      <c r="C573" s="32" t="str" cm="1">
        <f t="array" aca="1" ref="C573" ca="1">"'='" &amp; MID(CELL("address",INDIRECT(B573)),$K$2+1,100)</f>
        <v>'='CNPIs Infrastructure Asset'!$I$22</v>
      </c>
      <c r="D573" s="38">
        <f>M3B3b6OtherPublicResults</f>
        <v>0</v>
      </c>
      <c r="E573" s="38" t="s">
        <v>493</v>
      </c>
      <c r="F573" s="110" t="s">
        <v>727</v>
      </c>
      <c r="H573" s="55"/>
      <c r="I573" s="13" t="str">
        <f t="shared" si="9"/>
        <v>M3B3FALSE</v>
      </c>
      <c r="T573"/>
    </row>
    <row r="574" spans="1:20" ht="12.75" customHeight="1" x14ac:dyDescent="0.25">
      <c r="A574" s="13" t="s">
        <v>1351</v>
      </c>
      <c r="B574" s="13" t="s">
        <v>1351</v>
      </c>
      <c r="C574" s="32" t="str" cm="1">
        <f t="array" aca="1" ref="C574" ca="1">"'='" &amp; MID(CELL("address",INDIRECT(B574)),$K$2+1,100)</f>
        <v>'='CNPIs Infrastructure Asset'!$J$22</v>
      </c>
      <c r="D574" s="38" t="str">
        <f>M3B3b6OtherPublicAccuracy</f>
        <v/>
      </c>
      <c r="E574" s="38" t="s">
        <v>493</v>
      </c>
      <c r="F574" s="13" t="s">
        <v>1351</v>
      </c>
      <c r="I574" s="13" t="str">
        <f t="shared" si="9"/>
        <v>M3B3FALSE</v>
      </c>
      <c r="T574"/>
    </row>
    <row r="575" spans="1:20" ht="12.75" customHeight="1" x14ac:dyDescent="0.25">
      <c r="A575" t="s">
        <v>682</v>
      </c>
      <c r="B575" t="s">
        <v>682</v>
      </c>
      <c r="C575" s="32" t="str" cm="1">
        <f t="array" aca="1" ref="C575" ca="1">"'='" &amp; MID(CELL("address",INDIRECT(B575)),$K$2+1,100)</f>
        <v>'='CNPIs Infrastructure Asset'!$C$25</v>
      </c>
      <c r="D575" s="38">
        <f>M3B3z1OtherInfraAsset1Name</f>
        <v>0</v>
      </c>
      <c r="E575" s="38" t="s">
        <v>284</v>
      </c>
      <c r="F575" s="110" t="s">
        <v>682</v>
      </c>
      <c r="G575" s="38">
        <v>1000</v>
      </c>
      <c r="H575" s="55"/>
      <c r="I575" s="13" t="str">
        <f t="shared" si="9"/>
        <v>M3B3FALSE</v>
      </c>
      <c r="T575"/>
    </row>
    <row r="576" spans="1:20" ht="12.75" customHeight="1" x14ac:dyDescent="0.25">
      <c r="A576" t="s">
        <v>683</v>
      </c>
      <c r="B576" t="s">
        <v>683</v>
      </c>
      <c r="C576" s="32" t="str" cm="1">
        <f t="array" aca="1" ref="C576" ca="1">"'='" &amp; MID(CELL("address",INDIRECT(B576)),$K$2+1,100)</f>
        <v>'='CNPIs Infrastructure Asset'!$H$25</v>
      </c>
      <c r="D576" s="38">
        <f>M3B3z1OtherInfraAsset1Target</f>
        <v>0</v>
      </c>
      <c r="E576" s="38" t="s">
        <v>493</v>
      </c>
      <c r="F576" s="110" t="s">
        <v>683</v>
      </c>
      <c r="H576" s="55"/>
      <c r="I576" s="13" t="str">
        <f t="shared" si="9"/>
        <v>M3B3FALSE</v>
      </c>
      <c r="T576"/>
    </row>
    <row r="577" spans="1:20" ht="12.75" customHeight="1" x14ac:dyDescent="0.25">
      <c r="A577" t="s">
        <v>684</v>
      </c>
      <c r="B577" t="s">
        <v>684</v>
      </c>
      <c r="C577" s="32" t="str" cm="1">
        <f t="array" aca="1" ref="C577" ca="1">"'='" &amp; MID(CELL("address",INDIRECT(B577)),$K$2+1,100)</f>
        <v>'='CNPIs Infrastructure Asset'!$I$25</v>
      </c>
      <c r="D577" s="38">
        <f>M3B3z1OtherInfraAsset1Results</f>
        <v>0</v>
      </c>
      <c r="E577" s="38" t="s">
        <v>493</v>
      </c>
      <c r="F577" s="110" t="s">
        <v>684</v>
      </c>
      <c r="H577" s="55"/>
      <c r="I577" s="13" t="str">
        <f t="shared" si="9"/>
        <v>M3B3FALSE</v>
      </c>
      <c r="T577"/>
    </row>
    <row r="578" spans="1:20" ht="12.75" customHeight="1" x14ac:dyDescent="0.25">
      <c r="A578" s="13" t="s">
        <v>1367</v>
      </c>
      <c r="B578" s="13" t="s">
        <v>1367</v>
      </c>
      <c r="C578" s="32" t="str" cm="1">
        <f t="array" aca="1" ref="C578" ca="1">"'='" &amp; MID(CELL("address",INDIRECT(B578)),$K$2+1,100)</f>
        <v>'='CNPIs Infrastructure Asset'!$J$25</v>
      </c>
      <c r="D578" s="38" t="str">
        <f>M3B3z1OtherInfraAsset1Accuracy</f>
        <v/>
      </c>
      <c r="E578" s="38" t="s">
        <v>493</v>
      </c>
      <c r="F578" s="13" t="s">
        <v>1367</v>
      </c>
      <c r="I578" s="13" t="str">
        <f t="shared" si="9"/>
        <v>M3B3FALSE</v>
      </c>
      <c r="T578"/>
    </row>
    <row r="579" spans="1:20" ht="12.75" customHeight="1" x14ac:dyDescent="0.25">
      <c r="A579" t="s">
        <v>685</v>
      </c>
      <c r="B579" t="s">
        <v>685</v>
      </c>
      <c r="C579" s="32" t="str" cm="1">
        <f t="array" aca="1" ref="C579" ca="1">"'='" &amp; MID(CELL("address",INDIRECT(B579)),$K$2+1,100)</f>
        <v>'='CNPIs Infrastructure Asset'!$C$26</v>
      </c>
      <c r="D579" s="38">
        <f>M3B3z2OtherInfraAsset2Name</f>
        <v>0</v>
      </c>
      <c r="E579" s="38" t="s">
        <v>284</v>
      </c>
      <c r="F579" s="110" t="s">
        <v>685</v>
      </c>
      <c r="G579" s="38">
        <v>1000</v>
      </c>
      <c r="H579" s="55"/>
      <c r="I579" s="13" t="str">
        <f t="shared" si="9"/>
        <v>M3B3FALSE</v>
      </c>
      <c r="T579"/>
    </row>
    <row r="580" spans="1:20" ht="12.75" customHeight="1" x14ac:dyDescent="0.25">
      <c r="A580" t="s">
        <v>686</v>
      </c>
      <c r="B580" t="s">
        <v>686</v>
      </c>
      <c r="C580" s="32" t="str" cm="1">
        <f t="array" aca="1" ref="C580" ca="1">"'='" &amp; MID(CELL("address",INDIRECT(B580)),$K$2+1,100)</f>
        <v>'='CNPIs Infrastructure Asset'!$H$26</v>
      </c>
      <c r="D580" s="38">
        <f>M3B3z2OtherInfraAsset2Target</f>
        <v>0</v>
      </c>
      <c r="E580" s="38" t="s">
        <v>493</v>
      </c>
      <c r="F580" s="110" t="s">
        <v>686</v>
      </c>
      <c r="H580" s="55"/>
      <c r="I580" s="13" t="str">
        <f t="shared" si="9"/>
        <v>M3B3FALSE</v>
      </c>
      <c r="T580"/>
    </row>
    <row r="581" spans="1:20" ht="12.75" customHeight="1" x14ac:dyDescent="0.25">
      <c r="A581" t="s">
        <v>687</v>
      </c>
      <c r="B581" t="s">
        <v>687</v>
      </c>
      <c r="C581" s="32" t="str" cm="1">
        <f t="array" aca="1" ref="C581" ca="1">"'='" &amp; MID(CELL("address",INDIRECT(B581)),$K$2+1,100)</f>
        <v>'='CNPIs Infrastructure Asset'!$I$26</v>
      </c>
      <c r="D581" s="38">
        <f>M3B3z2OtherInfraAsset2Results</f>
        <v>0</v>
      </c>
      <c r="E581" s="38" t="s">
        <v>493</v>
      </c>
      <c r="F581" s="110" t="s">
        <v>687</v>
      </c>
      <c r="H581" s="55"/>
      <c r="I581" s="13" t="str">
        <f t="shared" si="9"/>
        <v>M3B3FALSE</v>
      </c>
      <c r="T581"/>
    </row>
    <row r="582" spans="1:20" ht="12.75" customHeight="1" x14ac:dyDescent="0.25">
      <c r="A582" s="13" t="s">
        <v>1368</v>
      </c>
      <c r="B582" s="13" t="s">
        <v>1368</v>
      </c>
      <c r="C582" s="32" t="str" cm="1">
        <f t="array" aca="1" ref="C582" ca="1">"'='" &amp; MID(CELL("address",INDIRECT(B582)),$K$2+1,100)</f>
        <v>'='CNPIs Infrastructure Asset'!$J$26</v>
      </c>
      <c r="D582" s="38" t="str">
        <f>M3B3z2OtherInfraAsset2Accuracy</f>
        <v/>
      </c>
      <c r="E582" s="38" t="s">
        <v>493</v>
      </c>
      <c r="F582" s="13" t="s">
        <v>1368</v>
      </c>
      <c r="I582" s="13" t="str">
        <f t="shared" si="9"/>
        <v>M3B3FALSE</v>
      </c>
      <c r="T582"/>
    </row>
    <row r="583" spans="1:20" ht="12.75" customHeight="1" x14ac:dyDescent="0.25">
      <c r="A583" t="s">
        <v>688</v>
      </c>
      <c r="B583" t="s">
        <v>688</v>
      </c>
      <c r="C583" s="32" t="str" cm="1">
        <f t="array" aca="1" ref="C583" ca="1">"'='" &amp; MID(CELL("address",INDIRECT(B583)),$K$2+1,100)</f>
        <v>'='CNPIs Infrastructure Asset'!$C$27</v>
      </c>
      <c r="D583" s="38">
        <f>M3B3z3OtherInfraAsset3Name</f>
        <v>0</v>
      </c>
      <c r="E583" s="38" t="s">
        <v>284</v>
      </c>
      <c r="F583" s="110" t="s">
        <v>688</v>
      </c>
      <c r="G583" s="38">
        <v>1000</v>
      </c>
      <c r="H583" s="55"/>
      <c r="I583" s="13" t="str">
        <f t="shared" si="9"/>
        <v>M3B3FALSE</v>
      </c>
      <c r="T583"/>
    </row>
    <row r="584" spans="1:20" ht="12.75" customHeight="1" x14ac:dyDescent="0.25">
      <c r="A584" t="s">
        <v>689</v>
      </c>
      <c r="B584" t="s">
        <v>689</v>
      </c>
      <c r="C584" s="32" t="str" cm="1">
        <f t="array" aca="1" ref="C584" ca="1">"'='" &amp; MID(CELL("address",INDIRECT(B584)),$K$2+1,100)</f>
        <v>'='CNPIs Infrastructure Asset'!$H$27</v>
      </c>
      <c r="D584" s="38">
        <f>M3B3z3OtherInfraAsset3Target</f>
        <v>0</v>
      </c>
      <c r="E584" s="38" t="s">
        <v>493</v>
      </c>
      <c r="F584" s="110" t="s">
        <v>689</v>
      </c>
      <c r="H584" s="55"/>
      <c r="I584" s="13" t="str">
        <f t="shared" si="9"/>
        <v>M3B3FALSE</v>
      </c>
      <c r="T584"/>
    </row>
    <row r="585" spans="1:20" ht="12.75" customHeight="1" x14ac:dyDescent="0.25">
      <c r="A585" t="s">
        <v>690</v>
      </c>
      <c r="B585" t="s">
        <v>690</v>
      </c>
      <c r="C585" s="32" t="str" cm="1">
        <f t="array" aca="1" ref="C585" ca="1">"'='" &amp; MID(CELL("address",INDIRECT(B585)),$K$2+1,100)</f>
        <v>'='CNPIs Infrastructure Asset'!$I$27</v>
      </c>
      <c r="D585" s="38">
        <f>M3B3z3OtherInfraAsset3Results</f>
        <v>0</v>
      </c>
      <c r="E585" s="38" t="s">
        <v>493</v>
      </c>
      <c r="F585" s="110" t="s">
        <v>690</v>
      </c>
      <c r="H585" s="55"/>
      <c r="I585" s="13" t="str">
        <f t="shared" si="9"/>
        <v>M3B3FALSE</v>
      </c>
      <c r="T585"/>
    </row>
    <row r="586" spans="1:20" ht="12.75" customHeight="1" x14ac:dyDescent="0.25">
      <c r="A586" s="13" t="s">
        <v>1369</v>
      </c>
      <c r="B586" s="13" t="s">
        <v>1369</v>
      </c>
      <c r="C586" s="32" t="str" cm="1">
        <f t="array" aca="1" ref="C586" ca="1">"'='" &amp; MID(CELL("address",INDIRECT(B586)),$K$2+1,100)</f>
        <v>'='CNPIs Infrastructure Asset'!$J$27</v>
      </c>
      <c r="D586" s="38" t="str">
        <f>M3B3z3OtherInfraAsset3Accuracy</f>
        <v/>
      </c>
      <c r="E586" s="38" t="s">
        <v>493</v>
      </c>
      <c r="F586" s="13" t="s">
        <v>1369</v>
      </c>
      <c r="I586" s="13" t="str">
        <f t="shared" si="9"/>
        <v>M3B3FALSE</v>
      </c>
      <c r="T586"/>
    </row>
    <row r="587" spans="1:20" ht="12.75" customHeight="1" x14ac:dyDescent="0.25">
      <c r="A587" t="s">
        <v>697</v>
      </c>
      <c r="B587" t="s">
        <v>697</v>
      </c>
      <c r="C587" s="32" t="str" cm="1">
        <f t="array" aca="1" ref="C587" ca="1">"'='" &amp; MID(CELL("address",INDIRECT(B587)),$K$2+1,100)</f>
        <v>'='CNPIs Infrastructure Asset'!$H$30</v>
      </c>
      <c r="D587" s="38">
        <f>M3B3cAbandonBuildBaseline</f>
        <v>0</v>
      </c>
      <c r="E587" s="38" t="s">
        <v>493</v>
      </c>
      <c r="F587" s="110" t="s">
        <v>697</v>
      </c>
      <c r="H587" s="55"/>
      <c r="I587" s="13" t="str">
        <f t="shared" si="9"/>
        <v>M3B3FALSE</v>
      </c>
      <c r="T587"/>
    </row>
    <row r="588" spans="1:20" ht="12.75" customHeight="1" x14ac:dyDescent="0.25">
      <c r="A588" t="s">
        <v>698</v>
      </c>
      <c r="B588" t="s">
        <v>698</v>
      </c>
      <c r="C588" s="32" t="str" cm="1">
        <f t="array" aca="1" ref="C588" ca="1">"'='" &amp; MID(CELL("address",INDIRECT(B588)),$K$2+1,100)</f>
        <v>'='CNPIs Infrastructure Asset'!$I$30</v>
      </c>
      <c r="D588" s="38">
        <f>M3B3cAbandonBuildTarget</f>
        <v>0</v>
      </c>
      <c r="E588" s="38" t="s">
        <v>493</v>
      </c>
      <c r="F588" s="110" t="s">
        <v>698</v>
      </c>
      <c r="H588" s="55"/>
      <c r="I588" s="13" t="str">
        <f t="shared" si="9"/>
        <v>M3B3FALSE</v>
      </c>
      <c r="T588"/>
    </row>
    <row r="589" spans="1:20" ht="12.75" customHeight="1" x14ac:dyDescent="0.25">
      <c r="A589" s="13" t="s">
        <v>1352</v>
      </c>
      <c r="B589" s="13" t="s">
        <v>1352</v>
      </c>
      <c r="C589" s="32" t="str" cm="1">
        <f t="array" aca="1" ref="C589" ca="1">"'='" &amp; MID(CELL("address",INDIRECT(B589)),$K$2+1,100)</f>
        <v>'='CNPIs Infrastructure Asset'!$J$30</v>
      </c>
      <c r="D589" s="38" t="str">
        <f>M3B3cAbandonBuildExpectChng</f>
        <v/>
      </c>
      <c r="E589" s="38" t="s">
        <v>493</v>
      </c>
      <c r="F589" s="13" t="s">
        <v>1352</v>
      </c>
      <c r="I589" s="13" t="str">
        <f t="shared" si="9"/>
        <v>M3B3FALSE</v>
      </c>
      <c r="T589"/>
    </row>
    <row r="590" spans="1:20" ht="12.75" customHeight="1" x14ac:dyDescent="0.25">
      <c r="A590" t="s">
        <v>699</v>
      </c>
      <c r="B590" t="s">
        <v>699</v>
      </c>
      <c r="C590" s="32" t="str" cm="1">
        <f t="array" aca="1" ref="C590" ca="1">"'='" &amp; MID(CELL("address",INDIRECT(B590)),$K$2+1,100)</f>
        <v>'='CNPIs Infrastructure Asset'!$K$30</v>
      </c>
      <c r="D590" s="38">
        <f>M3B3cAbandonBuildResults</f>
        <v>0</v>
      </c>
      <c r="E590" s="38" t="s">
        <v>493</v>
      </c>
      <c r="F590" s="110" t="s">
        <v>699</v>
      </c>
      <c r="H590" s="55"/>
      <c r="I590" s="13" t="str">
        <f t="shared" si="9"/>
        <v>M3B3FALSE</v>
      </c>
      <c r="T590"/>
    </row>
    <row r="591" spans="1:20" ht="12.75" customHeight="1" x14ac:dyDescent="0.25">
      <c r="A591" s="13" t="s">
        <v>1353</v>
      </c>
      <c r="B591" s="13" t="s">
        <v>1353</v>
      </c>
      <c r="C591" s="32" t="str" cm="1">
        <f t="array" aca="1" ref="C591" ca="1">"'='" &amp; MID(CELL("address",INDIRECT(B591)),$K$2+1,100)</f>
        <v>'='CNPIs Infrastructure Asset'!$L$30</v>
      </c>
      <c r="D591" s="38" t="str">
        <f>M3B3cAbandonBuildActualChng</f>
        <v/>
      </c>
      <c r="E591" s="38" t="s">
        <v>493</v>
      </c>
      <c r="F591" s="13" t="s">
        <v>1353</v>
      </c>
      <c r="I591" s="13" t="str">
        <f t="shared" si="9"/>
        <v>M3B3FALSE</v>
      </c>
      <c r="T591"/>
    </row>
    <row r="592" spans="1:20" ht="12.75" customHeight="1" x14ac:dyDescent="0.25">
      <c r="A592" s="13" t="s">
        <v>1354</v>
      </c>
      <c r="B592" s="13" t="s">
        <v>1354</v>
      </c>
      <c r="C592" s="32" t="str" cm="1">
        <f t="array" aca="1" ref="C592" ca="1">"'='" &amp; MID(CELL("address",INDIRECT(B592)),$K$2+1,100)</f>
        <v>'='CNPIs Infrastructure Asset'!$M$30</v>
      </c>
      <c r="D592" s="38" t="str">
        <f>M3B3cAbandonBuildAccuracy</f>
        <v/>
      </c>
      <c r="E592" s="38" t="s">
        <v>493</v>
      </c>
      <c r="F592" s="13" t="s">
        <v>1354</v>
      </c>
      <c r="I592" s="13" t="str">
        <f t="shared" si="9"/>
        <v>M3B3FALSE</v>
      </c>
      <c r="T592"/>
    </row>
    <row r="593" spans="1:20" ht="12.75" customHeight="1" x14ac:dyDescent="0.25">
      <c r="A593" t="s">
        <v>700</v>
      </c>
      <c r="B593" t="s">
        <v>700</v>
      </c>
      <c r="C593" s="32" t="str" cm="1">
        <f t="array" aca="1" ref="C593" ca="1">"'='" &amp; MID(CELL("address",INDIRECT(B593)),$K$2+1,100)</f>
        <v>'='CNPIs Infrastructure Asset'!$H$31</v>
      </c>
      <c r="D593" s="38">
        <f>M3B3dEmerRespTimeBaseline</f>
        <v>0</v>
      </c>
      <c r="E593" s="38" t="s">
        <v>493</v>
      </c>
      <c r="F593" s="110" t="s">
        <v>700</v>
      </c>
      <c r="H593" s="55"/>
      <c r="I593" s="13" t="str">
        <f t="shared" si="9"/>
        <v>M3B3FALSE</v>
      </c>
      <c r="T593"/>
    </row>
    <row r="594" spans="1:20" ht="12.75" customHeight="1" x14ac:dyDescent="0.25">
      <c r="A594" t="s">
        <v>701</v>
      </c>
      <c r="B594" t="s">
        <v>701</v>
      </c>
      <c r="C594" s="32" t="str" cm="1">
        <f t="array" aca="1" ref="C594" ca="1">"'='" &amp; MID(CELL("address",INDIRECT(B594)),$K$2+1,100)</f>
        <v>'='CNPIs Infrastructure Asset'!$I$31</v>
      </c>
      <c r="D594" s="38">
        <f>M3B3dEmerRespTimeTarget</f>
        <v>0</v>
      </c>
      <c r="E594" s="38" t="s">
        <v>493</v>
      </c>
      <c r="F594" s="110" t="s">
        <v>701</v>
      </c>
      <c r="H594" s="55"/>
      <c r="I594" s="13" t="str">
        <f t="shared" si="9"/>
        <v>M3B3FALSE</v>
      </c>
      <c r="T594"/>
    </row>
    <row r="595" spans="1:20" ht="12.75" customHeight="1" x14ac:dyDescent="0.25">
      <c r="A595" s="13" t="s">
        <v>1355</v>
      </c>
      <c r="B595" s="13" t="s">
        <v>1355</v>
      </c>
      <c r="C595" s="32" t="str" cm="1">
        <f t="array" aca="1" ref="C595" ca="1">"'='" &amp; MID(CELL("address",INDIRECT(B595)),$K$2+1,100)</f>
        <v>'='CNPIs Infrastructure Asset'!$J$31</v>
      </c>
      <c r="D595" s="38" t="str">
        <f>M3B3dEmerRespTimeExpectChng</f>
        <v/>
      </c>
      <c r="E595" s="38" t="s">
        <v>493</v>
      </c>
      <c r="F595" s="13" t="s">
        <v>1355</v>
      </c>
      <c r="I595" s="13" t="str">
        <f t="shared" si="9"/>
        <v>M3B3FALSE</v>
      </c>
      <c r="T595"/>
    </row>
    <row r="596" spans="1:20" ht="12.75" customHeight="1" x14ac:dyDescent="0.25">
      <c r="A596" t="s">
        <v>702</v>
      </c>
      <c r="B596" t="s">
        <v>702</v>
      </c>
      <c r="C596" s="32" t="str" cm="1">
        <f t="array" aca="1" ref="C596" ca="1">"'='" &amp; MID(CELL("address",INDIRECT(B596)),$K$2+1,100)</f>
        <v>'='CNPIs Infrastructure Asset'!$K$31</v>
      </c>
      <c r="D596" s="38">
        <f>M3B3dEmerRespTimeResults</f>
        <v>0</v>
      </c>
      <c r="E596" s="38" t="s">
        <v>493</v>
      </c>
      <c r="F596" s="110" t="s">
        <v>702</v>
      </c>
      <c r="H596" s="55"/>
      <c r="I596" s="13" t="str">
        <f t="shared" si="9"/>
        <v>M3B3FALSE</v>
      </c>
      <c r="T596"/>
    </row>
    <row r="597" spans="1:20" ht="12.75" customHeight="1" x14ac:dyDescent="0.25">
      <c r="A597" s="13" t="s">
        <v>1356</v>
      </c>
      <c r="B597" s="13" t="s">
        <v>1356</v>
      </c>
      <c r="C597" s="32" t="str" cm="1">
        <f t="array" aca="1" ref="C597" ca="1">"'='" &amp; MID(CELL("address",INDIRECT(B597)),$K$2+1,100)</f>
        <v>'='CNPIs Infrastructure Asset'!$L$31</v>
      </c>
      <c r="D597" s="38" t="str">
        <f>M3B3dEmerRespTimeActualChng</f>
        <v/>
      </c>
      <c r="E597" s="38" t="s">
        <v>493</v>
      </c>
      <c r="F597" s="13" t="s">
        <v>1356</v>
      </c>
      <c r="I597" s="13" t="str">
        <f t="shared" si="9"/>
        <v>M3B3FALSE</v>
      </c>
      <c r="T597"/>
    </row>
    <row r="598" spans="1:20" ht="12.75" customHeight="1" x14ac:dyDescent="0.25">
      <c r="A598" s="13" t="s">
        <v>1357</v>
      </c>
      <c r="B598" s="13" t="s">
        <v>1357</v>
      </c>
      <c r="C598" s="32" t="str" cm="1">
        <f t="array" aca="1" ref="C598" ca="1">"'='" &amp; MID(CELL("address",INDIRECT(B598)),$K$2+1,100)</f>
        <v>'='CNPIs Infrastructure Asset'!$M$31</v>
      </c>
      <c r="D598" s="38" t="str">
        <f>M3B3dEmerRespTimeAccuracy</f>
        <v/>
      </c>
      <c r="E598" s="38" t="s">
        <v>493</v>
      </c>
      <c r="F598" s="13" t="s">
        <v>1357</v>
      </c>
      <c r="I598" s="13" t="str">
        <f t="shared" si="9"/>
        <v>M3B3FALSE</v>
      </c>
      <c r="T598"/>
    </row>
    <row r="599" spans="1:20" ht="12.75" customHeight="1" x14ac:dyDescent="0.25">
      <c r="A599" t="s">
        <v>703</v>
      </c>
      <c r="B599" t="s">
        <v>703</v>
      </c>
      <c r="C599" s="32" t="str" cm="1">
        <f t="array" aca="1" ref="C599" ca="1">"'='" &amp; MID(CELL("address",INDIRECT(B599)),$K$2+1,100)</f>
        <v>'='CNPIs Infrastructure Asset'!$H$32</v>
      </c>
      <c r="D599" s="38">
        <f>M3B3ePredLendBaseline</f>
        <v>0</v>
      </c>
      <c r="E599" s="38" t="s">
        <v>493</v>
      </c>
      <c r="F599" s="110" t="s">
        <v>703</v>
      </c>
      <c r="H599" s="55"/>
      <c r="I599" s="13" t="str">
        <f t="shared" si="9"/>
        <v>M3B3FALSE</v>
      </c>
      <c r="T599" s="13" t="str">
        <f t="shared" ref="T599:T638" si="10">LEFT(L599,4)</f>
        <v/>
      </c>
    </row>
    <row r="600" spans="1:20" ht="12.75" customHeight="1" x14ac:dyDescent="0.25">
      <c r="A600" t="s">
        <v>704</v>
      </c>
      <c r="B600" t="s">
        <v>704</v>
      </c>
      <c r="C600" s="32" t="str" cm="1">
        <f t="array" aca="1" ref="C600" ca="1">"'='" &amp; MID(CELL("address",INDIRECT(B600)),$K$2+1,100)</f>
        <v>'='CNPIs Infrastructure Asset'!$I$32</v>
      </c>
      <c r="D600" s="38">
        <f>M3B3ePredLendTarget</f>
        <v>0</v>
      </c>
      <c r="E600" s="38" t="s">
        <v>493</v>
      </c>
      <c r="F600" s="110" t="s">
        <v>704</v>
      </c>
      <c r="H600" s="55"/>
      <c r="I600" s="13" t="str">
        <f t="shared" si="9"/>
        <v>M3B3FALSE</v>
      </c>
      <c r="T600" s="13" t="str">
        <f t="shared" si="10"/>
        <v/>
      </c>
    </row>
    <row r="601" spans="1:20" ht="12.75" customHeight="1" x14ac:dyDescent="0.2">
      <c r="A601" s="13" t="s">
        <v>1358</v>
      </c>
      <c r="B601" s="13" t="s">
        <v>1358</v>
      </c>
      <c r="C601" s="32" t="str" cm="1">
        <f t="array" aca="1" ref="C601" ca="1">"'='" &amp; MID(CELL("address",INDIRECT(B601)),$K$2+1,100)</f>
        <v>'='CNPIs Infrastructure Asset'!$J$32</v>
      </c>
      <c r="D601" s="38" t="str">
        <f>M3B3ePredLendExpectChng</f>
        <v/>
      </c>
      <c r="E601" s="38" t="s">
        <v>493</v>
      </c>
      <c r="F601" s="13" t="s">
        <v>1358</v>
      </c>
      <c r="I601" s="13" t="str">
        <f t="shared" si="9"/>
        <v>M3B3FALSE</v>
      </c>
      <c r="T601" s="13" t="str">
        <f t="shared" si="10"/>
        <v/>
      </c>
    </row>
    <row r="602" spans="1:20" ht="12.75" customHeight="1" x14ac:dyDescent="0.25">
      <c r="A602" t="s">
        <v>705</v>
      </c>
      <c r="B602" t="s">
        <v>705</v>
      </c>
      <c r="C602" s="32" t="str" cm="1">
        <f t="array" aca="1" ref="C602" ca="1">"'='" &amp; MID(CELL("address",INDIRECT(B602)),$K$2+1,100)</f>
        <v>'='CNPIs Infrastructure Asset'!$K$32</v>
      </c>
      <c r="D602" s="38">
        <f>M3B3ePredLendResults</f>
        <v>0</v>
      </c>
      <c r="E602" s="38" t="s">
        <v>493</v>
      </c>
      <c r="F602" s="110" t="s">
        <v>705</v>
      </c>
      <c r="H602" s="55"/>
      <c r="I602" s="13" t="str">
        <f t="shared" si="9"/>
        <v>M3B3FALSE</v>
      </c>
      <c r="T602" s="13" t="str">
        <f t="shared" si="10"/>
        <v/>
      </c>
    </row>
    <row r="603" spans="1:20" ht="12.75" customHeight="1" x14ac:dyDescent="0.2">
      <c r="A603" s="13" t="s">
        <v>1359</v>
      </c>
      <c r="B603" s="13" t="s">
        <v>1359</v>
      </c>
      <c r="C603" s="32" t="str" cm="1">
        <f t="array" aca="1" ref="C603" ca="1">"'='" &amp; MID(CELL("address",INDIRECT(B603)),$K$2+1,100)</f>
        <v>'='CNPIs Infrastructure Asset'!$L$32</v>
      </c>
      <c r="D603" s="38" t="str">
        <f>M3B3ePredLendActualChng</f>
        <v/>
      </c>
      <c r="E603" s="38" t="s">
        <v>493</v>
      </c>
      <c r="F603" s="13" t="s">
        <v>1359</v>
      </c>
      <c r="I603" s="13" t="str">
        <f t="shared" si="9"/>
        <v>M3B3FALSE</v>
      </c>
      <c r="T603" s="13" t="str">
        <f t="shared" si="10"/>
        <v/>
      </c>
    </row>
    <row r="604" spans="1:20" ht="12.75" customHeight="1" x14ac:dyDescent="0.2">
      <c r="A604" s="13" t="s">
        <v>1360</v>
      </c>
      <c r="B604" s="13" t="s">
        <v>1360</v>
      </c>
      <c r="C604" s="32" t="str" cm="1">
        <f t="array" aca="1" ref="C604" ca="1">"'='" &amp; MID(CELL("address",INDIRECT(B604)),$K$2+1,100)</f>
        <v>'='CNPIs Infrastructure Asset'!$M$32</v>
      </c>
      <c r="D604" s="38" t="str">
        <f>M3B3ePredLendAccuracy</f>
        <v/>
      </c>
      <c r="E604" s="38" t="s">
        <v>493</v>
      </c>
      <c r="F604" s="13" t="s">
        <v>1360</v>
      </c>
      <c r="I604" s="13" t="str">
        <f t="shared" si="9"/>
        <v>M3B3FALSE</v>
      </c>
      <c r="T604" s="13" t="str">
        <f t="shared" si="10"/>
        <v/>
      </c>
    </row>
    <row r="605" spans="1:20" ht="12.75" customHeight="1" x14ac:dyDescent="0.25">
      <c r="A605" t="s">
        <v>706</v>
      </c>
      <c r="B605" t="s">
        <v>706</v>
      </c>
      <c r="C605" s="32" t="str" cm="1">
        <f t="array" aca="1" ref="C605" ca="1">"'='" &amp; MID(CELL("address",INDIRECT(B605)),$K$2+1,100)</f>
        <v>'='CNPIs Infrastructure Asset'!$H$33</v>
      </c>
      <c r="D605" s="38">
        <f>M3B3fEnvirThreatBaseline</f>
        <v>0</v>
      </c>
      <c r="E605" s="38" t="s">
        <v>493</v>
      </c>
      <c r="F605" s="110" t="s">
        <v>706</v>
      </c>
      <c r="H605" s="55"/>
      <c r="I605" s="13" t="str">
        <f t="shared" si="9"/>
        <v>M3B3FALSE</v>
      </c>
      <c r="T605" s="13" t="str">
        <f t="shared" si="10"/>
        <v/>
      </c>
    </row>
    <row r="606" spans="1:20" ht="12.75" customHeight="1" x14ac:dyDescent="0.25">
      <c r="A606" t="s">
        <v>707</v>
      </c>
      <c r="B606" t="s">
        <v>707</v>
      </c>
      <c r="C606" s="32" t="str" cm="1">
        <f t="array" aca="1" ref="C606" ca="1">"'='" &amp; MID(CELL("address",INDIRECT(B606)),$K$2+1,100)</f>
        <v>'='CNPIs Infrastructure Asset'!$I$33</v>
      </c>
      <c r="D606" s="38">
        <f>M3B3fEnvirThreatTarget</f>
        <v>0</v>
      </c>
      <c r="E606" s="38" t="s">
        <v>493</v>
      </c>
      <c r="F606" s="110" t="s">
        <v>707</v>
      </c>
      <c r="H606" s="55"/>
      <c r="I606" s="13" t="str">
        <f t="shared" si="9"/>
        <v>M3B3FALSE</v>
      </c>
      <c r="T606" s="13" t="str">
        <f t="shared" si="10"/>
        <v/>
      </c>
    </row>
    <row r="607" spans="1:20" ht="12.75" customHeight="1" x14ac:dyDescent="0.2">
      <c r="A607" s="13" t="s">
        <v>1361</v>
      </c>
      <c r="B607" s="13" t="s">
        <v>1361</v>
      </c>
      <c r="C607" s="32" t="str" cm="1">
        <f t="array" aca="1" ref="C607" ca="1">"'='" &amp; MID(CELL("address",INDIRECT(B607)),$K$2+1,100)</f>
        <v>'='CNPIs Infrastructure Asset'!$J$33</v>
      </c>
      <c r="D607" s="38" t="str">
        <f>M3B3fEnvirThreatExpectChng</f>
        <v/>
      </c>
      <c r="E607" s="38" t="s">
        <v>493</v>
      </c>
      <c r="F607" s="13" t="s">
        <v>1361</v>
      </c>
      <c r="I607" s="13" t="str">
        <f t="shared" si="9"/>
        <v>M3B3FALSE</v>
      </c>
      <c r="T607" s="13" t="str">
        <f t="shared" si="10"/>
        <v/>
      </c>
    </row>
    <row r="608" spans="1:20" ht="12.75" customHeight="1" x14ac:dyDescent="0.25">
      <c r="A608" t="s">
        <v>708</v>
      </c>
      <c r="B608" t="s">
        <v>708</v>
      </c>
      <c r="C608" s="32" t="str" cm="1">
        <f t="array" aca="1" ref="C608" ca="1">"'='" &amp; MID(CELL("address",INDIRECT(B608)),$K$2+1,100)</f>
        <v>'='CNPIs Infrastructure Asset'!$K$33</v>
      </c>
      <c r="D608" s="38">
        <f>M3B3fEnvirThreatResults</f>
        <v>0</v>
      </c>
      <c r="E608" s="38" t="s">
        <v>493</v>
      </c>
      <c r="F608" s="110" t="s">
        <v>708</v>
      </c>
      <c r="H608" s="55"/>
      <c r="I608" s="13" t="str">
        <f t="shared" si="9"/>
        <v>M3B3FALSE</v>
      </c>
      <c r="T608" s="13" t="str">
        <f t="shared" si="10"/>
        <v/>
      </c>
    </row>
    <row r="609" spans="1:20" ht="12.75" customHeight="1" x14ac:dyDescent="0.2">
      <c r="A609" s="13" t="s">
        <v>1362</v>
      </c>
      <c r="B609" s="13" t="s">
        <v>1362</v>
      </c>
      <c r="C609" s="32" t="str" cm="1">
        <f t="array" aca="1" ref="C609" ca="1">"'='" &amp; MID(CELL("address",INDIRECT(B609)),$K$2+1,100)</f>
        <v>'='CNPIs Infrastructure Asset'!$L$33</v>
      </c>
      <c r="D609" s="38" t="str">
        <f>M3B3fEnvirThreatActualChng</f>
        <v/>
      </c>
      <c r="E609" s="38" t="s">
        <v>493</v>
      </c>
      <c r="F609" s="13" t="s">
        <v>1362</v>
      </c>
      <c r="I609" s="13" t="str">
        <f t="shared" si="9"/>
        <v>M3B3FALSE</v>
      </c>
      <c r="T609" s="13" t="str">
        <f t="shared" si="10"/>
        <v/>
      </c>
    </row>
    <row r="610" spans="1:20" ht="12.75" customHeight="1" x14ac:dyDescent="0.2">
      <c r="A610" s="13" t="s">
        <v>1363</v>
      </c>
      <c r="B610" s="13" t="s">
        <v>1363</v>
      </c>
      <c r="C610" s="32" t="str" cm="1">
        <f t="array" aca="1" ref="C610" ca="1">"'='" &amp; MID(CELL("address",INDIRECT(B610)),$K$2+1,100)</f>
        <v>'='CNPIs Infrastructure Asset'!$M$33</v>
      </c>
      <c r="D610" s="38" t="str">
        <f>M3B3fEnvirThreatAccuracy</f>
        <v/>
      </c>
      <c r="E610" s="38" t="s">
        <v>493</v>
      </c>
      <c r="F610" s="13" t="s">
        <v>1363</v>
      </c>
      <c r="I610" s="13" t="str">
        <f t="shared" si="9"/>
        <v>M3B3FALSE</v>
      </c>
      <c r="T610" s="13" t="str">
        <f t="shared" si="10"/>
        <v/>
      </c>
    </row>
    <row r="611" spans="1:20" ht="12.75" customHeight="1" x14ac:dyDescent="0.25">
      <c r="A611" t="s">
        <v>709</v>
      </c>
      <c r="B611" t="s">
        <v>709</v>
      </c>
      <c r="C611" s="32" t="str" cm="1">
        <f t="array" aca="1" ref="C611" ca="1">"'='" &amp; MID(CELL("address",INDIRECT(B611)),$K$2+1,100)</f>
        <v>'='CNPIs Infrastructure Asset'!$H$34</v>
      </c>
      <c r="D611" s="38">
        <f>M3B3gTransportServiceBaseline</f>
        <v>0</v>
      </c>
      <c r="E611" s="38" t="s">
        <v>493</v>
      </c>
      <c r="F611" s="110" t="s">
        <v>709</v>
      </c>
      <c r="H611" s="55"/>
      <c r="I611" s="13" t="str">
        <f t="shared" si="9"/>
        <v>M3B3FALSE</v>
      </c>
      <c r="T611" s="13" t="str">
        <f t="shared" si="10"/>
        <v/>
      </c>
    </row>
    <row r="612" spans="1:20" ht="12.75" customHeight="1" x14ac:dyDescent="0.25">
      <c r="A612" t="s">
        <v>710</v>
      </c>
      <c r="B612" t="s">
        <v>710</v>
      </c>
      <c r="C612" s="32" t="str" cm="1">
        <f t="array" aca="1" ref="C612" ca="1">"'='" &amp; MID(CELL("address",INDIRECT(B612)),$K$2+1,100)</f>
        <v>'='CNPIs Infrastructure Asset'!$I$34</v>
      </c>
      <c r="D612" s="38">
        <f>M3B3gTransportServiceTarget</f>
        <v>0</v>
      </c>
      <c r="E612" s="38" t="s">
        <v>493</v>
      </c>
      <c r="F612" s="110" t="s">
        <v>710</v>
      </c>
      <c r="H612" s="55"/>
      <c r="I612" s="13" t="str">
        <f t="shared" si="9"/>
        <v>M3B3FALSE</v>
      </c>
      <c r="T612" s="13" t="str">
        <f t="shared" si="10"/>
        <v/>
      </c>
    </row>
    <row r="613" spans="1:20" ht="12.75" customHeight="1" x14ac:dyDescent="0.2">
      <c r="A613" s="13" t="s">
        <v>1364</v>
      </c>
      <c r="B613" s="13" t="s">
        <v>1364</v>
      </c>
      <c r="C613" s="32" t="str" cm="1">
        <f t="array" aca="1" ref="C613" ca="1">"'='" &amp; MID(CELL("address",INDIRECT(B613)),$K$2+1,100)</f>
        <v>'='CNPIs Infrastructure Asset'!$J$34</v>
      </c>
      <c r="D613" s="38" t="str">
        <f>M3B3gTransportServiceExpectChng</f>
        <v/>
      </c>
      <c r="E613" s="38" t="s">
        <v>493</v>
      </c>
      <c r="F613" s="13" t="s">
        <v>1364</v>
      </c>
      <c r="I613" s="13" t="str">
        <f t="shared" si="9"/>
        <v>M3B3FALSE</v>
      </c>
      <c r="T613" s="13" t="str">
        <f t="shared" si="10"/>
        <v/>
      </c>
    </row>
    <row r="614" spans="1:20" ht="12.75" customHeight="1" x14ac:dyDescent="0.25">
      <c r="A614" t="s">
        <v>711</v>
      </c>
      <c r="B614" t="s">
        <v>711</v>
      </c>
      <c r="C614" s="32" t="str" cm="1">
        <f t="array" aca="1" ref="C614" ca="1">"'='" &amp; MID(CELL("address",INDIRECT(B614)),$K$2+1,100)</f>
        <v>'='CNPIs Infrastructure Asset'!$K$34</v>
      </c>
      <c r="D614" s="38">
        <f>M3B3gTransportServiceResults</f>
        <v>0</v>
      </c>
      <c r="E614" s="38" t="s">
        <v>493</v>
      </c>
      <c r="F614" s="110" t="s">
        <v>711</v>
      </c>
      <c r="H614" s="55"/>
      <c r="I614" s="13" t="str">
        <f t="shared" si="9"/>
        <v>M3B3FALSE</v>
      </c>
      <c r="T614" s="13" t="str">
        <f t="shared" si="10"/>
        <v/>
      </c>
    </row>
    <row r="615" spans="1:20" ht="12.75" customHeight="1" x14ac:dyDescent="0.2">
      <c r="A615" s="13" t="s">
        <v>1365</v>
      </c>
      <c r="B615" s="13" t="s">
        <v>1365</v>
      </c>
      <c r="C615" s="32" t="str" cm="1">
        <f t="array" aca="1" ref="C615" ca="1">"'='" &amp; MID(CELL("address",INDIRECT(B615)),$K$2+1,100)</f>
        <v>'='CNPIs Infrastructure Asset'!$L$34</v>
      </c>
      <c r="D615" s="38" t="str">
        <f>M3B3gTransportServiceActualChng</f>
        <v/>
      </c>
      <c r="E615" s="38" t="s">
        <v>493</v>
      </c>
      <c r="F615" s="13" t="s">
        <v>1365</v>
      </c>
      <c r="I615" s="13" t="str">
        <f t="shared" si="9"/>
        <v>M3B3FALSE</v>
      </c>
      <c r="T615" s="13" t="str">
        <f t="shared" si="10"/>
        <v/>
      </c>
    </row>
    <row r="616" spans="1:20" ht="12.75" customHeight="1" x14ac:dyDescent="0.2">
      <c r="A616" s="13" t="s">
        <v>1366</v>
      </c>
      <c r="B616" s="13" t="s">
        <v>1366</v>
      </c>
      <c r="C616" s="32" t="str" cm="1">
        <f t="array" aca="1" ref="C616" ca="1">"'='" &amp; MID(CELL("address",INDIRECT(B616)),$K$2+1,100)</f>
        <v>'='CNPIs Infrastructure Asset'!$M$34</v>
      </c>
      <c r="D616" s="38" t="str">
        <f>M3B3gTransportServiceAccuracy</f>
        <v/>
      </c>
      <c r="E616" s="38" t="s">
        <v>493</v>
      </c>
      <c r="F616" s="13" t="s">
        <v>1366</v>
      </c>
      <c r="I616" s="13" t="str">
        <f t="shared" si="9"/>
        <v>M3B3FALSE</v>
      </c>
      <c r="T616" s="13" t="str">
        <f t="shared" si="10"/>
        <v/>
      </c>
    </row>
    <row r="617" spans="1:20" ht="12.75" customHeight="1" x14ac:dyDescent="0.25">
      <c r="A617" t="s">
        <v>691</v>
      </c>
      <c r="B617" t="s">
        <v>691</v>
      </c>
      <c r="C617" s="32" t="str" cm="1">
        <f t="array" aca="1" ref="C617" ca="1">"'='" &amp; MID(CELL("address",INDIRECT(B617)),$K$2+1,100)</f>
        <v>'='CNPIs Infrastructure Asset'!$C$37</v>
      </c>
      <c r="D617" s="38">
        <f>M3B3z4OtherInfraAsset4Name</f>
        <v>0</v>
      </c>
      <c r="E617" s="38" t="s">
        <v>284</v>
      </c>
      <c r="F617" s="110" t="s">
        <v>691</v>
      </c>
      <c r="G617" s="38">
        <v>1000</v>
      </c>
      <c r="H617" s="55"/>
      <c r="I617" s="13" t="str">
        <f t="shared" si="9"/>
        <v>M3B3FALSE</v>
      </c>
      <c r="T617" s="13" t="str">
        <f t="shared" si="10"/>
        <v/>
      </c>
    </row>
    <row r="618" spans="1:20" ht="12.75" customHeight="1" x14ac:dyDescent="0.25">
      <c r="A618" t="s">
        <v>741</v>
      </c>
      <c r="B618" t="s">
        <v>741</v>
      </c>
      <c r="C618" s="32" t="str" cm="1">
        <f t="array" aca="1" ref="C618" ca="1">"'='" &amp; MID(CELL("address",INDIRECT(B618)),$K$2+1,100)</f>
        <v>'='CNPIs Infrastructure Asset'!$H$37</v>
      </c>
      <c r="D618" s="38">
        <f>M3B3z4OtherInfraAsset4Baseline</f>
        <v>0</v>
      </c>
      <c r="E618" s="38" t="s">
        <v>493</v>
      </c>
      <c r="F618" s="110" t="s">
        <v>741</v>
      </c>
      <c r="H618" s="55"/>
      <c r="I618" s="13" t="str">
        <f t="shared" ref="I618:I638" si="11">LEFT(A618,4) &amp; AND(D618&lt;&gt;"",D618&lt;&gt;0)</f>
        <v>M3B3FALSE</v>
      </c>
      <c r="T618" s="13" t="str">
        <f t="shared" si="10"/>
        <v/>
      </c>
    </row>
    <row r="619" spans="1:20" ht="12.75" customHeight="1" x14ac:dyDescent="0.25">
      <c r="A619" t="s">
        <v>692</v>
      </c>
      <c r="B619" t="s">
        <v>692</v>
      </c>
      <c r="C619" s="32" t="str" cm="1">
        <f t="array" aca="1" ref="C619" ca="1">"'='" &amp; MID(CELL("address",INDIRECT(B619)),$K$2+1,100)</f>
        <v>'='CNPIs Infrastructure Asset'!$I$37</v>
      </c>
      <c r="D619" s="38">
        <f>M3B3z4OtherInfraAsset4Target</f>
        <v>0</v>
      </c>
      <c r="E619" s="38" t="s">
        <v>493</v>
      </c>
      <c r="F619" s="110" t="s">
        <v>692</v>
      </c>
      <c r="H619" s="55"/>
      <c r="I619" s="13" t="str">
        <f t="shared" si="11"/>
        <v>M3B3FALSE</v>
      </c>
      <c r="T619" s="13" t="str">
        <f t="shared" si="10"/>
        <v/>
      </c>
    </row>
    <row r="620" spans="1:20" ht="12.75" customHeight="1" x14ac:dyDescent="0.2">
      <c r="A620" s="13" t="s">
        <v>1370</v>
      </c>
      <c r="B620" s="13" t="s">
        <v>1370</v>
      </c>
      <c r="C620" s="32" t="str" cm="1">
        <f t="array" aca="1" ref="C620" ca="1">"'='" &amp; MID(CELL("address",INDIRECT(B620)),$K$2+1,100)</f>
        <v>'='CNPIs Infrastructure Asset'!$J$37</v>
      </c>
      <c r="D620" s="38" t="str">
        <f>M3B3z4OtherInfraAsset4ExpectChng</f>
        <v/>
      </c>
      <c r="E620" s="38" t="s">
        <v>493</v>
      </c>
      <c r="F620" s="13" t="s">
        <v>1370</v>
      </c>
      <c r="I620" s="13" t="str">
        <f t="shared" si="11"/>
        <v>M3B3FALSE</v>
      </c>
      <c r="T620" s="13" t="str">
        <f t="shared" si="10"/>
        <v/>
      </c>
    </row>
    <row r="621" spans="1:20" ht="12.75" customHeight="1" x14ac:dyDescent="0.25">
      <c r="A621" t="s">
        <v>693</v>
      </c>
      <c r="B621" t="s">
        <v>693</v>
      </c>
      <c r="C621" s="32" t="str" cm="1">
        <f t="array" aca="1" ref="C621" ca="1">"'='" &amp; MID(CELL("address",INDIRECT(B621)),$K$2+1,100)</f>
        <v>'='CNPIs Infrastructure Asset'!$K$37</v>
      </c>
      <c r="D621" s="38">
        <f>M3B3z4OtherInfraAsset4Results</f>
        <v>0</v>
      </c>
      <c r="E621" s="38" t="s">
        <v>493</v>
      </c>
      <c r="F621" s="110" t="s">
        <v>693</v>
      </c>
      <c r="H621" s="55"/>
      <c r="I621" s="13" t="str">
        <f t="shared" si="11"/>
        <v>M3B3FALSE</v>
      </c>
      <c r="T621" s="13" t="str">
        <f t="shared" si="10"/>
        <v/>
      </c>
    </row>
    <row r="622" spans="1:20" ht="12.75" customHeight="1" x14ac:dyDescent="0.2">
      <c r="A622" s="13" t="s">
        <v>1371</v>
      </c>
      <c r="B622" s="13" t="s">
        <v>1371</v>
      </c>
      <c r="C622" s="32" t="str" cm="1">
        <f t="array" aca="1" ref="C622" ca="1">"'='" &amp; MID(CELL("address",INDIRECT(B622)),$K$2+1,100)</f>
        <v>'='CNPIs Infrastructure Asset'!$L$37</v>
      </c>
      <c r="D622" s="38" t="str">
        <f>M3B3z4OtherInfraAsset4ActualChng</f>
        <v/>
      </c>
      <c r="E622" s="38" t="s">
        <v>493</v>
      </c>
      <c r="F622" s="13" t="s">
        <v>1371</v>
      </c>
      <c r="I622" s="13" t="str">
        <f t="shared" si="11"/>
        <v>M3B3FALSE</v>
      </c>
      <c r="T622" s="13" t="str">
        <f t="shared" si="10"/>
        <v/>
      </c>
    </row>
    <row r="623" spans="1:20" ht="12.75" customHeight="1" x14ac:dyDescent="0.2">
      <c r="A623" s="13" t="s">
        <v>1372</v>
      </c>
      <c r="B623" s="13" t="s">
        <v>1372</v>
      </c>
      <c r="C623" s="32" t="str" cm="1">
        <f t="array" aca="1" ref="C623" ca="1">"'='" &amp; MID(CELL("address",INDIRECT(B623)),$K$2+1,100)</f>
        <v>'='CNPIs Infrastructure Asset'!$M$37</v>
      </c>
      <c r="D623" s="38" t="str">
        <f>M3B3z4OtherInfraAsset4Accuracy</f>
        <v/>
      </c>
      <c r="E623" s="38" t="s">
        <v>493</v>
      </c>
      <c r="F623" s="13" t="s">
        <v>1372</v>
      </c>
      <c r="I623" s="13" t="str">
        <f t="shared" si="11"/>
        <v>M3B3FALSE</v>
      </c>
      <c r="T623" s="13" t="str">
        <f t="shared" si="10"/>
        <v/>
      </c>
    </row>
    <row r="624" spans="1:20" ht="12.75" customHeight="1" x14ac:dyDescent="0.25">
      <c r="A624" t="s">
        <v>694</v>
      </c>
      <c r="B624" t="s">
        <v>694</v>
      </c>
      <c r="C624" s="32" t="str" cm="1">
        <f t="array" aca="1" ref="C624" ca="1">"'='" &amp; MID(CELL("address",INDIRECT(B624)),$K$2+1,100)</f>
        <v>'='CNPIs Infrastructure Asset'!$C$38</v>
      </c>
      <c r="D624" s="38">
        <f>M3B3z5OtherInfraAsset5Name</f>
        <v>0</v>
      </c>
      <c r="E624" s="38" t="s">
        <v>284</v>
      </c>
      <c r="F624" s="110" t="s">
        <v>694</v>
      </c>
      <c r="G624" s="38">
        <v>1000</v>
      </c>
      <c r="H624" s="55"/>
      <c r="I624" s="13" t="str">
        <f t="shared" si="11"/>
        <v>M3B3FALSE</v>
      </c>
      <c r="T624" s="13" t="str">
        <f t="shared" si="10"/>
        <v/>
      </c>
    </row>
    <row r="625" spans="1:20" ht="12.75" customHeight="1" x14ac:dyDescent="0.25">
      <c r="A625" t="s">
        <v>740</v>
      </c>
      <c r="B625" t="s">
        <v>740</v>
      </c>
      <c r="C625" s="32" t="str" cm="1">
        <f t="array" aca="1" ref="C625" ca="1">"'='" &amp; MID(CELL("address",INDIRECT(B625)),$K$2+1,100)</f>
        <v>'='CNPIs Infrastructure Asset'!$H$38</v>
      </c>
      <c r="D625" s="38">
        <f>M3B3z5OtherInfraAsset5Baseline</f>
        <v>0</v>
      </c>
      <c r="E625" s="38" t="s">
        <v>493</v>
      </c>
      <c r="F625" s="110" t="s">
        <v>740</v>
      </c>
      <c r="H625" s="55"/>
      <c r="I625" s="13" t="str">
        <f t="shared" si="11"/>
        <v>M3B3FALSE</v>
      </c>
      <c r="T625" s="13" t="str">
        <f t="shared" si="10"/>
        <v/>
      </c>
    </row>
    <row r="626" spans="1:20" ht="12.75" customHeight="1" x14ac:dyDescent="0.25">
      <c r="A626" t="s">
        <v>695</v>
      </c>
      <c r="B626" t="s">
        <v>695</v>
      </c>
      <c r="C626" s="32" t="str" cm="1">
        <f t="array" aca="1" ref="C626" ca="1">"'='" &amp; MID(CELL("address",INDIRECT(B626)),$K$2+1,100)</f>
        <v>'='CNPIs Infrastructure Asset'!$I$38</v>
      </c>
      <c r="D626" s="38">
        <f>M3B3z5OtherInfraAsset5Target</f>
        <v>0</v>
      </c>
      <c r="E626" s="38" t="s">
        <v>493</v>
      </c>
      <c r="F626" s="110" t="s">
        <v>695</v>
      </c>
      <c r="H626" s="55"/>
      <c r="I626" s="13" t="str">
        <f t="shared" si="11"/>
        <v>M3B3FALSE</v>
      </c>
      <c r="T626" s="13" t="str">
        <f t="shared" si="10"/>
        <v/>
      </c>
    </row>
    <row r="627" spans="1:20" ht="12.75" customHeight="1" x14ac:dyDescent="0.2">
      <c r="A627" s="13" t="s">
        <v>1373</v>
      </c>
      <c r="B627" s="13" t="s">
        <v>1373</v>
      </c>
      <c r="C627" s="32" t="str" cm="1">
        <f t="array" aca="1" ref="C627" ca="1">"'='" &amp; MID(CELL("address",INDIRECT(B627)),$K$2+1,100)</f>
        <v>'='CNPIs Infrastructure Asset'!$J$38</v>
      </c>
      <c r="D627" s="38" t="str">
        <f>M3B3z5OtherInfraAsset5ExpectChng</f>
        <v/>
      </c>
      <c r="E627" s="38" t="s">
        <v>493</v>
      </c>
      <c r="F627" s="13" t="s">
        <v>1373</v>
      </c>
      <c r="I627" s="13" t="str">
        <f t="shared" si="11"/>
        <v>M3B3FALSE</v>
      </c>
      <c r="T627" s="13" t="str">
        <f t="shared" si="10"/>
        <v/>
      </c>
    </row>
    <row r="628" spans="1:20" ht="12.75" customHeight="1" x14ac:dyDescent="0.25">
      <c r="A628" t="s">
        <v>696</v>
      </c>
      <c r="B628" t="s">
        <v>696</v>
      </c>
      <c r="C628" s="32" t="str" cm="1">
        <f t="array" aca="1" ref="C628" ca="1">"'='" &amp; MID(CELL("address",INDIRECT(B628)),$K$2+1,100)</f>
        <v>'='CNPIs Infrastructure Asset'!$K$38</v>
      </c>
      <c r="D628" s="38">
        <f>M3B3z5OtherInfraAsset5Results</f>
        <v>0</v>
      </c>
      <c r="E628" s="38" t="s">
        <v>493</v>
      </c>
      <c r="F628" s="110" t="s">
        <v>696</v>
      </c>
      <c r="H628" s="55"/>
      <c r="I628" s="13" t="str">
        <f t="shared" si="11"/>
        <v>M3B3FALSE</v>
      </c>
      <c r="T628" s="13" t="str">
        <f t="shared" si="10"/>
        <v/>
      </c>
    </row>
    <row r="629" spans="1:20" ht="12.75" customHeight="1" x14ac:dyDescent="0.2">
      <c r="A629" s="13" t="s">
        <v>1374</v>
      </c>
      <c r="B629" s="13" t="s">
        <v>1374</v>
      </c>
      <c r="C629" s="32" t="str" cm="1">
        <f t="array" aca="1" ref="C629" ca="1">"'='" &amp; MID(CELL("address",INDIRECT(B629)),$K$2+1,100)</f>
        <v>'='CNPIs Infrastructure Asset'!$L$38</v>
      </c>
      <c r="D629" s="38" t="str">
        <f>M3B3z5OtherInfraAsset5ActualChng</f>
        <v/>
      </c>
      <c r="E629" s="38" t="s">
        <v>493</v>
      </c>
      <c r="F629" s="13" t="s">
        <v>1374</v>
      </c>
      <c r="I629" s="13" t="str">
        <f t="shared" si="11"/>
        <v>M3B3FALSE</v>
      </c>
      <c r="T629" s="13" t="str">
        <f t="shared" si="10"/>
        <v/>
      </c>
    </row>
    <row r="630" spans="1:20" ht="12.75" customHeight="1" x14ac:dyDescent="0.2">
      <c r="A630" s="13" t="s">
        <v>1375</v>
      </c>
      <c r="B630" s="13" t="s">
        <v>1375</v>
      </c>
      <c r="C630" s="32" t="str" cm="1">
        <f t="array" aca="1" ref="C630" ca="1">"'='" &amp; MID(CELL("address",INDIRECT(B630)),$K$2+1,100)</f>
        <v>'='CNPIs Infrastructure Asset'!$M$38</v>
      </c>
      <c r="D630" s="38" t="str">
        <f>M3B3z5OtherInfraAsset5Accuracy</f>
        <v/>
      </c>
      <c r="E630" s="38" t="s">
        <v>493</v>
      </c>
      <c r="F630" s="13" t="s">
        <v>1375</v>
      </c>
      <c r="I630" s="13" t="str">
        <f t="shared" si="11"/>
        <v>M3B3FALSE</v>
      </c>
      <c r="T630" s="13" t="str">
        <f t="shared" si="10"/>
        <v/>
      </c>
    </row>
    <row r="631" spans="1:20" ht="12.75" customHeight="1" x14ac:dyDescent="0.25">
      <c r="A631" t="s">
        <v>712</v>
      </c>
      <c r="B631" t="s">
        <v>712</v>
      </c>
      <c r="C631" s="32" t="str" cm="1">
        <f t="array" aca="1" ref="C631" ca="1">"'='" &amp; MID(CELL("address",INDIRECT(B631)),$K$2+1,100)</f>
        <v>'='CNPIs Infrastructure Asset'!$C$39</v>
      </c>
      <c r="D631" s="38">
        <f>M3B3z6OtherInfraAsset6Name</f>
        <v>0</v>
      </c>
      <c r="E631" s="38" t="s">
        <v>284</v>
      </c>
      <c r="F631" s="110" t="s">
        <v>712</v>
      </c>
      <c r="G631" s="38">
        <v>1000</v>
      </c>
      <c r="I631" s="13" t="str">
        <f t="shared" si="11"/>
        <v>M3B3FALSE</v>
      </c>
      <c r="T631" s="13" t="str">
        <f t="shared" si="10"/>
        <v/>
      </c>
    </row>
    <row r="632" spans="1:20" ht="12.75" customHeight="1" x14ac:dyDescent="0.25">
      <c r="A632" t="s">
        <v>713</v>
      </c>
      <c r="B632" t="s">
        <v>713</v>
      </c>
      <c r="C632" s="32" t="str" cm="1">
        <f t="array" aca="1" ref="C632" ca="1">"'='" &amp; MID(CELL("address",INDIRECT(B632)),$K$2+1,100)</f>
        <v>'='CNPIs Infrastructure Asset'!$H$39</v>
      </c>
      <c r="D632" s="38">
        <f>M3B3z6OtherInfraAsset6Baseline</f>
        <v>0</v>
      </c>
      <c r="E632" s="38" t="s">
        <v>493</v>
      </c>
      <c r="F632" s="110" t="s">
        <v>713</v>
      </c>
      <c r="I632" s="13" t="str">
        <f t="shared" si="11"/>
        <v>M3B3FALSE</v>
      </c>
      <c r="T632" s="13" t="str">
        <f t="shared" si="10"/>
        <v/>
      </c>
    </row>
    <row r="633" spans="1:20" ht="12.75" customHeight="1" x14ac:dyDescent="0.25">
      <c r="A633" t="s">
        <v>714</v>
      </c>
      <c r="B633" t="s">
        <v>714</v>
      </c>
      <c r="C633" s="32" t="str" cm="1">
        <f t="array" aca="1" ref="C633" ca="1">"'='" &amp; MID(CELL("address",INDIRECT(B633)),$K$2+1,100)</f>
        <v>'='CNPIs Infrastructure Asset'!$I$39</v>
      </c>
      <c r="D633" s="38">
        <f>M3B3z6OtherInfraAsset6Target</f>
        <v>0</v>
      </c>
      <c r="E633" s="38" t="s">
        <v>493</v>
      </c>
      <c r="F633" s="110" t="s">
        <v>714</v>
      </c>
      <c r="I633" s="13" t="str">
        <f t="shared" si="11"/>
        <v>M3B3FALSE</v>
      </c>
      <c r="T633" s="13" t="str">
        <f t="shared" si="10"/>
        <v/>
      </c>
    </row>
    <row r="634" spans="1:20" ht="12.75" customHeight="1" x14ac:dyDescent="0.2">
      <c r="A634" s="13" t="s">
        <v>1376</v>
      </c>
      <c r="B634" s="13" t="s">
        <v>1376</v>
      </c>
      <c r="C634" s="32" t="str" cm="1">
        <f t="array" aca="1" ref="C634" ca="1">"'='" &amp; MID(CELL("address",INDIRECT(B634)),$K$2+1,100)</f>
        <v>'='CNPIs Infrastructure Asset'!$J$39</v>
      </c>
      <c r="D634" s="38" t="str">
        <f>M3B3z6OtherInfraAsset6ExpectChng</f>
        <v/>
      </c>
      <c r="E634" s="38" t="s">
        <v>493</v>
      </c>
      <c r="F634" s="13" t="s">
        <v>1376</v>
      </c>
      <c r="I634" s="13" t="str">
        <f t="shared" si="11"/>
        <v>M3B3FALSE</v>
      </c>
      <c r="T634" s="13" t="str">
        <f t="shared" si="10"/>
        <v/>
      </c>
    </row>
    <row r="635" spans="1:20" ht="12.75" customHeight="1" x14ac:dyDescent="0.25">
      <c r="A635" t="s">
        <v>715</v>
      </c>
      <c r="B635" t="s">
        <v>715</v>
      </c>
      <c r="C635" s="32" t="str" cm="1">
        <f t="array" aca="1" ref="C635" ca="1">"'='" &amp; MID(CELL("address",INDIRECT(B635)),$K$2+1,100)</f>
        <v>'='CNPIs Infrastructure Asset'!$K$39</v>
      </c>
      <c r="D635" s="38">
        <f>M3B3z6OtherInfraAsset6Results</f>
        <v>0</v>
      </c>
      <c r="E635" s="38" t="s">
        <v>493</v>
      </c>
      <c r="F635" s="110" t="s">
        <v>715</v>
      </c>
      <c r="H635" s="55"/>
      <c r="I635" s="13" t="str">
        <f t="shared" si="11"/>
        <v>M3B3FALSE</v>
      </c>
      <c r="T635" s="13" t="str">
        <f t="shared" si="10"/>
        <v/>
      </c>
    </row>
    <row r="636" spans="1:20" ht="12.75" customHeight="1" x14ac:dyDescent="0.2">
      <c r="A636" s="13" t="s">
        <v>1377</v>
      </c>
      <c r="B636" s="13" t="s">
        <v>1377</v>
      </c>
      <c r="C636" s="32" t="str" cm="1">
        <f t="array" aca="1" ref="C636" ca="1">"'='" &amp; MID(CELL("address",INDIRECT(B636)),$K$2+1,100)</f>
        <v>'='CNPIs Infrastructure Asset'!$L$39</v>
      </c>
      <c r="D636" s="38" t="str">
        <f>M3B3z6OtherInfraAsset6ActualChng</f>
        <v/>
      </c>
      <c r="E636" s="38" t="s">
        <v>493</v>
      </c>
      <c r="F636" s="13" t="s">
        <v>1377</v>
      </c>
      <c r="I636" s="13" t="str">
        <f t="shared" si="11"/>
        <v>M3B3FALSE</v>
      </c>
      <c r="T636" s="13" t="str">
        <f t="shared" si="10"/>
        <v/>
      </c>
    </row>
    <row r="637" spans="1:20" ht="12.75" customHeight="1" x14ac:dyDescent="0.2">
      <c r="A637" s="13" t="s">
        <v>1378</v>
      </c>
      <c r="B637" s="13" t="s">
        <v>1378</v>
      </c>
      <c r="C637" s="32" t="str" cm="1">
        <f t="array" aca="1" ref="C637" ca="1">"'='" &amp; MID(CELL("address",INDIRECT(B637)),$K$2+1,100)</f>
        <v>'='CNPIs Infrastructure Asset'!$M$39</v>
      </c>
      <c r="D637" s="38" t="str">
        <f>M3B3z6OtherInfraAsset6Accuracy</f>
        <v/>
      </c>
      <c r="E637" s="38" t="s">
        <v>493</v>
      </c>
      <c r="F637" s="13" t="s">
        <v>1378</v>
      </c>
      <c r="I637" s="13" t="str">
        <f t="shared" si="11"/>
        <v>M3B3FALSE</v>
      </c>
      <c r="T637" s="13" t="str">
        <f t="shared" si="10"/>
        <v/>
      </c>
    </row>
    <row r="638" spans="1:20" ht="12.75" customHeight="1" x14ac:dyDescent="0.25">
      <c r="A638" t="s">
        <v>909</v>
      </c>
      <c r="B638" t="s">
        <v>909</v>
      </c>
      <c r="C638" s="32" t="str" cm="1">
        <f t="array" aca="1" ref="C638" ca="1">"'='" &amp; MID(CELL("address",INDIRECT(B638)),$K$2+1,100)</f>
        <v>'='CNPIs Infrastructure Asset'!$B$42</v>
      </c>
      <c r="D638" s="38">
        <f>M3B3Comments</f>
        <v>0</v>
      </c>
      <c r="E638" s="38" t="s">
        <v>284</v>
      </c>
      <c r="F638" s="110" t="s">
        <v>909</v>
      </c>
      <c r="G638" s="38">
        <v>5000</v>
      </c>
      <c r="H638" s="55"/>
      <c r="I638" s="13" t="str">
        <f t="shared" si="11"/>
        <v>M3B3FALSE</v>
      </c>
      <c r="T638" s="13" t="str">
        <f t="shared" si="10"/>
        <v/>
      </c>
    </row>
    <row r="639" spans="1:20" ht="12.75" customHeight="1" x14ac:dyDescent="0.2">
      <c r="A639" s="42" t="s">
        <v>345</v>
      </c>
      <c r="B639" s="41"/>
      <c r="C639" s="41"/>
      <c r="D639" s="41"/>
      <c r="E639" s="41"/>
      <c r="F639" s="41"/>
      <c r="G639" s="60" t="s">
        <v>1139</v>
      </c>
      <c r="H639" s="60" t="s">
        <v>1961</v>
      </c>
      <c r="I639" s="60" t="s">
        <v>1962</v>
      </c>
    </row>
    <row r="640" spans="1:20" ht="12.75" customHeight="1" x14ac:dyDescent="0.35">
      <c r="A640" s="43" t="s">
        <v>1527</v>
      </c>
      <c r="B640" s="62" t="s">
        <v>346</v>
      </c>
      <c r="C640" s="41"/>
      <c r="D640" s="41"/>
      <c r="E640" s="41"/>
      <c r="F640" s="41"/>
      <c r="G640" s="41"/>
      <c r="H640" s="41"/>
      <c r="I640" s="41"/>
    </row>
    <row r="641" spans="1:9" ht="12.75" customHeight="1" x14ac:dyDescent="0.2">
      <c r="A641" s="44" t="s">
        <v>494</v>
      </c>
      <c r="B641" s="62" t="s">
        <v>347</v>
      </c>
      <c r="C641" s="41"/>
      <c r="D641" s="48" t="b">
        <v>0</v>
      </c>
      <c r="E641" s="33" t="s">
        <v>286</v>
      </c>
      <c r="F641" s="13" t="s">
        <v>921</v>
      </c>
      <c r="G641" s="38">
        <v>-2</v>
      </c>
      <c r="H641" s="54" t="s">
        <v>1227</v>
      </c>
      <c r="I641" s="13" t="s">
        <v>1963</v>
      </c>
    </row>
    <row r="642" spans="1:9" ht="12.75" customHeight="1" x14ac:dyDescent="0.25">
      <c r="A642" s="44" t="s">
        <v>495</v>
      </c>
      <c r="B642" s="62" t="s">
        <v>348</v>
      </c>
      <c r="C642" s="41"/>
      <c r="D642" s="48" t="b">
        <v>0</v>
      </c>
      <c r="E642" s="33" t="s">
        <v>286</v>
      </c>
      <c r="F642" s="13" t="s">
        <v>922</v>
      </c>
      <c r="G642" s="38">
        <v>-2</v>
      </c>
      <c r="H642" s="57" t="s">
        <v>1228</v>
      </c>
      <c r="I642" s="13" t="s">
        <v>1963</v>
      </c>
    </row>
    <row r="643" spans="1:9" ht="12.75" customHeight="1" x14ac:dyDescent="0.25">
      <c r="A643" s="44" t="s">
        <v>620</v>
      </c>
      <c r="B643" s="62" t="s">
        <v>349</v>
      </c>
      <c r="C643" s="41"/>
      <c r="D643" s="48" t="b">
        <v>0</v>
      </c>
      <c r="E643" s="33" t="s">
        <v>286</v>
      </c>
      <c r="F643" s="13" t="s">
        <v>923</v>
      </c>
      <c r="G643" s="38">
        <v>-2</v>
      </c>
      <c r="H643" s="57" t="s">
        <v>1229</v>
      </c>
      <c r="I643" s="13" t="s">
        <v>1963</v>
      </c>
    </row>
    <row r="644" spans="1:9" ht="12.75" customHeight="1" x14ac:dyDescent="0.25">
      <c r="A644" s="44" t="s">
        <v>1518</v>
      </c>
      <c r="B644" s="62" t="s">
        <v>350</v>
      </c>
      <c r="C644" s="41"/>
      <c r="D644" s="48" t="b">
        <v>0</v>
      </c>
      <c r="E644" s="33" t="s">
        <v>286</v>
      </c>
      <c r="F644" s="13" t="s">
        <v>924</v>
      </c>
      <c r="G644" s="38">
        <v>-2</v>
      </c>
      <c r="H644" s="57" t="s">
        <v>1230</v>
      </c>
      <c r="I644" s="13" t="s">
        <v>1963</v>
      </c>
    </row>
    <row r="645" spans="1:9" ht="12.75" customHeight="1" x14ac:dyDescent="0.25">
      <c r="A645" s="44" t="s">
        <v>496</v>
      </c>
      <c r="B645" s="62" t="s">
        <v>351</v>
      </c>
      <c r="C645" s="41"/>
      <c r="D645" s="48" t="b">
        <v>0</v>
      </c>
      <c r="E645" s="33" t="s">
        <v>286</v>
      </c>
      <c r="F645" s="13" t="s">
        <v>925</v>
      </c>
      <c r="G645" s="38">
        <v>-2</v>
      </c>
      <c r="H645" s="57" t="s">
        <v>1231</v>
      </c>
      <c r="I645" s="13" t="s">
        <v>1963</v>
      </c>
    </row>
    <row r="646" spans="1:9" ht="12.75" customHeight="1" x14ac:dyDescent="0.2">
      <c r="A646" s="44" t="s">
        <v>497</v>
      </c>
      <c r="B646" s="62" t="s">
        <v>352</v>
      </c>
      <c r="C646" s="41"/>
      <c r="D646" s="48" t="b">
        <v>0</v>
      </c>
      <c r="E646" s="33" t="s">
        <v>286</v>
      </c>
      <c r="F646" s="13" t="s">
        <v>1957</v>
      </c>
      <c r="G646" s="38">
        <v>1</v>
      </c>
      <c r="H646" s="58" t="s">
        <v>1232</v>
      </c>
      <c r="I646" s="13" t="s">
        <v>1964</v>
      </c>
    </row>
    <row r="647" spans="1:9" ht="12.75" customHeight="1" x14ac:dyDescent="0.25">
      <c r="A647" s="44" t="s">
        <v>498</v>
      </c>
      <c r="B647" s="62" t="s">
        <v>502</v>
      </c>
      <c r="C647" s="41"/>
      <c r="D647" s="48" t="b">
        <v>0</v>
      </c>
      <c r="E647" s="33" t="s">
        <v>286</v>
      </c>
      <c r="F647" s="13" t="s">
        <v>926</v>
      </c>
      <c r="G647" s="38">
        <v>-4</v>
      </c>
      <c r="H647" s="57" t="s">
        <v>1233</v>
      </c>
      <c r="I647" s="13" t="s">
        <v>1966</v>
      </c>
    </row>
    <row r="648" spans="1:9" ht="12.75" customHeight="1" x14ac:dyDescent="0.25">
      <c r="A648" s="44" t="s">
        <v>499</v>
      </c>
      <c r="B648" s="62" t="s">
        <v>503</v>
      </c>
      <c r="C648" s="41"/>
      <c r="D648" s="48" t="b">
        <v>0</v>
      </c>
      <c r="E648" s="33" t="s">
        <v>286</v>
      </c>
      <c r="F648" s="13" t="s">
        <v>927</v>
      </c>
      <c r="G648" s="38">
        <v>-4</v>
      </c>
      <c r="H648" s="57" t="s">
        <v>1234</v>
      </c>
      <c r="I648" s="13" t="s">
        <v>1966</v>
      </c>
    </row>
    <row r="649" spans="1:9" ht="12.75" customHeight="1" x14ac:dyDescent="0.25">
      <c r="A649" s="44" t="s">
        <v>500</v>
      </c>
      <c r="B649" s="62" t="s">
        <v>504</v>
      </c>
      <c r="C649" s="41"/>
      <c r="D649" s="48" t="b">
        <v>0</v>
      </c>
      <c r="E649" s="33" t="s">
        <v>286</v>
      </c>
      <c r="F649" s="13" t="s">
        <v>928</v>
      </c>
      <c r="G649" s="38">
        <v>-4</v>
      </c>
      <c r="H649" s="57" t="s">
        <v>1235</v>
      </c>
      <c r="I649" s="13" t="s">
        <v>1966</v>
      </c>
    </row>
    <row r="650" spans="1:9" ht="12.75" customHeight="1" x14ac:dyDescent="0.2">
      <c r="A650" s="44" t="s">
        <v>501</v>
      </c>
      <c r="B650" s="62" t="s">
        <v>505</v>
      </c>
      <c r="C650" s="41"/>
      <c r="D650" s="48" t="b">
        <v>0</v>
      </c>
      <c r="E650" s="33" t="s">
        <v>286</v>
      </c>
      <c r="F650" s="13" t="s">
        <v>1958</v>
      </c>
      <c r="G650" s="38">
        <v>1</v>
      </c>
      <c r="H650" s="54" t="s">
        <v>1236</v>
      </c>
      <c r="I650" s="13" t="s">
        <v>1965</v>
      </c>
    </row>
    <row r="651" spans="1:9" ht="12.75" customHeight="1" x14ac:dyDescent="0.2">
      <c r="A651" s="44" t="s">
        <v>1526</v>
      </c>
      <c r="B651" s="62" t="s">
        <v>353</v>
      </c>
      <c r="C651" s="41"/>
      <c r="D651" s="41"/>
      <c r="E651" s="41"/>
      <c r="F651" s="41"/>
      <c r="G651" s="41"/>
      <c r="H651" s="41"/>
      <c r="I651" s="41"/>
    </row>
    <row r="652" spans="1:9" ht="12.75" customHeight="1" x14ac:dyDescent="0.25">
      <c r="A652" s="44" t="s">
        <v>506</v>
      </c>
      <c r="B652" s="62" t="s">
        <v>354</v>
      </c>
      <c r="C652" s="41"/>
      <c r="D652" s="48" t="b">
        <v>0</v>
      </c>
      <c r="E652" s="33" t="s">
        <v>286</v>
      </c>
      <c r="F652" s="13" t="s">
        <v>929</v>
      </c>
      <c r="G652" s="38">
        <v>-2</v>
      </c>
      <c r="H652" s="57" t="s">
        <v>623</v>
      </c>
      <c r="I652" s="13" t="s">
        <v>1963</v>
      </c>
    </row>
    <row r="653" spans="1:9" ht="12.75" customHeight="1" x14ac:dyDescent="0.25">
      <c r="A653" s="44" t="s">
        <v>507</v>
      </c>
      <c r="B653" s="62" t="s">
        <v>355</v>
      </c>
      <c r="C653" s="41"/>
      <c r="D653" s="48" t="b">
        <v>0</v>
      </c>
      <c r="E653" s="33" t="s">
        <v>286</v>
      </c>
      <c r="F653" s="13" t="s">
        <v>930</v>
      </c>
      <c r="G653" s="38">
        <v>-2</v>
      </c>
      <c r="H653" s="57" t="s">
        <v>625</v>
      </c>
      <c r="I653" s="13" t="s">
        <v>1963</v>
      </c>
    </row>
    <row r="654" spans="1:9" ht="12.75" customHeight="1" x14ac:dyDescent="0.25">
      <c r="A654" s="44" t="s">
        <v>508</v>
      </c>
      <c r="B654" s="62" t="s">
        <v>356</v>
      </c>
      <c r="C654" s="41"/>
      <c r="D654" s="48" t="b">
        <v>0</v>
      </c>
      <c r="E654" s="33" t="s">
        <v>286</v>
      </c>
      <c r="F654" s="13" t="s">
        <v>931</v>
      </c>
      <c r="G654" s="38">
        <v>-2</v>
      </c>
      <c r="H654" s="57" t="s">
        <v>627</v>
      </c>
      <c r="I654" s="13" t="s">
        <v>1963</v>
      </c>
    </row>
    <row r="655" spans="1:9" ht="12.75" customHeight="1" x14ac:dyDescent="0.25">
      <c r="A655" s="44" t="s">
        <v>509</v>
      </c>
      <c r="B655" s="62" t="s">
        <v>357</v>
      </c>
      <c r="C655" s="41"/>
      <c r="D655" s="48" t="b">
        <v>0</v>
      </c>
      <c r="E655" s="33" t="s">
        <v>286</v>
      </c>
      <c r="F655" s="13" t="s">
        <v>932</v>
      </c>
      <c r="G655" s="38">
        <v>-2</v>
      </c>
      <c r="H655" s="57" t="s">
        <v>629</v>
      </c>
      <c r="I655" s="13" t="s">
        <v>1963</v>
      </c>
    </row>
    <row r="656" spans="1:9" ht="12.75" customHeight="1" x14ac:dyDescent="0.25">
      <c r="A656" s="44" t="s">
        <v>510</v>
      </c>
      <c r="B656" s="62" t="s">
        <v>358</v>
      </c>
      <c r="C656" s="41"/>
      <c r="D656" s="48" t="b">
        <v>0</v>
      </c>
      <c r="E656" s="33" t="s">
        <v>286</v>
      </c>
      <c r="F656" s="13" t="s">
        <v>933</v>
      </c>
      <c r="G656" s="38">
        <v>-2</v>
      </c>
      <c r="H656" s="57" t="s">
        <v>631</v>
      </c>
      <c r="I656" s="13" t="s">
        <v>1963</v>
      </c>
    </row>
    <row r="657" spans="1:9" ht="12.75" customHeight="1" x14ac:dyDescent="0.25">
      <c r="A657" s="44" t="s">
        <v>511</v>
      </c>
      <c r="B657" s="62" t="s">
        <v>359</v>
      </c>
      <c r="C657" s="41"/>
      <c r="D657" s="48" t="b">
        <v>0</v>
      </c>
      <c r="E657" s="33" t="s">
        <v>286</v>
      </c>
      <c r="F657" s="13" t="s">
        <v>934</v>
      </c>
      <c r="G657" s="38">
        <v>-2</v>
      </c>
      <c r="H657" s="57" t="s">
        <v>633</v>
      </c>
      <c r="I657" s="13" t="s">
        <v>1963</v>
      </c>
    </row>
    <row r="658" spans="1:9" ht="12.75" customHeight="1" x14ac:dyDescent="0.2">
      <c r="A658" s="44" t="s">
        <v>517</v>
      </c>
      <c r="B658" s="62" t="s">
        <v>360</v>
      </c>
      <c r="C658" s="41"/>
      <c r="D658" s="48" t="b">
        <v>0</v>
      </c>
      <c r="E658" s="33" t="s">
        <v>286</v>
      </c>
      <c r="F658" s="13" t="s">
        <v>1083</v>
      </c>
      <c r="G658" s="38">
        <v>1</v>
      </c>
      <c r="H658" s="54" t="s">
        <v>1120</v>
      </c>
      <c r="I658" s="13" t="s">
        <v>1964</v>
      </c>
    </row>
    <row r="659" spans="1:9" ht="12.75" customHeight="1" x14ac:dyDescent="0.25">
      <c r="A659" s="44" t="s">
        <v>512</v>
      </c>
      <c r="B659" s="62" t="s">
        <v>361</v>
      </c>
      <c r="C659" s="41"/>
      <c r="D659" s="48" t="b">
        <v>0</v>
      </c>
      <c r="E659" s="33" t="s">
        <v>286</v>
      </c>
      <c r="F659" s="13" t="s">
        <v>935</v>
      </c>
      <c r="G659" s="38">
        <v>-4</v>
      </c>
      <c r="H659" s="57" t="s">
        <v>651</v>
      </c>
      <c r="I659" s="13" t="s">
        <v>1966</v>
      </c>
    </row>
    <row r="660" spans="1:9" ht="12.75" customHeight="1" x14ac:dyDescent="0.25">
      <c r="A660" s="44" t="s">
        <v>513</v>
      </c>
      <c r="B660" s="62" t="s">
        <v>362</v>
      </c>
      <c r="C660" s="41"/>
      <c r="D660" s="48" t="b">
        <v>0</v>
      </c>
      <c r="E660" s="33" t="s">
        <v>286</v>
      </c>
      <c r="F660" s="13" t="s">
        <v>936</v>
      </c>
      <c r="G660" s="38">
        <v>-4</v>
      </c>
      <c r="H660" s="57" t="s">
        <v>654</v>
      </c>
      <c r="I660" s="13" t="s">
        <v>1966</v>
      </c>
    </row>
    <row r="661" spans="1:9" ht="12.75" customHeight="1" x14ac:dyDescent="0.25">
      <c r="A661" s="44" t="s">
        <v>514</v>
      </c>
      <c r="B661" s="62" t="s">
        <v>363</v>
      </c>
      <c r="C661" s="41"/>
      <c r="D661" s="48" t="b">
        <v>0</v>
      </c>
      <c r="E661" s="33" t="s">
        <v>286</v>
      </c>
      <c r="F661" s="13" t="s">
        <v>937</v>
      </c>
      <c r="G661" s="38">
        <v>-4</v>
      </c>
      <c r="H661" s="57" t="s">
        <v>657</v>
      </c>
      <c r="I661" s="13" t="s">
        <v>1966</v>
      </c>
    </row>
    <row r="662" spans="1:9" ht="12.75" customHeight="1" x14ac:dyDescent="0.25">
      <c r="A662" s="44" t="s">
        <v>1519</v>
      </c>
      <c r="B662" s="62" t="s">
        <v>364</v>
      </c>
      <c r="C662" s="41"/>
      <c r="D662" s="48" t="b">
        <v>0</v>
      </c>
      <c r="E662" s="33" t="s">
        <v>286</v>
      </c>
      <c r="F662" s="13" t="s">
        <v>938</v>
      </c>
      <c r="G662" s="38">
        <v>-4</v>
      </c>
      <c r="H662" s="57" t="s">
        <v>660</v>
      </c>
      <c r="I662" s="13" t="s">
        <v>1966</v>
      </c>
    </row>
    <row r="663" spans="1:9" ht="12.75" customHeight="1" x14ac:dyDescent="0.25">
      <c r="A663" s="44" t="s">
        <v>1520</v>
      </c>
      <c r="B663" s="62" t="s">
        <v>518</v>
      </c>
      <c r="C663" s="41"/>
      <c r="D663" s="48" t="b">
        <v>0</v>
      </c>
      <c r="E663" s="33" t="s">
        <v>286</v>
      </c>
      <c r="F663" s="13" t="s">
        <v>939</v>
      </c>
      <c r="G663" s="38">
        <v>-4</v>
      </c>
      <c r="H663" s="57" t="s">
        <v>663</v>
      </c>
      <c r="I663" s="13" t="s">
        <v>1966</v>
      </c>
    </row>
    <row r="664" spans="1:9" ht="12.75" customHeight="1" x14ac:dyDescent="0.25">
      <c r="A664" s="44" t="s">
        <v>515</v>
      </c>
      <c r="B664" s="62" t="s">
        <v>519</v>
      </c>
      <c r="C664" s="41"/>
      <c r="D664" s="48" t="b">
        <v>0</v>
      </c>
      <c r="E664" s="33" t="s">
        <v>286</v>
      </c>
      <c r="F664" s="13" t="s">
        <v>940</v>
      </c>
      <c r="G664" s="38">
        <v>-4</v>
      </c>
      <c r="H664" s="57" t="s">
        <v>666</v>
      </c>
      <c r="I664" s="13" t="s">
        <v>1966</v>
      </c>
    </row>
    <row r="665" spans="1:9" ht="12.75" customHeight="1" x14ac:dyDescent="0.25">
      <c r="A665" s="44" t="s">
        <v>516</v>
      </c>
      <c r="B665" s="62" t="s">
        <v>520</v>
      </c>
      <c r="C665" s="41"/>
      <c r="D665" s="48" t="b">
        <v>0</v>
      </c>
      <c r="E665" s="33" t="s">
        <v>286</v>
      </c>
      <c r="F665" s="13" t="s">
        <v>941</v>
      </c>
      <c r="G665" s="38">
        <v>-4</v>
      </c>
      <c r="H665" s="57" t="s">
        <v>669</v>
      </c>
      <c r="I665" s="13" t="s">
        <v>1966</v>
      </c>
    </row>
    <row r="666" spans="1:9" ht="12.75" customHeight="1" x14ac:dyDescent="0.25">
      <c r="A666" s="44" t="s">
        <v>1521</v>
      </c>
      <c r="B666" s="62" t="s">
        <v>521</v>
      </c>
      <c r="C666" s="41"/>
      <c r="D666" s="48" t="b">
        <v>0</v>
      </c>
      <c r="E666" s="33" t="s">
        <v>286</v>
      </c>
      <c r="F666" s="13" t="s">
        <v>942</v>
      </c>
      <c r="G666" s="38">
        <v>-4</v>
      </c>
      <c r="H666" s="57" t="s">
        <v>672</v>
      </c>
      <c r="I666" s="13" t="s">
        <v>1966</v>
      </c>
    </row>
    <row r="667" spans="1:9" ht="12.75" customHeight="1" x14ac:dyDescent="0.25">
      <c r="A667" s="44" t="s">
        <v>1522</v>
      </c>
      <c r="B667" s="62" t="s">
        <v>522</v>
      </c>
      <c r="C667" s="41"/>
      <c r="D667" s="48" t="b">
        <v>0</v>
      </c>
      <c r="E667" s="33" t="s">
        <v>286</v>
      </c>
      <c r="F667" s="13" t="s">
        <v>943</v>
      </c>
      <c r="G667" s="38">
        <v>-4</v>
      </c>
      <c r="H667" s="57" t="s">
        <v>675</v>
      </c>
      <c r="I667" s="13" t="s">
        <v>1966</v>
      </c>
    </row>
    <row r="668" spans="1:9" ht="12.75" customHeight="1" x14ac:dyDescent="0.2">
      <c r="A668" s="53" t="s">
        <v>524</v>
      </c>
      <c r="B668" s="62" t="s">
        <v>523</v>
      </c>
      <c r="C668" s="41"/>
      <c r="D668" s="48" t="b">
        <v>0</v>
      </c>
      <c r="E668" s="33" t="s">
        <v>286</v>
      </c>
      <c r="F668" s="13" t="s">
        <v>1084</v>
      </c>
      <c r="G668" s="38">
        <v>1</v>
      </c>
      <c r="H668" s="54" t="s">
        <v>1121</v>
      </c>
      <c r="I668" s="13" t="s">
        <v>1965</v>
      </c>
    </row>
    <row r="669" spans="1:9" ht="12.75" customHeight="1" x14ac:dyDescent="0.2">
      <c r="A669" s="44" t="s">
        <v>1525</v>
      </c>
      <c r="B669" s="62" t="s">
        <v>365</v>
      </c>
      <c r="C669" s="41"/>
      <c r="D669" s="41"/>
      <c r="E669" s="41"/>
      <c r="F669" s="41"/>
      <c r="G669" s="41"/>
      <c r="H669" s="41"/>
      <c r="I669" s="41"/>
    </row>
    <row r="670" spans="1:9" ht="12.75" customHeight="1" x14ac:dyDescent="0.25">
      <c r="A670" s="44" t="s">
        <v>532</v>
      </c>
      <c r="B670" s="62" t="s">
        <v>366</v>
      </c>
      <c r="C670" s="41"/>
      <c r="D670" s="48" t="b">
        <v>0</v>
      </c>
      <c r="E670" s="33" t="s">
        <v>286</v>
      </c>
      <c r="F670" s="13" t="s">
        <v>944</v>
      </c>
      <c r="G670" s="38">
        <v>-2</v>
      </c>
      <c r="H670" s="57" t="s">
        <v>716</v>
      </c>
      <c r="I670" s="13" t="s">
        <v>1963</v>
      </c>
    </row>
    <row r="671" spans="1:9" ht="12.75" customHeight="1" x14ac:dyDescent="0.25">
      <c r="A671" s="44" t="s">
        <v>533</v>
      </c>
      <c r="B671" s="62" t="s">
        <v>367</v>
      </c>
      <c r="C671" s="41"/>
      <c r="D671" s="48" t="b">
        <v>0</v>
      </c>
      <c r="E671" s="33" t="s">
        <v>286</v>
      </c>
      <c r="F671" s="13" t="s">
        <v>945</v>
      </c>
      <c r="G671" s="38">
        <v>-2</v>
      </c>
      <c r="H671" s="57" t="s">
        <v>717</v>
      </c>
      <c r="I671" s="13" t="s">
        <v>1963</v>
      </c>
    </row>
    <row r="672" spans="1:9" ht="12.75" customHeight="1" x14ac:dyDescent="0.25">
      <c r="A672" s="44" t="s">
        <v>1523</v>
      </c>
      <c r="B672" s="62" t="s">
        <v>368</v>
      </c>
      <c r="C672" s="41"/>
      <c r="D672" s="48" t="b">
        <v>0</v>
      </c>
      <c r="E672" s="33" t="s">
        <v>286</v>
      </c>
      <c r="F672" s="13" t="s">
        <v>946</v>
      </c>
      <c r="G672" s="38">
        <v>-2</v>
      </c>
      <c r="H672" s="57" t="s">
        <v>718</v>
      </c>
      <c r="I672" s="13" t="s">
        <v>1963</v>
      </c>
    </row>
    <row r="673" spans="1:9" ht="12.75" customHeight="1" x14ac:dyDescent="0.25">
      <c r="A673" s="44" t="s">
        <v>535</v>
      </c>
      <c r="B673" s="62" t="s">
        <v>369</v>
      </c>
      <c r="C673" s="41"/>
      <c r="D673" s="48" t="b">
        <v>0</v>
      </c>
      <c r="E673" s="33" t="s">
        <v>286</v>
      </c>
      <c r="F673" s="13" t="s">
        <v>947</v>
      </c>
      <c r="G673" s="38">
        <v>-2</v>
      </c>
      <c r="H673" s="57" t="s">
        <v>719</v>
      </c>
      <c r="I673" s="13" t="s">
        <v>1963</v>
      </c>
    </row>
    <row r="674" spans="1:9" ht="12.75" customHeight="1" x14ac:dyDescent="0.25">
      <c r="A674" s="44" t="s">
        <v>536</v>
      </c>
      <c r="B674" s="62" t="s">
        <v>544</v>
      </c>
      <c r="C674" s="41"/>
      <c r="D674" s="48" t="b">
        <v>0</v>
      </c>
      <c r="E674" s="33" t="s">
        <v>286</v>
      </c>
      <c r="F674" s="13" t="s">
        <v>948</v>
      </c>
      <c r="G674" s="38">
        <v>-2</v>
      </c>
      <c r="H674" s="57" t="s">
        <v>720</v>
      </c>
      <c r="I674" s="13" t="s">
        <v>1963</v>
      </c>
    </row>
    <row r="675" spans="1:9" ht="12.75" customHeight="1" x14ac:dyDescent="0.25">
      <c r="A675" s="44" t="s">
        <v>537</v>
      </c>
      <c r="B675" s="62" t="s">
        <v>545</v>
      </c>
      <c r="C675" s="41"/>
      <c r="D675" s="48" t="b">
        <v>0</v>
      </c>
      <c r="E675" s="33" t="s">
        <v>286</v>
      </c>
      <c r="F675" s="13" t="s">
        <v>949</v>
      </c>
      <c r="G675" s="38">
        <v>-2</v>
      </c>
      <c r="H675" s="57" t="s">
        <v>721</v>
      </c>
      <c r="I675" s="13" t="s">
        <v>1963</v>
      </c>
    </row>
    <row r="676" spans="1:9" ht="12.75" customHeight="1" x14ac:dyDescent="0.25">
      <c r="A676" s="44" t="s">
        <v>538</v>
      </c>
      <c r="B676" s="62" t="s">
        <v>546</v>
      </c>
      <c r="C676" s="41"/>
      <c r="D676" s="48" t="b">
        <v>0</v>
      </c>
      <c r="E676" s="33" t="s">
        <v>286</v>
      </c>
      <c r="F676" s="13" t="s">
        <v>950</v>
      </c>
      <c r="G676" s="38">
        <v>-2</v>
      </c>
      <c r="H676" s="57" t="s">
        <v>722</v>
      </c>
      <c r="I676" s="13" t="s">
        <v>1963</v>
      </c>
    </row>
    <row r="677" spans="1:9" ht="12.75" customHeight="1" x14ac:dyDescent="0.25">
      <c r="A677" s="44" t="s">
        <v>539</v>
      </c>
      <c r="B677" s="62" t="s">
        <v>547</v>
      </c>
      <c r="C677" s="41"/>
      <c r="D677" s="48" t="b">
        <v>0</v>
      </c>
      <c r="E677" s="33" t="s">
        <v>286</v>
      </c>
      <c r="F677" s="13" t="s">
        <v>951</v>
      </c>
      <c r="G677" s="59">
        <v>-2</v>
      </c>
      <c r="H677" s="57" t="s">
        <v>723</v>
      </c>
      <c r="I677" s="13" t="s">
        <v>1963</v>
      </c>
    </row>
    <row r="678" spans="1:9" ht="12.75" customHeight="1" x14ac:dyDescent="0.25">
      <c r="A678" s="44" t="s">
        <v>1524</v>
      </c>
      <c r="B678" s="62" t="s">
        <v>548</v>
      </c>
      <c r="C678" s="41"/>
      <c r="D678" s="48" t="b">
        <v>0</v>
      </c>
      <c r="E678" s="33" t="s">
        <v>286</v>
      </c>
      <c r="F678" s="13" t="s">
        <v>952</v>
      </c>
      <c r="G678" s="59">
        <v>-2</v>
      </c>
      <c r="H678" s="57" t="s">
        <v>724</v>
      </c>
      <c r="I678" s="13" t="s">
        <v>1963</v>
      </c>
    </row>
    <row r="679" spans="1:9" ht="12.75" customHeight="1" x14ac:dyDescent="0.25">
      <c r="A679" s="44" t="s">
        <v>541</v>
      </c>
      <c r="B679" s="62" t="s">
        <v>549</v>
      </c>
      <c r="C679" s="41"/>
      <c r="D679" s="48" t="b">
        <v>0</v>
      </c>
      <c r="E679" s="33" t="s">
        <v>286</v>
      </c>
      <c r="F679" s="13" t="s">
        <v>953</v>
      </c>
      <c r="G679" s="59">
        <v>-2</v>
      </c>
      <c r="H679" s="57" t="s">
        <v>725</v>
      </c>
      <c r="I679" s="13" t="s">
        <v>1963</v>
      </c>
    </row>
    <row r="680" spans="1:9" ht="12.75" customHeight="1" x14ac:dyDescent="0.25">
      <c r="A680" s="44" t="s">
        <v>542</v>
      </c>
      <c r="B680" s="62" t="s">
        <v>550</v>
      </c>
      <c r="C680" s="41"/>
      <c r="D680" s="48" t="b">
        <v>0</v>
      </c>
      <c r="E680" s="33" t="s">
        <v>286</v>
      </c>
      <c r="F680" s="13" t="s">
        <v>954</v>
      </c>
      <c r="G680" s="59">
        <v>-2</v>
      </c>
      <c r="H680" s="57" t="s">
        <v>726</v>
      </c>
      <c r="I680" s="13" t="s">
        <v>1963</v>
      </c>
    </row>
    <row r="681" spans="1:9" ht="12.75" customHeight="1" x14ac:dyDescent="0.25">
      <c r="A681" s="44" t="s">
        <v>543</v>
      </c>
      <c r="B681" s="62" t="s">
        <v>551</v>
      </c>
      <c r="C681" s="41"/>
      <c r="D681" s="48" t="b">
        <v>0</v>
      </c>
      <c r="E681" s="33" t="s">
        <v>286</v>
      </c>
      <c r="F681" s="13" t="s">
        <v>955</v>
      </c>
      <c r="G681" s="59">
        <v>-2</v>
      </c>
      <c r="H681" s="57" t="s">
        <v>727</v>
      </c>
      <c r="I681" s="13" t="s">
        <v>1963</v>
      </c>
    </row>
    <row r="682" spans="1:9" ht="12.75" customHeight="1" x14ac:dyDescent="0.2">
      <c r="A682" s="44" t="s">
        <v>531</v>
      </c>
      <c r="B682" s="62" t="s">
        <v>552</v>
      </c>
      <c r="C682" s="41"/>
      <c r="D682" s="48" t="b">
        <v>0</v>
      </c>
      <c r="E682" s="33" t="s">
        <v>286</v>
      </c>
      <c r="F682" s="13" t="s">
        <v>1085</v>
      </c>
      <c r="G682" s="59">
        <v>1</v>
      </c>
      <c r="H682" s="54" t="s">
        <v>1122</v>
      </c>
      <c r="I682" s="13" t="s">
        <v>1964</v>
      </c>
    </row>
    <row r="683" spans="1:9" ht="12.75" customHeight="1" x14ac:dyDescent="0.25">
      <c r="A683" s="44" t="s">
        <v>525</v>
      </c>
      <c r="B683" s="62" t="s">
        <v>553</v>
      </c>
      <c r="C683" s="41"/>
      <c r="D683" s="48" t="b">
        <v>0</v>
      </c>
      <c r="E683" s="33" t="s">
        <v>286</v>
      </c>
      <c r="F683" s="13" t="s">
        <v>956</v>
      </c>
      <c r="G683" s="59">
        <v>-4</v>
      </c>
      <c r="H683" s="57" t="s">
        <v>699</v>
      </c>
      <c r="I683" s="13" t="s">
        <v>1966</v>
      </c>
    </row>
    <row r="684" spans="1:9" ht="12.75" customHeight="1" x14ac:dyDescent="0.25">
      <c r="A684" s="44" t="s">
        <v>526</v>
      </c>
      <c r="B684" s="62" t="s">
        <v>554</v>
      </c>
      <c r="C684" s="41"/>
      <c r="D684" s="48" t="b">
        <v>0</v>
      </c>
      <c r="E684" s="33" t="s">
        <v>286</v>
      </c>
      <c r="F684" s="13" t="s">
        <v>957</v>
      </c>
      <c r="G684" s="59">
        <v>-4</v>
      </c>
      <c r="H684" s="57" t="s">
        <v>702</v>
      </c>
      <c r="I684" s="13" t="s">
        <v>1966</v>
      </c>
    </row>
    <row r="685" spans="1:9" ht="12.75" customHeight="1" x14ac:dyDescent="0.25">
      <c r="A685" s="44" t="s">
        <v>527</v>
      </c>
      <c r="B685" s="62" t="s">
        <v>555</v>
      </c>
      <c r="C685" s="41"/>
      <c r="D685" s="48" t="b">
        <v>0</v>
      </c>
      <c r="E685" s="33" t="s">
        <v>286</v>
      </c>
      <c r="F685" s="13" t="s">
        <v>958</v>
      </c>
      <c r="G685" s="59">
        <v>-4</v>
      </c>
      <c r="H685" s="57" t="s">
        <v>705</v>
      </c>
      <c r="I685" s="13" t="s">
        <v>1966</v>
      </c>
    </row>
    <row r="686" spans="1:9" ht="12.75" customHeight="1" x14ac:dyDescent="0.25">
      <c r="A686" s="44" t="s">
        <v>528</v>
      </c>
      <c r="B686" s="62" t="s">
        <v>556</v>
      </c>
      <c r="C686" s="41"/>
      <c r="D686" s="48" t="b">
        <v>0</v>
      </c>
      <c r="E686" s="33" t="s">
        <v>286</v>
      </c>
      <c r="F686" s="13" t="s">
        <v>959</v>
      </c>
      <c r="G686" s="38">
        <v>-4</v>
      </c>
      <c r="H686" s="57" t="s">
        <v>708</v>
      </c>
      <c r="I686" s="13" t="s">
        <v>1966</v>
      </c>
    </row>
    <row r="687" spans="1:9" ht="12.75" customHeight="1" x14ac:dyDescent="0.25">
      <c r="A687" s="44" t="s">
        <v>529</v>
      </c>
      <c r="B687" s="62" t="s">
        <v>557</v>
      </c>
      <c r="C687" s="41"/>
      <c r="D687" s="48" t="b">
        <v>0</v>
      </c>
      <c r="E687" s="33" t="s">
        <v>286</v>
      </c>
      <c r="F687" s="13" t="s">
        <v>960</v>
      </c>
      <c r="G687" s="38">
        <v>-4</v>
      </c>
      <c r="H687" s="57" t="s">
        <v>711</v>
      </c>
      <c r="I687" s="13" t="s">
        <v>1966</v>
      </c>
    </row>
    <row r="688" spans="1:9" ht="12.75" customHeight="1" x14ac:dyDescent="0.2">
      <c r="A688" s="44" t="s">
        <v>530</v>
      </c>
      <c r="B688" s="62" t="s">
        <v>558</v>
      </c>
      <c r="C688" s="41"/>
      <c r="D688" s="48" t="b">
        <v>0</v>
      </c>
      <c r="E688" s="33" t="s">
        <v>286</v>
      </c>
      <c r="F688" s="13" t="s">
        <v>1086</v>
      </c>
      <c r="G688" s="38">
        <v>1</v>
      </c>
      <c r="H688" s="54" t="s">
        <v>1123</v>
      </c>
      <c r="I688" s="13" t="s">
        <v>1965</v>
      </c>
    </row>
    <row r="689" spans="1:9" ht="12.75" customHeight="1" x14ac:dyDescent="0.2">
      <c r="A689" s="44" t="s">
        <v>1528</v>
      </c>
      <c r="B689" s="62" t="s">
        <v>370</v>
      </c>
      <c r="C689" s="41"/>
      <c r="D689" s="41"/>
      <c r="E689" s="41"/>
      <c r="F689" s="41"/>
      <c r="G689" s="41"/>
      <c r="H689" s="41"/>
      <c r="I689" s="41"/>
    </row>
    <row r="690" spans="1:9" ht="12.75" customHeight="1" x14ac:dyDescent="0.25">
      <c r="A690" s="44" t="s">
        <v>561</v>
      </c>
      <c r="B690" s="62" t="s">
        <v>371</v>
      </c>
      <c r="C690" s="41"/>
      <c r="D690" s="48" t="b">
        <v>0</v>
      </c>
      <c r="E690" s="33" t="s">
        <v>286</v>
      </c>
      <c r="F690" s="13" t="s">
        <v>961</v>
      </c>
      <c r="G690" s="38">
        <v>-2</v>
      </c>
      <c r="H690" s="57" t="s">
        <v>743</v>
      </c>
      <c r="I690" s="13" t="s">
        <v>1963</v>
      </c>
    </row>
    <row r="691" spans="1:9" ht="12.75" customHeight="1" x14ac:dyDescent="0.25">
      <c r="A691" s="44" t="s">
        <v>1529</v>
      </c>
      <c r="B691" s="62" t="s">
        <v>372</v>
      </c>
      <c r="C691" s="41"/>
      <c r="D691" s="48" t="b">
        <v>0</v>
      </c>
      <c r="E691" s="33" t="s">
        <v>286</v>
      </c>
      <c r="F691" s="13" t="s">
        <v>962</v>
      </c>
      <c r="G691" s="38">
        <v>-2</v>
      </c>
      <c r="H691" s="57" t="s">
        <v>745</v>
      </c>
      <c r="I691" s="13" t="s">
        <v>1963</v>
      </c>
    </row>
    <row r="692" spans="1:9" ht="12.75" customHeight="1" x14ac:dyDescent="0.25">
      <c r="A692" s="44" t="s">
        <v>562</v>
      </c>
      <c r="B692" s="62" t="s">
        <v>373</v>
      </c>
      <c r="C692" s="41"/>
      <c r="D692" s="48" t="b">
        <v>0</v>
      </c>
      <c r="E692" s="33" t="s">
        <v>286</v>
      </c>
      <c r="F692" s="13" t="s">
        <v>963</v>
      </c>
      <c r="G692" s="38">
        <v>-2</v>
      </c>
      <c r="H692" s="57" t="s">
        <v>747</v>
      </c>
      <c r="I692" s="13" t="s">
        <v>1963</v>
      </c>
    </row>
    <row r="693" spans="1:9" ht="12.75" customHeight="1" x14ac:dyDescent="0.25">
      <c r="A693" s="44" t="s">
        <v>563</v>
      </c>
      <c r="B693" s="62" t="s">
        <v>374</v>
      </c>
      <c r="C693" s="41"/>
      <c r="D693" s="48" t="b">
        <v>0</v>
      </c>
      <c r="E693" s="33" t="s">
        <v>286</v>
      </c>
      <c r="F693" s="13" t="s">
        <v>964</v>
      </c>
      <c r="G693" s="38">
        <v>-2</v>
      </c>
      <c r="H693" s="57" t="s">
        <v>749</v>
      </c>
      <c r="I693" s="13" t="s">
        <v>1963</v>
      </c>
    </row>
    <row r="694" spans="1:9" ht="12.75" customHeight="1" x14ac:dyDescent="0.2">
      <c r="A694" s="44" t="s">
        <v>564</v>
      </c>
      <c r="B694" s="62" t="s">
        <v>375</v>
      </c>
      <c r="C694" s="41"/>
      <c r="D694" s="48" t="b">
        <v>0</v>
      </c>
      <c r="E694" s="33" t="s">
        <v>286</v>
      </c>
      <c r="F694" s="13" t="s">
        <v>1087</v>
      </c>
      <c r="G694" s="38">
        <v>1</v>
      </c>
      <c r="H694" s="54" t="s">
        <v>1124</v>
      </c>
      <c r="I694" s="13" t="s">
        <v>1964</v>
      </c>
    </row>
    <row r="695" spans="1:9" ht="12.75" customHeight="1" x14ac:dyDescent="0.25">
      <c r="A695" s="44" t="s">
        <v>565</v>
      </c>
      <c r="B695" s="62" t="s">
        <v>376</v>
      </c>
      <c r="C695" s="41"/>
      <c r="D695" s="48" t="b">
        <v>0</v>
      </c>
      <c r="E695" s="33" t="s">
        <v>286</v>
      </c>
      <c r="F695" s="13" t="s">
        <v>965</v>
      </c>
      <c r="G695" s="38">
        <v>-4</v>
      </c>
      <c r="H695" s="57" t="s">
        <v>767</v>
      </c>
      <c r="I695" s="13" t="s">
        <v>1966</v>
      </c>
    </row>
    <row r="696" spans="1:9" ht="12.75" customHeight="1" x14ac:dyDescent="0.25">
      <c r="A696" s="44" t="s">
        <v>566</v>
      </c>
      <c r="B696" s="62" t="s">
        <v>377</v>
      </c>
      <c r="C696" s="41"/>
      <c r="D696" s="48" t="b">
        <v>0</v>
      </c>
      <c r="E696" s="33" t="s">
        <v>286</v>
      </c>
      <c r="F696" s="13" t="s">
        <v>966</v>
      </c>
      <c r="G696" s="38">
        <v>-4</v>
      </c>
      <c r="H696" s="57" t="s">
        <v>770</v>
      </c>
      <c r="I696" s="13" t="s">
        <v>1966</v>
      </c>
    </row>
    <row r="697" spans="1:9" ht="12.75" customHeight="1" x14ac:dyDescent="0.25">
      <c r="A697" s="44" t="s">
        <v>567</v>
      </c>
      <c r="B697" s="62" t="s">
        <v>378</v>
      </c>
      <c r="C697" s="41"/>
      <c r="D697" s="48" t="b">
        <v>0</v>
      </c>
      <c r="E697" s="33" t="s">
        <v>286</v>
      </c>
      <c r="F697" s="13" t="s">
        <v>967</v>
      </c>
      <c r="G697" s="38">
        <v>-4</v>
      </c>
      <c r="H697" s="57" t="s">
        <v>773</v>
      </c>
      <c r="I697" s="13" t="s">
        <v>1966</v>
      </c>
    </row>
    <row r="698" spans="1:9" ht="12.75" customHeight="1" x14ac:dyDescent="0.25">
      <c r="A698" s="44" t="s">
        <v>568</v>
      </c>
      <c r="B698" s="62" t="s">
        <v>379</v>
      </c>
      <c r="C698" s="41"/>
      <c r="D698" s="48" t="b">
        <v>0</v>
      </c>
      <c r="E698" s="33" t="s">
        <v>286</v>
      </c>
      <c r="F698" s="13" t="s">
        <v>968</v>
      </c>
      <c r="G698" s="38">
        <v>-4</v>
      </c>
      <c r="H698" s="57" t="s">
        <v>776</v>
      </c>
      <c r="I698" s="13" t="s">
        <v>1966</v>
      </c>
    </row>
    <row r="699" spans="1:9" ht="12.75" customHeight="1" x14ac:dyDescent="0.25">
      <c r="A699" s="44" t="s">
        <v>569</v>
      </c>
      <c r="B699" s="62" t="s">
        <v>559</v>
      </c>
      <c r="C699" s="41"/>
      <c r="D699" s="48" t="b">
        <v>0</v>
      </c>
      <c r="E699" s="33" t="s">
        <v>286</v>
      </c>
      <c r="F699" s="13" t="s">
        <v>969</v>
      </c>
      <c r="G699" s="38">
        <v>-4</v>
      </c>
      <c r="H699" s="57" t="s">
        <v>779</v>
      </c>
      <c r="I699" s="13" t="s">
        <v>1966</v>
      </c>
    </row>
    <row r="700" spans="1:9" ht="12.75" customHeight="1" x14ac:dyDescent="0.2">
      <c r="A700" s="44" t="s">
        <v>570</v>
      </c>
      <c r="B700" s="62" t="s">
        <v>560</v>
      </c>
      <c r="C700" s="41"/>
      <c r="D700" s="48" t="b">
        <v>0</v>
      </c>
      <c r="E700" s="33" t="s">
        <v>286</v>
      </c>
      <c r="F700" s="13" t="s">
        <v>1088</v>
      </c>
      <c r="G700" s="38">
        <v>1</v>
      </c>
      <c r="H700" s="54" t="s">
        <v>1125</v>
      </c>
      <c r="I700" s="13" t="s">
        <v>1965</v>
      </c>
    </row>
    <row r="701" spans="1:9" ht="12.75" customHeight="1" x14ac:dyDescent="0.2">
      <c r="A701" s="44" t="s">
        <v>1530</v>
      </c>
      <c r="B701" s="62" t="s">
        <v>380</v>
      </c>
      <c r="C701" s="41"/>
      <c r="D701" s="41"/>
      <c r="E701" s="41"/>
      <c r="F701" s="41"/>
      <c r="G701" s="41"/>
      <c r="H701" s="41"/>
      <c r="I701" s="41"/>
    </row>
    <row r="702" spans="1:9" ht="12.75" customHeight="1" x14ac:dyDescent="0.25">
      <c r="A702" s="44" t="s">
        <v>590</v>
      </c>
      <c r="B702" s="62" t="s">
        <v>381</v>
      </c>
      <c r="C702" s="41"/>
      <c r="D702" s="48" t="b">
        <v>0</v>
      </c>
      <c r="E702" s="33" t="s">
        <v>286</v>
      </c>
      <c r="F702" s="13" t="s">
        <v>970</v>
      </c>
      <c r="G702" s="38">
        <v>-2</v>
      </c>
      <c r="H702" s="57" t="s">
        <v>787</v>
      </c>
      <c r="I702" s="13" t="s">
        <v>1963</v>
      </c>
    </row>
    <row r="703" spans="1:9" ht="12.75" customHeight="1" x14ac:dyDescent="0.25">
      <c r="A703" s="44" t="s">
        <v>591</v>
      </c>
      <c r="B703" s="62" t="s">
        <v>382</v>
      </c>
      <c r="C703" s="41"/>
      <c r="D703" s="48" t="b">
        <v>0</v>
      </c>
      <c r="E703" s="33" t="s">
        <v>286</v>
      </c>
      <c r="F703" s="13" t="s">
        <v>971</v>
      </c>
      <c r="G703" s="38">
        <v>-2</v>
      </c>
      <c r="H703" s="57" t="s">
        <v>789</v>
      </c>
      <c r="I703" s="13" t="s">
        <v>1963</v>
      </c>
    </row>
    <row r="704" spans="1:9" ht="12.75" customHeight="1" x14ac:dyDescent="0.25">
      <c r="A704" s="44" t="s">
        <v>592</v>
      </c>
      <c r="B704" s="62" t="s">
        <v>383</v>
      </c>
      <c r="C704" s="41"/>
      <c r="D704" s="48" t="b">
        <v>0</v>
      </c>
      <c r="E704" s="33" t="s">
        <v>286</v>
      </c>
      <c r="F704" s="13" t="s">
        <v>972</v>
      </c>
      <c r="G704" s="38">
        <v>-2</v>
      </c>
      <c r="H704" s="57" t="s">
        <v>791</v>
      </c>
      <c r="I704" s="13" t="s">
        <v>1963</v>
      </c>
    </row>
    <row r="705" spans="1:10" ht="12.75" customHeight="1" x14ac:dyDescent="0.25">
      <c r="A705" s="44" t="s">
        <v>593</v>
      </c>
      <c r="B705" s="62" t="s">
        <v>384</v>
      </c>
      <c r="C705" s="41"/>
      <c r="D705" s="48" t="b">
        <v>0</v>
      </c>
      <c r="E705" s="33" t="s">
        <v>286</v>
      </c>
      <c r="F705" s="13" t="s">
        <v>973</v>
      </c>
      <c r="G705" s="38">
        <v>-2</v>
      </c>
      <c r="H705" s="57" t="s">
        <v>793</v>
      </c>
      <c r="I705" s="13" t="s">
        <v>1963</v>
      </c>
    </row>
    <row r="706" spans="1:10" ht="12.75" customHeight="1" x14ac:dyDescent="0.25">
      <c r="A706" s="44" t="s">
        <v>594</v>
      </c>
      <c r="B706" s="62" t="s">
        <v>385</v>
      </c>
      <c r="C706" s="41"/>
      <c r="D706" s="48" t="b">
        <v>0</v>
      </c>
      <c r="E706" s="33" t="s">
        <v>286</v>
      </c>
      <c r="F706" s="13" t="s">
        <v>974</v>
      </c>
      <c r="G706" s="38">
        <v>-2</v>
      </c>
      <c r="H706" s="57" t="s">
        <v>795</v>
      </c>
      <c r="I706" s="13" t="s">
        <v>1963</v>
      </c>
    </row>
    <row r="707" spans="1:10" ht="12.75" customHeight="1" x14ac:dyDescent="0.2">
      <c r="A707" s="44" t="s">
        <v>588</v>
      </c>
      <c r="B707" s="62" t="s">
        <v>386</v>
      </c>
      <c r="C707" s="41"/>
      <c r="D707" s="48" t="b">
        <v>0</v>
      </c>
      <c r="E707" s="33" t="s">
        <v>286</v>
      </c>
      <c r="F707" s="13" t="s">
        <v>1089</v>
      </c>
      <c r="G707" s="38">
        <v>1</v>
      </c>
      <c r="H707" s="54" t="s">
        <v>1126</v>
      </c>
      <c r="I707" s="13" t="s">
        <v>1964</v>
      </c>
    </row>
    <row r="708" spans="1:10" ht="12.75" customHeight="1" x14ac:dyDescent="0.25">
      <c r="A708" s="44" t="s">
        <v>595</v>
      </c>
      <c r="B708" s="62" t="s">
        <v>583</v>
      </c>
      <c r="C708" s="41"/>
      <c r="D708" s="48" t="b">
        <v>0</v>
      </c>
      <c r="E708" s="33" t="s">
        <v>286</v>
      </c>
      <c r="F708" s="13" t="s">
        <v>975</v>
      </c>
      <c r="G708" s="38">
        <v>-4</v>
      </c>
      <c r="H708" s="57" t="s">
        <v>813</v>
      </c>
      <c r="I708" s="13" t="s">
        <v>1966</v>
      </c>
    </row>
    <row r="709" spans="1:10" ht="12.75" customHeight="1" x14ac:dyDescent="0.25">
      <c r="A709" s="44" t="s">
        <v>596</v>
      </c>
      <c r="B709" s="62" t="s">
        <v>571</v>
      </c>
      <c r="C709" s="41"/>
      <c r="D709" s="48" t="b">
        <v>0</v>
      </c>
      <c r="E709" s="33" t="s">
        <v>286</v>
      </c>
      <c r="F709" s="13" t="s">
        <v>976</v>
      </c>
      <c r="G709" s="38">
        <v>-4</v>
      </c>
      <c r="H709" s="57" t="s">
        <v>816</v>
      </c>
      <c r="I709" s="13" t="s">
        <v>1966</v>
      </c>
    </row>
    <row r="710" spans="1:10" ht="12.75" customHeight="1" x14ac:dyDescent="0.25">
      <c r="A710" s="44" t="s">
        <v>597</v>
      </c>
      <c r="B710" s="62" t="s">
        <v>572</v>
      </c>
      <c r="C710" s="41"/>
      <c r="D710" s="48" t="b">
        <v>0</v>
      </c>
      <c r="E710" s="33" t="s">
        <v>286</v>
      </c>
      <c r="F710" s="13" t="s">
        <v>977</v>
      </c>
      <c r="G710" s="38">
        <v>-4</v>
      </c>
      <c r="H710" s="57" t="s">
        <v>819</v>
      </c>
      <c r="I710" s="13" t="s">
        <v>1966</v>
      </c>
      <c r="J710"/>
    </row>
    <row r="711" spans="1:10" ht="12.75" customHeight="1" x14ac:dyDescent="0.25">
      <c r="A711" s="44" t="s">
        <v>598</v>
      </c>
      <c r="B711" s="62" t="s">
        <v>573</v>
      </c>
      <c r="C711" s="41"/>
      <c r="D711" s="48" t="b">
        <v>0</v>
      </c>
      <c r="E711" s="33" t="s">
        <v>286</v>
      </c>
      <c r="F711" s="13" t="s">
        <v>978</v>
      </c>
      <c r="G711" s="38">
        <v>-4</v>
      </c>
      <c r="H711" s="57" t="s">
        <v>822</v>
      </c>
      <c r="I711" s="13" t="s">
        <v>1966</v>
      </c>
      <c r="J711"/>
    </row>
    <row r="712" spans="1:10" ht="12.75" customHeight="1" x14ac:dyDescent="0.25">
      <c r="A712" s="44" t="s">
        <v>599</v>
      </c>
      <c r="B712" s="62" t="s">
        <v>574</v>
      </c>
      <c r="C712" s="41"/>
      <c r="D712" s="48" t="b">
        <v>0</v>
      </c>
      <c r="E712" s="33" t="s">
        <v>286</v>
      </c>
      <c r="F712" s="13" t="s">
        <v>979</v>
      </c>
      <c r="G712" s="38">
        <v>-4</v>
      </c>
      <c r="H712" s="57" t="s">
        <v>825</v>
      </c>
      <c r="I712" s="13" t="s">
        <v>1966</v>
      </c>
      <c r="J712"/>
    </row>
    <row r="713" spans="1:10" ht="12.75" customHeight="1" x14ac:dyDescent="0.25">
      <c r="A713" s="44" t="s">
        <v>600</v>
      </c>
      <c r="B713" s="62" t="s">
        <v>575</v>
      </c>
      <c r="C713" s="41"/>
      <c r="D713" s="48" t="b">
        <v>0</v>
      </c>
      <c r="E713" s="33" t="s">
        <v>286</v>
      </c>
      <c r="F713" s="13" t="s">
        <v>980</v>
      </c>
      <c r="G713" s="38">
        <v>-4</v>
      </c>
      <c r="H713" s="57" t="s">
        <v>828</v>
      </c>
      <c r="I713" s="13" t="s">
        <v>1966</v>
      </c>
    </row>
    <row r="714" spans="1:10" ht="12.75" customHeight="1" x14ac:dyDescent="0.25">
      <c r="A714" s="44" t="s">
        <v>601</v>
      </c>
      <c r="B714" s="62" t="s">
        <v>576</v>
      </c>
      <c r="C714" s="41"/>
      <c r="D714" s="48" t="b">
        <v>0</v>
      </c>
      <c r="E714" s="33" t="s">
        <v>286</v>
      </c>
      <c r="F714" s="13" t="s">
        <v>981</v>
      </c>
      <c r="G714" s="38">
        <v>-4</v>
      </c>
      <c r="H714" s="57" t="s">
        <v>831</v>
      </c>
      <c r="I714" s="13" t="s">
        <v>1966</v>
      </c>
    </row>
    <row r="715" spans="1:10" ht="12.75" customHeight="1" x14ac:dyDescent="0.25">
      <c r="A715" s="44" t="s">
        <v>1531</v>
      </c>
      <c r="B715" s="62" t="s">
        <v>577</v>
      </c>
      <c r="C715" s="41"/>
      <c r="D715" s="48" t="b">
        <v>0</v>
      </c>
      <c r="E715" s="33" t="s">
        <v>286</v>
      </c>
      <c r="F715" s="13" t="s">
        <v>982</v>
      </c>
      <c r="G715" s="38">
        <v>-4</v>
      </c>
      <c r="H715" s="57" t="s">
        <v>834</v>
      </c>
      <c r="I715" s="13" t="s">
        <v>1966</v>
      </c>
      <c r="J715"/>
    </row>
    <row r="716" spans="1:10" ht="12.75" customHeight="1" x14ac:dyDescent="0.25">
      <c r="A716" s="44" t="s">
        <v>602</v>
      </c>
      <c r="B716" s="62" t="s">
        <v>578</v>
      </c>
      <c r="C716" s="41"/>
      <c r="D716" s="48" t="b">
        <v>0</v>
      </c>
      <c r="E716" s="33" t="s">
        <v>286</v>
      </c>
      <c r="F716" s="13" t="s">
        <v>983</v>
      </c>
      <c r="G716" s="38">
        <v>-4</v>
      </c>
      <c r="H716" s="57" t="s">
        <v>837</v>
      </c>
      <c r="I716" s="13" t="s">
        <v>1966</v>
      </c>
      <c r="J716"/>
    </row>
    <row r="717" spans="1:10" ht="12.75" customHeight="1" x14ac:dyDescent="0.25">
      <c r="A717" s="44" t="s">
        <v>603</v>
      </c>
      <c r="B717" s="62" t="s">
        <v>579</v>
      </c>
      <c r="C717" s="41"/>
      <c r="D717" s="48" t="b">
        <v>0</v>
      </c>
      <c r="E717" s="33" t="s">
        <v>286</v>
      </c>
      <c r="F717" s="13" t="s">
        <v>984</v>
      </c>
      <c r="G717" s="38">
        <v>-4</v>
      </c>
      <c r="H717" s="57" t="s">
        <v>840</v>
      </c>
      <c r="I717" s="13" t="s">
        <v>1966</v>
      </c>
      <c r="J717"/>
    </row>
    <row r="718" spans="1:10" ht="12.75" customHeight="1" x14ac:dyDescent="0.25">
      <c r="A718" s="44" t="s">
        <v>604</v>
      </c>
      <c r="B718" s="62" t="s">
        <v>580</v>
      </c>
      <c r="C718" s="41"/>
      <c r="D718" s="48" t="b">
        <v>0</v>
      </c>
      <c r="E718" s="33" t="s">
        <v>286</v>
      </c>
      <c r="F718" s="13" t="s">
        <v>985</v>
      </c>
      <c r="G718" s="38">
        <v>-4</v>
      </c>
      <c r="H718" s="57" t="s">
        <v>843</v>
      </c>
      <c r="I718" s="13" t="s">
        <v>1966</v>
      </c>
    </row>
    <row r="719" spans="1:10" ht="12.75" customHeight="1" x14ac:dyDescent="0.25">
      <c r="A719" s="44" t="s">
        <v>605</v>
      </c>
      <c r="B719" s="62" t="s">
        <v>581</v>
      </c>
      <c r="C719" s="41"/>
      <c r="D719" s="48" t="b">
        <v>0</v>
      </c>
      <c r="E719" s="33" t="s">
        <v>286</v>
      </c>
      <c r="F719" s="13" t="s">
        <v>986</v>
      </c>
      <c r="G719" s="38">
        <v>-4</v>
      </c>
      <c r="H719" s="57" t="s">
        <v>846</v>
      </c>
      <c r="I719" s="13" t="s">
        <v>1966</v>
      </c>
    </row>
    <row r="720" spans="1:10" ht="12.75" customHeight="1" x14ac:dyDescent="0.25">
      <c r="A720" s="44" t="s">
        <v>606</v>
      </c>
      <c r="B720" s="62" t="s">
        <v>582</v>
      </c>
      <c r="C720" s="41"/>
      <c r="D720" s="48" t="b">
        <v>0</v>
      </c>
      <c r="E720" s="33" t="s">
        <v>286</v>
      </c>
      <c r="F720" s="13" t="s">
        <v>987</v>
      </c>
      <c r="G720" s="38">
        <v>-4</v>
      </c>
      <c r="H720" s="57" t="s">
        <v>849</v>
      </c>
      <c r="I720" s="13" t="s">
        <v>1966</v>
      </c>
      <c r="J720"/>
    </row>
    <row r="721" spans="1:10" ht="12.75" customHeight="1" x14ac:dyDescent="0.25">
      <c r="A721" s="44" t="s">
        <v>607</v>
      </c>
      <c r="B721" s="62" t="s">
        <v>584</v>
      </c>
      <c r="C721" s="41"/>
      <c r="D721" s="48" t="b">
        <v>0</v>
      </c>
      <c r="E721" s="33" t="s">
        <v>286</v>
      </c>
      <c r="F721" s="13" t="s">
        <v>988</v>
      </c>
      <c r="G721" s="38">
        <v>-4</v>
      </c>
      <c r="H721" s="57" t="s">
        <v>852</v>
      </c>
      <c r="I721" s="13" t="s">
        <v>1966</v>
      </c>
      <c r="J721"/>
    </row>
    <row r="722" spans="1:10" ht="12.75" customHeight="1" x14ac:dyDescent="0.25">
      <c r="A722" s="44" t="s">
        <v>608</v>
      </c>
      <c r="B722" s="62" t="s">
        <v>611</v>
      </c>
      <c r="C722" s="41"/>
      <c r="D722" s="48" t="b">
        <v>0</v>
      </c>
      <c r="E722" s="33" t="s">
        <v>286</v>
      </c>
      <c r="F722" s="13" t="s">
        <v>989</v>
      </c>
      <c r="G722" s="38">
        <v>-4</v>
      </c>
      <c r="H722" s="57" t="s">
        <v>855</v>
      </c>
      <c r="I722" s="13" t="s">
        <v>1966</v>
      </c>
      <c r="J722"/>
    </row>
    <row r="723" spans="1:10" ht="12.75" customHeight="1" x14ac:dyDescent="0.25">
      <c r="A723" s="44" t="s">
        <v>609</v>
      </c>
      <c r="B723" s="62" t="s">
        <v>585</v>
      </c>
      <c r="C723" s="41"/>
      <c r="D723" s="48" t="b">
        <v>0</v>
      </c>
      <c r="E723" s="33" t="s">
        <v>286</v>
      </c>
      <c r="F723" s="13" t="s">
        <v>990</v>
      </c>
      <c r="G723" s="38">
        <v>-4</v>
      </c>
      <c r="H723" s="57" t="s">
        <v>858</v>
      </c>
      <c r="I723" s="13" t="s">
        <v>1966</v>
      </c>
    </row>
    <row r="724" spans="1:10" ht="12.75" customHeight="1" x14ac:dyDescent="0.25">
      <c r="A724" s="44" t="s">
        <v>610</v>
      </c>
      <c r="B724" s="62" t="s">
        <v>586</v>
      </c>
      <c r="C724" s="41"/>
      <c r="D724" s="48" t="b">
        <v>0</v>
      </c>
      <c r="E724" s="33" t="s">
        <v>286</v>
      </c>
      <c r="F724" s="13" t="s">
        <v>991</v>
      </c>
      <c r="G724" s="38">
        <v>-4</v>
      </c>
      <c r="H724" s="57" t="s">
        <v>861</v>
      </c>
      <c r="I724" s="13" t="s">
        <v>1966</v>
      </c>
    </row>
    <row r="725" spans="1:10" ht="12.75" customHeight="1" x14ac:dyDescent="0.2">
      <c r="A725" s="44" t="s">
        <v>589</v>
      </c>
      <c r="B725" s="62" t="s">
        <v>587</v>
      </c>
      <c r="C725" s="41"/>
      <c r="D725" s="48" t="b">
        <v>0</v>
      </c>
      <c r="E725" s="33" t="s">
        <v>286</v>
      </c>
      <c r="F725" s="13" t="s">
        <v>1090</v>
      </c>
      <c r="G725" s="38">
        <v>1</v>
      </c>
      <c r="H725" s="54" t="s">
        <v>1127</v>
      </c>
      <c r="I725" s="13" t="s">
        <v>1965</v>
      </c>
    </row>
    <row r="726" spans="1:10" ht="12.75" customHeight="1" x14ac:dyDescent="0.2">
      <c r="A726" s="44" t="s">
        <v>616</v>
      </c>
      <c r="B726" s="62" t="s">
        <v>1109</v>
      </c>
      <c r="C726" s="41"/>
      <c r="D726" s="41"/>
      <c r="E726" s="41"/>
      <c r="F726" s="41"/>
      <c r="G726" s="41"/>
      <c r="H726" s="41"/>
      <c r="I726" s="41"/>
    </row>
    <row r="727" spans="1:10" ht="12.75" customHeight="1" x14ac:dyDescent="0.25">
      <c r="A727" s="44" t="s">
        <v>612</v>
      </c>
      <c r="B727" s="62" t="s">
        <v>1110</v>
      </c>
      <c r="C727" s="41"/>
      <c r="D727" s="48" t="b">
        <v>0</v>
      </c>
      <c r="E727" s="33" t="s">
        <v>286</v>
      </c>
      <c r="F727" s="13" t="s">
        <v>992</v>
      </c>
      <c r="G727" s="38">
        <v>-4</v>
      </c>
      <c r="H727" s="57" t="s">
        <v>870</v>
      </c>
      <c r="I727" s="13" t="s">
        <v>1966</v>
      </c>
    </row>
    <row r="728" spans="1:10" ht="12.75" customHeight="1" x14ac:dyDescent="0.25">
      <c r="A728" s="44" t="s">
        <v>613</v>
      </c>
      <c r="B728" s="62" t="s">
        <v>1111</v>
      </c>
      <c r="C728" s="41"/>
      <c r="D728" s="48" t="b">
        <v>0</v>
      </c>
      <c r="E728" s="33" t="s">
        <v>286</v>
      </c>
      <c r="F728" s="13" t="s">
        <v>993</v>
      </c>
      <c r="G728" s="38">
        <v>-4</v>
      </c>
      <c r="H728" s="57" t="s">
        <v>873</v>
      </c>
      <c r="I728" s="13" t="s">
        <v>1966</v>
      </c>
    </row>
    <row r="729" spans="1:10" ht="12.75" customHeight="1" x14ac:dyDescent="0.25">
      <c r="A729" s="44" t="s">
        <v>614</v>
      </c>
      <c r="B729" s="62" t="s">
        <v>1112</v>
      </c>
      <c r="C729" s="41"/>
      <c r="D729" s="48" t="b">
        <v>0</v>
      </c>
      <c r="E729" s="33" t="s">
        <v>286</v>
      </c>
      <c r="F729" s="13" t="s">
        <v>994</v>
      </c>
      <c r="G729" s="38">
        <v>-4</v>
      </c>
      <c r="H729" s="57" t="s">
        <v>876</v>
      </c>
      <c r="I729" s="13" t="s">
        <v>1966</v>
      </c>
    </row>
    <row r="730" spans="1:10" ht="12.75" customHeight="1" x14ac:dyDescent="0.2">
      <c r="A730" s="44" t="s">
        <v>615</v>
      </c>
      <c r="B730" s="62" t="s">
        <v>1113</v>
      </c>
      <c r="C730" s="41"/>
      <c r="D730" s="48" t="b">
        <v>0</v>
      </c>
      <c r="E730" s="33" t="s">
        <v>286</v>
      </c>
      <c r="F730" s="13" t="s">
        <v>1091</v>
      </c>
      <c r="G730" s="38">
        <v>1</v>
      </c>
      <c r="H730" s="54" t="s">
        <v>1128</v>
      </c>
      <c r="I730" s="13" t="s">
        <v>1965</v>
      </c>
    </row>
    <row r="731" spans="1:10" ht="12.75" customHeight="1" x14ac:dyDescent="0.2">
      <c r="A731" s="44" t="s">
        <v>1591</v>
      </c>
      <c r="B731" s="62" t="s">
        <v>1592</v>
      </c>
      <c r="C731" s="41"/>
      <c r="D731" s="48" t="b">
        <v>0</v>
      </c>
      <c r="E731" s="33" t="s">
        <v>286</v>
      </c>
      <c r="F731" s="13" t="s">
        <v>1959</v>
      </c>
      <c r="G731" s="38">
        <v>1</v>
      </c>
      <c r="H731" s="54" t="s">
        <v>1593</v>
      </c>
      <c r="I731" s="13" t="s">
        <v>1964</v>
      </c>
    </row>
    <row r="732" spans="1:10" ht="12.75" customHeight="1" x14ac:dyDescent="0.2">
      <c r="A732" s="44" t="s">
        <v>1532</v>
      </c>
      <c r="B732" s="62" t="s">
        <v>1114</v>
      </c>
      <c r="C732" s="41"/>
      <c r="D732" s="41"/>
      <c r="E732" s="41"/>
      <c r="F732" s="41"/>
      <c r="G732" s="41"/>
      <c r="H732" s="41"/>
      <c r="I732" s="41"/>
    </row>
    <row r="733" spans="1:10" ht="12.75" customHeight="1" x14ac:dyDescent="0.25">
      <c r="A733" s="44" t="s">
        <v>617</v>
      </c>
      <c r="B733" s="62" t="s">
        <v>1115</v>
      </c>
      <c r="C733" s="41"/>
      <c r="D733" s="48" t="b">
        <v>0</v>
      </c>
      <c r="E733" s="33" t="s">
        <v>286</v>
      </c>
      <c r="F733" s="13" t="s">
        <v>995</v>
      </c>
      <c r="G733" s="38">
        <v>-4</v>
      </c>
      <c r="H733" s="57" t="s">
        <v>891</v>
      </c>
      <c r="I733" s="13" t="s">
        <v>1966</v>
      </c>
    </row>
    <row r="734" spans="1:10" ht="12.75" customHeight="1" x14ac:dyDescent="0.25">
      <c r="A734" s="44" t="s">
        <v>618</v>
      </c>
      <c r="B734" s="62" t="s">
        <v>1116</v>
      </c>
      <c r="C734" s="41"/>
      <c r="D734" s="48" t="b">
        <v>0</v>
      </c>
      <c r="E734" s="33" t="s">
        <v>286</v>
      </c>
      <c r="F734" s="13" t="s">
        <v>996</v>
      </c>
      <c r="G734" s="38">
        <v>-4</v>
      </c>
      <c r="H734" s="57" t="s">
        <v>894</v>
      </c>
      <c r="I734" s="13" t="s">
        <v>1966</v>
      </c>
    </row>
    <row r="735" spans="1:10" ht="12.75" customHeight="1" x14ac:dyDescent="0.25">
      <c r="A735" s="44" t="s">
        <v>619</v>
      </c>
      <c r="B735" s="62" t="s">
        <v>1117</v>
      </c>
      <c r="C735" s="41"/>
      <c r="D735" s="48" t="b">
        <v>0</v>
      </c>
      <c r="E735" s="33" t="s">
        <v>286</v>
      </c>
      <c r="F735" s="13" t="s">
        <v>1092</v>
      </c>
      <c r="G735" s="38">
        <v>1</v>
      </c>
      <c r="H735" s="57" t="s">
        <v>1129</v>
      </c>
      <c r="I735" s="13" t="s">
        <v>1965</v>
      </c>
    </row>
    <row r="736" spans="1:10" ht="12.75" customHeight="1" x14ac:dyDescent="0.2">
      <c r="A736" s="44" t="s">
        <v>1596</v>
      </c>
      <c r="B736" s="62" t="s">
        <v>1594</v>
      </c>
      <c r="C736" s="41"/>
      <c r="D736" s="48" t="b">
        <v>0</v>
      </c>
      <c r="E736" s="33" t="s">
        <v>286</v>
      </c>
      <c r="F736" s="13" t="s">
        <v>1960</v>
      </c>
      <c r="G736" s="38">
        <v>1</v>
      </c>
      <c r="H736" s="54" t="s">
        <v>1595</v>
      </c>
      <c r="I736" s="13" t="s">
        <v>1964</v>
      </c>
    </row>
    <row r="737" spans="1:9" ht="12.75" customHeight="1" x14ac:dyDescent="0.2">
      <c r="A737" s="42" t="s">
        <v>387</v>
      </c>
      <c r="B737" s="41"/>
      <c r="C737" s="41"/>
      <c r="D737" s="41"/>
      <c r="E737" s="41"/>
      <c r="F737" s="41"/>
      <c r="G737" s="41"/>
      <c r="H737" s="41"/>
      <c r="I737" s="41"/>
    </row>
    <row r="738" spans="1:9" ht="12.75" customHeight="1" x14ac:dyDescent="0.2">
      <c r="A738" s="44" t="s">
        <v>166</v>
      </c>
      <c r="B738" s="62" t="s">
        <v>394</v>
      </c>
      <c r="C738" s="41"/>
      <c r="D738" s="41"/>
      <c r="E738" s="41"/>
      <c r="F738" s="41"/>
      <c r="G738" s="41"/>
      <c r="H738" s="41"/>
    </row>
    <row r="739" spans="1:9" ht="12.75" customHeight="1" x14ac:dyDescent="0.2">
      <c r="A739" s="44" t="s">
        <v>1142</v>
      </c>
      <c r="B739" s="62" t="s">
        <v>395</v>
      </c>
      <c r="C739" s="41"/>
      <c r="D739" s="48" t="b">
        <v>0</v>
      </c>
      <c r="E739" s="33" t="s">
        <v>286</v>
      </c>
      <c r="F739" s="13" t="s">
        <v>997</v>
      </c>
      <c r="G739" s="54"/>
    </row>
    <row r="740" spans="1:9" ht="12.75" customHeight="1" x14ac:dyDescent="0.2">
      <c r="A740" s="44" t="s">
        <v>1143</v>
      </c>
      <c r="B740" s="62" t="s">
        <v>396</v>
      </c>
      <c r="C740" s="41"/>
      <c r="D740" s="48" t="b">
        <v>0</v>
      </c>
      <c r="E740" s="33" t="s">
        <v>286</v>
      </c>
      <c r="F740" s="13" t="s">
        <v>998</v>
      </c>
      <c r="G740" s="54"/>
    </row>
    <row r="741" spans="1:9" ht="12.75" customHeight="1" x14ac:dyDescent="0.2">
      <c r="A741" s="44" t="s">
        <v>1144</v>
      </c>
      <c r="B741" s="62" t="s">
        <v>397</v>
      </c>
      <c r="C741" s="41"/>
      <c r="D741" s="48" t="b">
        <v>0</v>
      </c>
      <c r="E741" s="33" t="s">
        <v>286</v>
      </c>
      <c r="F741" s="13" t="s">
        <v>999</v>
      </c>
      <c r="G741" s="54"/>
    </row>
    <row r="742" spans="1:9" ht="12.75" customHeight="1" x14ac:dyDescent="0.2">
      <c r="A742" s="44" t="s">
        <v>1145</v>
      </c>
      <c r="B742" s="62" t="s">
        <v>398</v>
      </c>
      <c r="C742" s="41"/>
      <c r="D742" s="48" t="b">
        <v>0</v>
      </c>
      <c r="E742" s="33" t="s">
        <v>286</v>
      </c>
      <c r="F742" s="13" t="s">
        <v>1000</v>
      </c>
      <c r="G742" s="54"/>
    </row>
    <row r="743" spans="1:9" ht="12.75" customHeight="1" x14ac:dyDescent="0.2">
      <c r="A743" s="44" t="s">
        <v>1146</v>
      </c>
      <c r="B743" s="62" t="s">
        <v>399</v>
      </c>
      <c r="C743" s="41"/>
      <c r="D743" s="48" t="b">
        <v>0</v>
      </c>
      <c r="E743" s="33" t="s">
        <v>286</v>
      </c>
      <c r="F743" s="13" t="s">
        <v>1001</v>
      </c>
      <c r="G743" s="54"/>
    </row>
    <row r="744" spans="1:9" ht="12.75" customHeight="1" x14ac:dyDescent="0.2">
      <c r="A744" s="44" t="s">
        <v>1147</v>
      </c>
      <c r="B744" s="62" t="s">
        <v>400</v>
      </c>
      <c r="C744" s="41"/>
      <c r="D744" s="48" t="b">
        <v>0</v>
      </c>
      <c r="E744" s="33" t="s">
        <v>286</v>
      </c>
      <c r="F744" s="13" t="s">
        <v>1002</v>
      </c>
      <c r="G744" s="54"/>
    </row>
    <row r="745" spans="1:9" ht="12.75" customHeight="1" x14ac:dyDescent="0.2">
      <c r="A745" s="44" t="s">
        <v>1148</v>
      </c>
      <c r="B745" s="62" t="s">
        <v>393</v>
      </c>
      <c r="C745" s="41"/>
      <c r="D745" s="48" t="b">
        <v>0</v>
      </c>
      <c r="E745" s="33" t="s">
        <v>286</v>
      </c>
      <c r="F745" s="13" t="s">
        <v>1003</v>
      </c>
      <c r="G745" s="54"/>
    </row>
    <row r="746" spans="1:9" ht="12.75" customHeight="1" x14ac:dyDescent="0.2">
      <c r="A746" s="44" t="s">
        <v>1149</v>
      </c>
      <c r="B746" s="62" t="s">
        <v>392</v>
      </c>
      <c r="C746" s="41"/>
      <c r="D746" s="48" t="b">
        <v>0</v>
      </c>
      <c r="E746" s="33" t="s">
        <v>286</v>
      </c>
      <c r="F746" s="13" t="s">
        <v>1004</v>
      </c>
      <c r="G746" s="54"/>
    </row>
    <row r="747" spans="1:9" ht="12.75" customHeight="1" x14ac:dyDescent="0.2">
      <c r="A747" s="44" t="s">
        <v>1150</v>
      </c>
      <c r="B747" s="62" t="s">
        <v>391</v>
      </c>
      <c r="C747" s="41"/>
      <c r="D747" s="48" t="b">
        <v>0</v>
      </c>
      <c r="E747" s="33" t="s">
        <v>286</v>
      </c>
      <c r="F747" s="13" t="s">
        <v>1119</v>
      </c>
      <c r="G747" s="54"/>
      <c r="H747" s="13" t="s">
        <v>1657</v>
      </c>
    </row>
    <row r="748" spans="1:9" ht="12.75" customHeight="1" x14ac:dyDescent="0.2">
      <c r="A748" s="44" t="s">
        <v>8</v>
      </c>
      <c r="B748" s="62" t="s">
        <v>390</v>
      </c>
      <c r="C748" s="41"/>
      <c r="D748" s="48"/>
      <c r="E748" s="33" t="s">
        <v>284</v>
      </c>
      <c r="F748" s="13" t="s">
        <v>1657</v>
      </c>
      <c r="G748" s="38" t="b">
        <v>1</v>
      </c>
    </row>
    <row r="749" spans="1:9" ht="12.75" customHeight="1" x14ac:dyDescent="0.2">
      <c r="A749" s="44" t="s">
        <v>167</v>
      </c>
      <c r="B749" s="62" t="s">
        <v>401</v>
      </c>
      <c r="C749" s="41"/>
      <c r="D749" s="41"/>
      <c r="E749" s="41"/>
      <c r="F749" s="41"/>
      <c r="G749" s="41"/>
      <c r="H749" s="41"/>
    </row>
    <row r="750" spans="1:9" ht="12.75" customHeight="1" x14ac:dyDescent="0.2">
      <c r="A750" s="44" t="s">
        <v>1151</v>
      </c>
      <c r="B750" s="62" t="s">
        <v>402</v>
      </c>
      <c r="C750" s="41"/>
      <c r="D750" s="48" t="b">
        <v>0</v>
      </c>
      <c r="E750" s="33" t="s">
        <v>286</v>
      </c>
      <c r="F750" s="13" t="s">
        <v>1005</v>
      </c>
      <c r="G750" s="54"/>
    </row>
    <row r="751" spans="1:9" ht="12.75" customHeight="1" x14ac:dyDescent="0.2">
      <c r="A751" s="44" t="s">
        <v>1152</v>
      </c>
      <c r="B751" s="62" t="s">
        <v>403</v>
      </c>
      <c r="C751" s="41"/>
      <c r="D751" s="48" t="b">
        <v>0</v>
      </c>
      <c r="E751" s="33" t="s">
        <v>286</v>
      </c>
      <c r="F751" s="13" t="s">
        <v>1006</v>
      </c>
      <c r="G751" s="54"/>
    </row>
    <row r="752" spans="1:9" ht="12.75" customHeight="1" x14ac:dyDescent="0.2">
      <c r="A752" s="44" t="s">
        <v>1153</v>
      </c>
      <c r="B752" s="62" t="s">
        <v>404</v>
      </c>
      <c r="C752" s="41"/>
      <c r="D752" s="48" t="b">
        <v>0</v>
      </c>
      <c r="E752" s="33" t="s">
        <v>286</v>
      </c>
      <c r="F752" s="13" t="s">
        <v>1007</v>
      </c>
      <c r="G752" s="54"/>
    </row>
    <row r="753" spans="1:8" ht="12.75" customHeight="1" x14ac:dyDescent="0.2">
      <c r="A753" s="44" t="s">
        <v>1154</v>
      </c>
      <c r="B753" s="62" t="s">
        <v>405</v>
      </c>
      <c r="C753" s="41"/>
      <c r="D753" s="48" t="b">
        <v>0</v>
      </c>
      <c r="E753" s="33" t="s">
        <v>286</v>
      </c>
      <c r="F753" s="13" t="s">
        <v>1008</v>
      </c>
      <c r="G753" s="54"/>
    </row>
    <row r="754" spans="1:8" ht="12.75" customHeight="1" x14ac:dyDescent="0.2">
      <c r="A754" s="44" t="s">
        <v>1155</v>
      </c>
      <c r="B754" s="62" t="s">
        <v>406</v>
      </c>
      <c r="C754" s="41"/>
      <c r="D754" s="48" t="b">
        <v>0</v>
      </c>
      <c r="E754" s="33" t="s">
        <v>286</v>
      </c>
      <c r="F754" s="13" t="s">
        <v>1009</v>
      </c>
      <c r="G754" s="54"/>
    </row>
    <row r="755" spans="1:8" ht="12.75" customHeight="1" x14ac:dyDescent="0.2">
      <c r="A755" s="44" t="s">
        <v>1156</v>
      </c>
      <c r="B755" s="62" t="s">
        <v>407</v>
      </c>
      <c r="C755" s="41"/>
      <c r="D755" s="48" t="b">
        <v>0</v>
      </c>
      <c r="E755" s="33" t="s">
        <v>286</v>
      </c>
      <c r="F755" s="13" t="s">
        <v>1010</v>
      </c>
      <c r="G755" s="54"/>
    </row>
    <row r="756" spans="1:8" ht="12.75" customHeight="1" x14ac:dyDescent="0.2">
      <c r="A756" s="44" t="s">
        <v>1157</v>
      </c>
      <c r="B756" s="62" t="s">
        <v>408</v>
      </c>
      <c r="C756" s="41"/>
      <c r="D756" s="48" t="b">
        <v>0</v>
      </c>
      <c r="E756" s="33" t="s">
        <v>286</v>
      </c>
      <c r="F756" s="13" t="s">
        <v>1011</v>
      </c>
      <c r="G756" s="54"/>
    </row>
    <row r="757" spans="1:8" ht="12.75" customHeight="1" x14ac:dyDescent="0.2">
      <c r="A757" s="44" t="s">
        <v>1158</v>
      </c>
      <c r="B757" s="62" t="s">
        <v>409</v>
      </c>
      <c r="C757" s="41"/>
      <c r="D757" s="48" t="b">
        <v>0</v>
      </c>
      <c r="E757" s="33" t="s">
        <v>286</v>
      </c>
      <c r="F757" s="13" t="s">
        <v>1012</v>
      </c>
      <c r="G757" s="54"/>
    </row>
    <row r="758" spans="1:8" ht="12.75" customHeight="1" x14ac:dyDescent="0.2">
      <c r="A758" s="44" t="s">
        <v>1159</v>
      </c>
      <c r="B758" s="62" t="s">
        <v>410</v>
      </c>
      <c r="C758" s="41"/>
      <c r="D758" s="48" t="b">
        <v>0</v>
      </c>
      <c r="E758" s="33" t="s">
        <v>286</v>
      </c>
      <c r="F758" s="13" t="s">
        <v>1013</v>
      </c>
      <c r="G758" s="54"/>
    </row>
    <row r="759" spans="1:8" ht="12.75" customHeight="1" x14ac:dyDescent="0.2">
      <c r="A759" s="44" t="s">
        <v>1160</v>
      </c>
      <c r="B759" s="62" t="s">
        <v>411</v>
      </c>
      <c r="C759" s="41"/>
      <c r="D759" s="48" t="b">
        <v>0</v>
      </c>
      <c r="E759" s="33" t="s">
        <v>286</v>
      </c>
      <c r="F759" s="13" t="s">
        <v>1014</v>
      </c>
      <c r="G759" s="54"/>
    </row>
    <row r="760" spans="1:8" ht="12.75" customHeight="1" x14ac:dyDescent="0.2">
      <c r="A760" s="44" t="s">
        <v>1161</v>
      </c>
      <c r="B760" s="62" t="s">
        <v>412</v>
      </c>
      <c r="C760" s="41"/>
      <c r="D760" s="48" t="b">
        <v>0</v>
      </c>
      <c r="E760" s="33" t="s">
        <v>286</v>
      </c>
      <c r="F760" s="13" t="s">
        <v>1015</v>
      </c>
      <c r="G760" s="54"/>
    </row>
    <row r="761" spans="1:8" ht="12.75" customHeight="1" x14ac:dyDescent="0.2">
      <c r="A761" s="44" t="s">
        <v>1162</v>
      </c>
      <c r="B761" s="62" t="s">
        <v>413</v>
      </c>
      <c r="C761" s="41"/>
      <c r="D761" s="48" t="b">
        <v>0</v>
      </c>
      <c r="E761" s="33" t="s">
        <v>286</v>
      </c>
      <c r="F761" s="13" t="s">
        <v>1094</v>
      </c>
      <c r="G761" s="54"/>
      <c r="H761" s="13" t="s">
        <v>1093</v>
      </c>
    </row>
    <row r="762" spans="1:8" ht="12.75" customHeight="1" x14ac:dyDescent="0.2">
      <c r="A762" s="44" t="s">
        <v>8</v>
      </c>
      <c r="B762" s="62" t="s">
        <v>414</v>
      </c>
      <c r="C762" s="41"/>
      <c r="D762" s="48"/>
      <c r="E762" s="33" t="s">
        <v>284</v>
      </c>
      <c r="F762" s="13" t="s">
        <v>1093</v>
      </c>
      <c r="G762" s="38" t="b">
        <v>1</v>
      </c>
    </row>
    <row r="763" spans="1:8" ht="12.75" customHeight="1" x14ac:dyDescent="0.2">
      <c r="A763" s="44" t="s">
        <v>180</v>
      </c>
      <c r="B763" s="62" t="s">
        <v>418</v>
      </c>
      <c r="C763" s="41"/>
      <c r="D763" s="41"/>
      <c r="E763" s="41"/>
      <c r="F763" s="41"/>
      <c r="G763" s="41"/>
      <c r="H763" s="41"/>
    </row>
    <row r="764" spans="1:8" ht="12.75" customHeight="1" x14ac:dyDescent="0.2">
      <c r="A764" s="44" t="s">
        <v>1163</v>
      </c>
      <c r="B764" s="62" t="s">
        <v>423</v>
      </c>
      <c r="C764" s="41"/>
      <c r="D764" s="48" t="b">
        <v>0</v>
      </c>
      <c r="E764" s="33" t="s">
        <v>286</v>
      </c>
      <c r="F764" s="13" t="s">
        <v>1016</v>
      </c>
      <c r="G764" s="54"/>
    </row>
    <row r="765" spans="1:8" ht="12.75" customHeight="1" x14ac:dyDescent="0.2">
      <c r="A765" s="44" t="s">
        <v>1164</v>
      </c>
      <c r="B765" s="62" t="s">
        <v>428</v>
      </c>
      <c r="C765" s="41"/>
      <c r="D765" s="48" t="b">
        <v>0</v>
      </c>
      <c r="E765" s="33" t="s">
        <v>286</v>
      </c>
      <c r="F765" s="13" t="s">
        <v>1017</v>
      </c>
      <c r="G765" s="54"/>
    </row>
    <row r="766" spans="1:8" ht="12.75" customHeight="1" x14ac:dyDescent="0.2">
      <c r="A766" s="44" t="s">
        <v>1165</v>
      </c>
      <c r="B766" s="62" t="s">
        <v>415</v>
      </c>
      <c r="C766" s="41"/>
      <c r="D766" s="48" t="b">
        <v>0</v>
      </c>
      <c r="E766" s="33" t="s">
        <v>286</v>
      </c>
      <c r="F766" s="13" t="s">
        <v>1018</v>
      </c>
      <c r="G766" s="54"/>
    </row>
    <row r="767" spans="1:8" ht="12.75" customHeight="1" x14ac:dyDescent="0.2">
      <c r="A767" s="44" t="s">
        <v>1166</v>
      </c>
      <c r="B767" s="62" t="s">
        <v>437</v>
      </c>
      <c r="C767" s="41"/>
      <c r="D767" s="48" t="b">
        <v>0</v>
      </c>
      <c r="E767" s="33" t="s">
        <v>286</v>
      </c>
      <c r="F767" s="13" t="s">
        <v>1019</v>
      </c>
      <c r="G767" s="54"/>
    </row>
    <row r="768" spans="1:8" ht="12.75" customHeight="1" x14ac:dyDescent="0.2">
      <c r="A768" s="44" t="s">
        <v>1167</v>
      </c>
      <c r="B768" s="62" t="s">
        <v>441</v>
      </c>
      <c r="C768" s="41"/>
      <c r="D768" s="48" t="b">
        <v>0</v>
      </c>
      <c r="E768" s="33" t="s">
        <v>286</v>
      </c>
      <c r="F768" s="13" t="s">
        <v>1020</v>
      </c>
      <c r="G768" s="54"/>
    </row>
    <row r="769" spans="1:8" ht="12.75" customHeight="1" x14ac:dyDescent="0.2">
      <c r="A769" s="44" t="s">
        <v>1168</v>
      </c>
      <c r="B769" s="62" t="s">
        <v>445</v>
      </c>
      <c r="C769" s="41"/>
      <c r="D769" s="48" t="b">
        <v>0</v>
      </c>
      <c r="E769" s="33" t="s">
        <v>286</v>
      </c>
      <c r="F769" s="13" t="s">
        <v>1021</v>
      </c>
      <c r="G769" s="54"/>
    </row>
    <row r="770" spans="1:8" ht="12.75" customHeight="1" x14ac:dyDescent="0.2">
      <c r="A770" s="44" t="s">
        <v>1169</v>
      </c>
      <c r="B770" s="62" t="s">
        <v>452</v>
      </c>
      <c r="C770" s="41"/>
      <c r="D770" s="48" t="b">
        <v>0</v>
      </c>
      <c r="E770" s="33" t="s">
        <v>286</v>
      </c>
      <c r="F770" s="13" t="s">
        <v>1022</v>
      </c>
      <c r="G770" s="54"/>
    </row>
    <row r="771" spans="1:8" ht="12.75" customHeight="1" x14ac:dyDescent="0.2">
      <c r="A771" s="44" t="s">
        <v>1533</v>
      </c>
      <c r="B771" s="62" t="s">
        <v>455</v>
      </c>
      <c r="C771" s="41"/>
      <c r="D771" s="48" t="b">
        <v>0</v>
      </c>
      <c r="E771" s="33" t="s">
        <v>286</v>
      </c>
      <c r="F771" s="13" t="s">
        <v>1023</v>
      </c>
      <c r="G771" s="54"/>
    </row>
    <row r="772" spans="1:8" ht="12.75" customHeight="1" x14ac:dyDescent="0.2">
      <c r="A772" s="44" t="s">
        <v>1170</v>
      </c>
      <c r="B772" s="62" t="s">
        <v>458</v>
      </c>
      <c r="C772" s="41"/>
      <c r="D772" s="48" t="b">
        <v>0</v>
      </c>
      <c r="E772" s="33" t="s">
        <v>286</v>
      </c>
      <c r="F772" s="13" t="s">
        <v>1024</v>
      </c>
      <c r="G772" s="54"/>
    </row>
    <row r="773" spans="1:8" ht="12.75" customHeight="1" x14ac:dyDescent="0.2">
      <c r="A773" s="44" t="s">
        <v>1171</v>
      </c>
      <c r="B773" s="62" t="s">
        <v>461</v>
      </c>
      <c r="C773" s="41"/>
      <c r="D773" s="48" t="b">
        <v>0</v>
      </c>
      <c r="E773" s="33" t="s">
        <v>286</v>
      </c>
      <c r="F773" s="13" t="s">
        <v>1025</v>
      </c>
      <c r="G773" s="54"/>
    </row>
    <row r="774" spans="1:8" ht="12.75" customHeight="1" x14ac:dyDescent="0.2">
      <c r="A774" s="44" t="s">
        <v>1172</v>
      </c>
      <c r="B774" s="62" t="s">
        <v>465</v>
      </c>
      <c r="C774" s="41"/>
      <c r="D774" s="48" t="b">
        <v>0</v>
      </c>
      <c r="E774" s="33" t="s">
        <v>286</v>
      </c>
      <c r="F774" s="13" t="s">
        <v>1026</v>
      </c>
      <c r="G774" s="54"/>
    </row>
    <row r="775" spans="1:8" ht="12.75" customHeight="1" x14ac:dyDescent="0.2">
      <c r="A775" s="44" t="s">
        <v>1173</v>
      </c>
      <c r="B775" s="62" t="s">
        <v>467</v>
      </c>
      <c r="C775" s="41"/>
      <c r="D775" s="48" t="b">
        <v>0</v>
      </c>
      <c r="E775" s="33" t="s">
        <v>286</v>
      </c>
      <c r="F775" s="13" t="s">
        <v>1027</v>
      </c>
      <c r="G775" s="54"/>
    </row>
    <row r="776" spans="1:8" ht="12.75" customHeight="1" x14ac:dyDescent="0.2">
      <c r="A776" s="44" t="s">
        <v>1174</v>
      </c>
      <c r="B776" s="62" t="s">
        <v>469</v>
      </c>
      <c r="C776" s="41"/>
      <c r="D776" s="48" t="b">
        <v>0</v>
      </c>
      <c r="E776" s="33" t="s">
        <v>286</v>
      </c>
      <c r="F776" s="13" t="s">
        <v>1028</v>
      </c>
      <c r="G776" s="54"/>
    </row>
    <row r="777" spans="1:8" ht="12.75" customHeight="1" x14ac:dyDescent="0.2">
      <c r="A777" s="44" t="s">
        <v>1175</v>
      </c>
      <c r="B777" s="62" t="s">
        <v>471</v>
      </c>
      <c r="C777" s="41"/>
      <c r="D777" s="48" t="b">
        <v>0</v>
      </c>
      <c r="E777" s="33" t="s">
        <v>286</v>
      </c>
      <c r="F777" s="13" t="s">
        <v>1029</v>
      </c>
      <c r="G777" s="54"/>
    </row>
    <row r="778" spans="1:8" ht="12.75" customHeight="1" x14ac:dyDescent="0.2">
      <c r="A778" s="44" t="s">
        <v>1176</v>
      </c>
      <c r="B778" s="62" t="s">
        <v>474</v>
      </c>
      <c r="C778" s="41"/>
      <c r="D778" s="48" t="b">
        <v>0</v>
      </c>
      <c r="E778" s="33" t="s">
        <v>286</v>
      </c>
      <c r="F778" s="13" t="s">
        <v>1030</v>
      </c>
      <c r="G778" s="54"/>
    </row>
    <row r="779" spans="1:8" ht="12.75" customHeight="1" x14ac:dyDescent="0.2">
      <c r="A779" s="44" t="s">
        <v>1177</v>
      </c>
      <c r="B779" s="62" t="s">
        <v>475</v>
      </c>
      <c r="C779" s="41"/>
      <c r="D779" s="48" t="b">
        <v>0</v>
      </c>
      <c r="E779" s="33" t="s">
        <v>286</v>
      </c>
      <c r="F779" s="13" t="s">
        <v>1031</v>
      </c>
      <c r="G779" s="54"/>
    </row>
    <row r="780" spans="1:8" ht="12.75" customHeight="1" x14ac:dyDescent="0.2">
      <c r="A780" s="44" t="s">
        <v>1178</v>
      </c>
      <c r="B780" s="62" t="s">
        <v>476</v>
      </c>
      <c r="C780" s="41"/>
      <c r="D780" s="48" t="b">
        <v>0</v>
      </c>
      <c r="E780" s="33" t="s">
        <v>286</v>
      </c>
      <c r="F780" s="13" t="s">
        <v>1032</v>
      </c>
      <c r="G780" s="54"/>
    </row>
    <row r="781" spans="1:8" ht="12.75" customHeight="1" x14ac:dyDescent="0.2">
      <c r="A781" s="44" t="s">
        <v>1179</v>
      </c>
      <c r="B781" s="62" t="s">
        <v>477</v>
      </c>
      <c r="C781" s="41"/>
      <c r="D781" s="48" t="b">
        <v>0</v>
      </c>
      <c r="E781" s="33" t="s">
        <v>286</v>
      </c>
      <c r="F781" s="13" t="s">
        <v>1033</v>
      </c>
      <c r="G781" s="54"/>
    </row>
    <row r="782" spans="1:8" ht="12.75" customHeight="1" x14ac:dyDescent="0.2">
      <c r="A782" s="44" t="s">
        <v>1180</v>
      </c>
      <c r="B782" s="62" t="s">
        <v>478</v>
      </c>
      <c r="C782" s="41"/>
      <c r="D782" s="48" t="b">
        <v>0</v>
      </c>
      <c r="E782" s="33" t="s">
        <v>286</v>
      </c>
      <c r="F782" s="13" t="s">
        <v>1096</v>
      </c>
      <c r="G782" s="54"/>
      <c r="H782" s="13" t="s">
        <v>1095</v>
      </c>
    </row>
    <row r="783" spans="1:8" ht="12.75" customHeight="1" x14ac:dyDescent="0.2">
      <c r="A783" s="44" t="s">
        <v>8</v>
      </c>
      <c r="B783" s="62" t="s">
        <v>479</v>
      </c>
      <c r="C783" s="41"/>
      <c r="D783" s="48"/>
      <c r="E783" s="33" t="s">
        <v>284</v>
      </c>
      <c r="F783" s="13" t="s">
        <v>1095</v>
      </c>
      <c r="G783" s="38" t="b">
        <v>1</v>
      </c>
    </row>
    <row r="784" spans="1:8" ht="12.75" customHeight="1" x14ac:dyDescent="0.2">
      <c r="A784" s="44" t="s">
        <v>200</v>
      </c>
      <c r="B784" s="62" t="s">
        <v>419</v>
      </c>
      <c r="C784" s="41"/>
      <c r="D784" s="41"/>
      <c r="E784" s="41"/>
      <c r="F784" s="41"/>
      <c r="G784" s="41"/>
      <c r="H784" s="41"/>
    </row>
    <row r="785" spans="1:8" ht="12.75" customHeight="1" x14ac:dyDescent="0.2">
      <c r="A785" s="44" t="s">
        <v>1181</v>
      </c>
      <c r="B785" s="62" t="s">
        <v>424</v>
      </c>
      <c r="C785" s="41"/>
      <c r="D785" s="48" t="b">
        <v>0</v>
      </c>
      <c r="E785" s="33" t="s">
        <v>286</v>
      </c>
      <c r="F785" s="13" t="s">
        <v>1034</v>
      </c>
      <c r="G785" s="54"/>
    </row>
    <row r="786" spans="1:8" ht="12.75" customHeight="1" x14ac:dyDescent="0.2">
      <c r="A786" s="44" t="s">
        <v>1182</v>
      </c>
      <c r="B786" s="62" t="s">
        <v>429</v>
      </c>
      <c r="C786" s="41"/>
      <c r="D786" s="48" t="b">
        <v>0</v>
      </c>
      <c r="E786" s="33" t="s">
        <v>286</v>
      </c>
      <c r="F786" s="13" t="s">
        <v>1035</v>
      </c>
      <c r="G786" s="54"/>
    </row>
    <row r="787" spans="1:8" ht="12.75" customHeight="1" x14ac:dyDescent="0.2">
      <c r="A787" s="44" t="s">
        <v>1534</v>
      </c>
      <c r="B787" s="62" t="s">
        <v>433</v>
      </c>
      <c r="C787" s="41"/>
      <c r="D787" s="48" t="b">
        <v>0</v>
      </c>
      <c r="E787" s="33" t="s">
        <v>286</v>
      </c>
      <c r="F787" s="13" t="s">
        <v>1036</v>
      </c>
      <c r="G787" s="54"/>
    </row>
    <row r="788" spans="1:8" ht="12.75" customHeight="1" x14ac:dyDescent="0.2">
      <c r="A788" s="44" t="s">
        <v>1183</v>
      </c>
      <c r="B788" s="62" t="s">
        <v>416</v>
      </c>
      <c r="C788" s="41"/>
      <c r="D788" s="48" t="b">
        <v>0</v>
      </c>
      <c r="E788" s="33" t="s">
        <v>286</v>
      </c>
      <c r="F788" s="13" t="s">
        <v>1037</v>
      </c>
      <c r="G788" s="54"/>
    </row>
    <row r="789" spans="1:8" ht="12.75" customHeight="1" x14ac:dyDescent="0.2">
      <c r="A789" s="44" t="s">
        <v>1184</v>
      </c>
      <c r="B789" s="62" t="s">
        <v>442</v>
      </c>
      <c r="C789" s="41"/>
      <c r="D789" s="48" t="b">
        <v>0</v>
      </c>
      <c r="E789" s="33" t="s">
        <v>286</v>
      </c>
      <c r="F789" s="13" t="s">
        <v>1038</v>
      </c>
      <c r="G789" s="54"/>
    </row>
    <row r="790" spans="1:8" ht="12.75" customHeight="1" x14ac:dyDescent="0.2">
      <c r="A790" s="44" t="s">
        <v>1185</v>
      </c>
      <c r="B790" s="62" t="s">
        <v>446</v>
      </c>
      <c r="C790" s="41"/>
      <c r="D790" s="48" t="b">
        <v>0</v>
      </c>
      <c r="E790" s="33" t="s">
        <v>286</v>
      </c>
      <c r="F790" s="13" t="s">
        <v>1039</v>
      </c>
      <c r="G790" s="54"/>
    </row>
    <row r="791" spans="1:8" ht="12.75" customHeight="1" x14ac:dyDescent="0.2">
      <c r="A791" s="44" t="s">
        <v>1186</v>
      </c>
      <c r="B791" s="62" t="s">
        <v>453</v>
      </c>
      <c r="C791" s="41"/>
      <c r="D791" s="48" t="b">
        <v>0</v>
      </c>
      <c r="E791" s="33" t="s">
        <v>286</v>
      </c>
      <c r="F791" s="13" t="s">
        <v>1040</v>
      </c>
      <c r="G791" s="54"/>
    </row>
    <row r="792" spans="1:8" ht="12.75" customHeight="1" x14ac:dyDescent="0.2">
      <c r="A792" s="44" t="s">
        <v>1187</v>
      </c>
      <c r="B792" s="62" t="s">
        <v>456</v>
      </c>
      <c r="C792" s="41"/>
      <c r="D792" s="48" t="b">
        <v>0</v>
      </c>
      <c r="E792" s="33" t="s">
        <v>286</v>
      </c>
      <c r="F792" s="13" t="s">
        <v>1041</v>
      </c>
      <c r="G792" s="54"/>
    </row>
    <row r="793" spans="1:8" ht="12.75" customHeight="1" x14ac:dyDescent="0.2">
      <c r="A793" s="44" t="s">
        <v>1188</v>
      </c>
      <c r="B793" s="62" t="s">
        <v>459</v>
      </c>
      <c r="C793" s="41"/>
      <c r="D793" s="48" t="b">
        <v>0</v>
      </c>
      <c r="E793" s="33" t="s">
        <v>286</v>
      </c>
      <c r="F793" s="13" t="s">
        <v>1042</v>
      </c>
      <c r="G793" s="54"/>
    </row>
    <row r="794" spans="1:8" ht="12.75" customHeight="1" x14ac:dyDescent="0.2">
      <c r="A794" s="44" t="s">
        <v>1189</v>
      </c>
      <c r="B794" s="62" t="s">
        <v>462</v>
      </c>
      <c r="C794" s="41"/>
      <c r="D794" s="48" t="b">
        <v>0</v>
      </c>
      <c r="E794" s="33" t="s">
        <v>286</v>
      </c>
      <c r="F794" s="13" t="s">
        <v>1098</v>
      </c>
      <c r="G794" s="54"/>
      <c r="H794" s="13" t="s">
        <v>1097</v>
      </c>
    </row>
    <row r="795" spans="1:8" ht="12.75" customHeight="1" x14ac:dyDescent="0.2">
      <c r="A795" s="44" t="s">
        <v>8</v>
      </c>
      <c r="B795" s="62" t="s">
        <v>463</v>
      </c>
      <c r="C795" s="41"/>
      <c r="D795" s="119"/>
      <c r="E795" s="33" t="s">
        <v>284</v>
      </c>
      <c r="F795" s="13" t="s">
        <v>1097</v>
      </c>
      <c r="G795" s="38" t="b">
        <v>1</v>
      </c>
    </row>
    <row r="796" spans="1:8" ht="12.75" customHeight="1" x14ac:dyDescent="0.2">
      <c r="A796" s="44" t="s">
        <v>211</v>
      </c>
      <c r="B796" s="62" t="s">
        <v>420</v>
      </c>
      <c r="C796" s="41"/>
      <c r="D796" s="41"/>
      <c r="E796" s="41"/>
      <c r="F796" s="41"/>
      <c r="G796" s="41"/>
      <c r="H796" s="41"/>
    </row>
    <row r="797" spans="1:8" ht="12.75" customHeight="1" x14ac:dyDescent="0.2">
      <c r="A797" s="44" t="s">
        <v>1190</v>
      </c>
      <c r="B797" s="62" t="s">
        <v>425</v>
      </c>
      <c r="C797" s="41"/>
      <c r="D797" s="48" t="b">
        <v>0</v>
      </c>
      <c r="E797" s="33" t="s">
        <v>286</v>
      </c>
      <c r="F797" s="13" t="s">
        <v>1043</v>
      </c>
      <c r="G797" s="54"/>
    </row>
    <row r="798" spans="1:8" ht="12.75" customHeight="1" x14ac:dyDescent="0.2">
      <c r="A798" s="44" t="s">
        <v>1535</v>
      </c>
      <c r="B798" s="62" t="s">
        <v>430</v>
      </c>
      <c r="C798" s="41"/>
      <c r="D798" s="48" t="b">
        <v>0</v>
      </c>
      <c r="E798" s="33" t="s">
        <v>286</v>
      </c>
      <c r="F798" s="13" t="s">
        <v>1044</v>
      </c>
      <c r="G798" s="54"/>
      <c r="H798" s="55"/>
    </row>
    <row r="799" spans="1:8" ht="12.75" customHeight="1" x14ac:dyDescent="0.2">
      <c r="A799" s="44" t="s">
        <v>1191</v>
      </c>
      <c r="B799" s="62" t="s">
        <v>434</v>
      </c>
      <c r="C799" s="41"/>
      <c r="D799" s="48" t="b">
        <v>0</v>
      </c>
      <c r="E799" s="33" t="s">
        <v>286</v>
      </c>
      <c r="F799" s="13" t="s">
        <v>1045</v>
      </c>
      <c r="G799" s="54"/>
      <c r="H799" s="55"/>
    </row>
    <row r="800" spans="1:8" ht="12.75" customHeight="1" x14ac:dyDescent="0.2">
      <c r="A800" s="44" t="s">
        <v>1192</v>
      </c>
      <c r="B800" s="62" t="s">
        <v>438</v>
      </c>
      <c r="C800" s="41"/>
      <c r="D800" s="48" t="b">
        <v>0</v>
      </c>
      <c r="E800" s="33" t="s">
        <v>286</v>
      </c>
      <c r="F800" s="13" t="s">
        <v>1046</v>
      </c>
      <c r="G800" s="54"/>
      <c r="H800" s="55"/>
    </row>
    <row r="801" spans="1:8" ht="12.75" customHeight="1" x14ac:dyDescent="0.2">
      <c r="A801" s="44" t="s">
        <v>1193</v>
      </c>
      <c r="B801" s="62" t="s">
        <v>417</v>
      </c>
      <c r="C801" s="41"/>
      <c r="D801" s="48" t="b">
        <v>0</v>
      </c>
      <c r="E801" s="33" t="s">
        <v>286</v>
      </c>
      <c r="F801" s="13" t="s">
        <v>1047</v>
      </c>
      <c r="G801" s="54"/>
      <c r="H801" s="55"/>
    </row>
    <row r="802" spans="1:8" ht="12.75" customHeight="1" x14ac:dyDescent="0.2">
      <c r="A802" s="44" t="s">
        <v>1194</v>
      </c>
      <c r="B802" s="62" t="s">
        <v>447</v>
      </c>
      <c r="C802" s="41"/>
      <c r="D802" s="48" t="b">
        <v>0</v>
      </c>
      <c r="E802" s="33" t="s">
        <v>286</v>
      </c>
      <c r="F802" s="13" t="s">
        <v>1048</v>
      </c>
      <c r="G802" s="54"/>
      <c r="H802" s="55"/>
    </row>
    <row r="803" spans="1:8" ht="12.75" customHeight="1" x14ac:dyDescent="0.2">
      <c r="A803" s="44" t="s">
        <v>1195</v>
      </c>
      <c r="B803" s="62" t="s">
        <v>454</v>
      </c>
      <c r="C803" s="41"/>
      <c r="D803" s="48" t="b">
        <v>0</v>
      </c>
      <c r="E803" s="33" t="s">
        <v>286</v>
      </c>
      <c r="F803" s="13" t="s">
        <v>1049</v>
      </c>
      <c r="G803" s="54"/>
      <c r="H803" s="55"/>
    </row>
    <row r="804" spans="1:8" ht="12.75" customHeight="1" x14ac:dyDescent="0.2">
      <c r="A804" s="44" t="s">
        <v>1196</v>
      </c>
      <c r="B804" s="62" t="s">
        <v>457</v>
      </c>
      <c r="C804" s="41"/>
      <c r="D804" s="48" t="b">
        <v>0</v>
      </c>
      <c r="E804" s="33" t="s">
        <v>286</v>
      </c>
      <c r="F804" s="13" t="s">
        <v>1050</v>
      </c>
      <c r="G804" s="54"/>
      <c r="H804" s="55"/>
    </row>
    <row r="805" spans="1:8" ht="12.75" customHeight="1" x14ac:dyDescent="0.2">
      <c r="A805" s="44" t="s">
        <v>1197</v>
      </c>
      <c r="B805" s="62" t="s">
        <v>460</v>
      </c>
      <c r="C805" s="41"/>
      <c r="D805" s="48" t="b">
        <v>0</v>
      </c>
      <c r="E805" s="33" t="s">
        <v>286</v>
      </c>
      <c r="F805" s="13" t="s">
        <v>1051</v>
      </c>
      <c r="G805" s="54"/>
      <c r="H805" s="55"/>
    </row>
    <row r="806" spans="1:8" ht="12.75" customHeight="1" x14ac:dyDescent="0.2">
      <c r="A806" s="44" t="s">
        <v>1198</v>
      </c>
      <c r="B806" s="62" t="s">
        <v>464</v>
      </c>
      <c r="C806" s="41"/>
      <c r="D806" s="48" t="b">
        <v>0</v>
      </c>
      <c r="E806" s="33" t="s">
        <v>286</v>
      </c>
      <c r="F806" s="13" t="s">
        <v>1052</v>
      </c>
      <c r="G806" s="54"/>
      <c r="H806" s="55"/>
    </row>
    <row r="807" spans="1:8" ht="12.75" customHeight="1" x14ac:dyDescent="0.2">
      <c r="A807" s="44" t="s">
        <v>1199</v>
      </c>
      <c r="B807" s="62" t="s">
        <v>466</v>
      </c>
      <c r="C807" s="41"/>
      <c r="D807" s="48" t="b">
        <v>0</v>
      </c>
      <c r="E807" s="33" t="s">
        <v>286</v>
      </c>
      <c r="F807" s="13" t="s">
        <v>1053</v>
      </c>
      <c r="G807" s="54"/>
      <c r="H807" s="55"/>
    </row>
    <row r="808" spans="1:8" ht="12.75" customHeight="1" x14ac:dyDescent="0.2">
      <c r="A808" s="44" t="s">
        <v>1200</v>
      </c>
      <c r="B808" s="62" t="s">
        <v>468</v>
      </c>
      <c r="C808" s="41"/>
      <c r="D808" s="48" t="b">
        <v>0</v>
      </c>
      <c r="E808" s="33" t="s">
        <v>286</v>
      </c>
      <c r="F808" s="13" t="s">
        <v>1054</v>
      </c>
      <c r="G808" s="54"/>
      <c r="H808" s="55"/>
    </row>
    <row r="809" spans="1:8" ht="12.75" customHeight="1" x14ac:dyDescent="0.2">
      <c r="A809" s="44" t="s">
        <v>1201</v>
      </c>
      <c r="B809" s="62" t="s">
        <v>470</v>
      </c>
      <c r="C809" s="41"/>
      <c r="D809" s="48" t="b">
        <v>0</v>
      </c>
      <c r="E809" s="33" t="s">
        <v>286</v>
      </c>
      <c r="F809" s="13" t="s">
        <v>1055</v>
      </c>
      <c r="G809" s="54"/>
      <c r="H809" s="55"/>
    </row>
    <row r="810" spans="1:8" ht="12.75" customHeight="1" x14ac:dyDescent="0.2">
      <c r="A810" s="44" t="s">
        <v>1202</v>
      </c>
      <c r="B810" s="62" t="s">
        <v>472</v>
      </c>
      <c r="C810" s="41"/>
      <c r="D810" s="48" t="b">
        <v>0</v>
      </c>
      <c r="E810" s="33" t="s">
        <v>286</v>
      </c>
      <c r="F810" s="13" t="s">
        <v>1099</v>
      </c>
      <c r="G810" s="54"/>
      <c r="H810" s="13" t="s">
        <v>1100</v>
      </c>
    </row>
    <row r="811" spans="1:8" ht="12.75" customHeight="1" x14ac:dyDescent="0.2">
      <c r="A811" s="44" t="s">
        <v>8</v>
      </c>
      <c r="B811" s="62" t="s">
        <v>473</v>
      </c>
      <c r="C811" s="41"/>
      <c r="D811" s="48"/>
      <c r="E811" s="33" t="s">
        <v>284</v>
      </c>
      <c r="F811" s="13" t="s">
        <v>1100</v>
      </c>
      <c r="G811" s="38" t="b">
        <v>1</v>
      </c>
      <c r="H811" s="55"/>
    </row>
    <row r="812" spans="1:8" ht="12.75" customHeight="1" x14ac:dyDescent="0.2">
      <c r="A812" s="44" t="s">
        <v>232</v>
      </c>
      <c r="B812" s="62" t="s">
        <v>1678</v>
      </c>
      <c r="C812" s="41"/>
      <c r="D812" s="41"/>
      <c r="E812" s="41"/>
      <c r="F812" s="41"/>
      <c r="G812" s="41"/>
      <c r="H812" s="41"/>
    </row>
    <row r="813" spans="1:8" ht="12.75" customHeight="1" x14ac:dyDescent="0.2">
      <c r="A813" s="44" t="s">
        <v>1203</v>
      </c>
      <c r="B813" s="62" t="s">
        <v>1679</v>
      </c>
      <c r="C813" s="41"/>
      <c r="D813" s="48" t="b">
        <v>0</v>
      </c>
      <c r="E813" s="33" t="s">
        <v>286</v>
      </c>
      <c r="F813" s="13" t="s">
        <v>1056</v>
      </c>
      <c r="G813" s="54"/>
      <c r="H813" s="55"/>
    </row>
    <row r="814" spans="1:8" ht="12.75" customHeight="1" x14ac:dyDescent="0.2">
      <c r="A814" s="44" t="s">
        <v>1204</v>
      </c>
      <c r="B814" s="62" t="s">
        <v>1680</v>
      </c>
      <c r="C814" s="41"/>
      <c r="D814" s="48" t="b">
        <v>0</v>
      </c>
      <c r="E814" s="33" t="s">
        <v>286</v>
      </c>
      <c r="F814" s="13" t="s">
        <v>1057</v>
      </c>
      <c r="G814" s="54"/>
      <c r="H814" s="55"/>
    </row>
    <row r="815" spans="1:8" ht="12.75" customHeight="1" x14ac:dyDescent="0.2">
      <c r="A815" s="44" t="s">
        <v>1205</v>
      </c>
      <c r="B815" s="62" t="s">
        <v>1681</v>
      </c>
      <c r="C815" s="41"/>
      <c r="D815" s="48" t="b">
        <v>0</v>
      </c>
      <c r="E815" s="33" t="s">
        <v>286</v>
      </c>
      <c r="F815" s="13" t="s">
        <v>1058</v>
      </c>
      <c r="G815" s="54"/>
      <c r="H815" s="55"/>
    </row>
    <row r="816" spans="1:8" ht="12.75" customHeight="1" x14ac:dyDescent="0.2">
      <c r="A816" s="44" t="s">
        <v>1206</v>
      </c>
      <c r="B816" s="62" t="s">
        <v>1682</v>
      </c>
      <c r="C816" s="41"/>
      <c r="D816" s="48" t="b">
        <v>0</v>
      </c>
      <c r="E816" s="33" t="s">
        <v>286</v>
      </c>
      <c r="F816" s="13" t="s">
        <v>1059</v>
      </c>
      <c r="G816" s="54"/>
      <c r="H816" s="55"/>
    </row>
    <row r="817" spans="1:8" ht="12.75" customHeight="1" x14ac:dyDescent="0.2">
      <c r="A817" s="131" t="s">
        <v>1207</v>
      </c>
      <c r="B817" s="62" t="s">
        <v>1683</v>
      </c>
      <c r="C817" s="41"/>
      <c r="D817" s="48" t="b">
        <v>0</v>
      </c>
      <c r="E817" s="33" t="s">
        <v>286</v>
      </c>
      <c r="F817" s="13" t="s">
        <v>1060</v>
      </c>
      <c r="G817" s="54"/>
      <c r="H817" s="55"/>
    </row>
    <row r="818" spans="1:8" ht="12.75" customHeight="1" x14ac:dyDescent="0.2">
      <c r="A818" s="131" t="s">
        <v>1208</v>
      </c>
      <c r="B818" s="62" t="s">
        <v>1684</v>
      </c>
      <c r="C818" s="41"/>
      <c r="D818" s="48" t="b">
        <v>0</v>
      </c>
      <c r="E818" s="33" t="s">
        <v>286</v>
      </c>
      <c r="F818" s="13" t="s">
        <v>1061</v>
      </c>
      <c r="G818" s="54"/>
      <c r="H818" s="55"/>
    </row>
    <row r="819" spans="1:8" ht="12.75" customHeight="1" x14ac:dyDescent="0.2">
      <c r="A819" s="44" t="s">
        <v>1609</v>
      </c>
      <c r="B819" s="62" t="s">
        <v>1685</v>
      </c>
      <c r="C819" s="41"/>
      <c r="D819" s="48" t="b">
        <v>0</v>
      </c>
      <c r="E819" s="33" t="s">
        <v>286</v>
      </c>
      <c r="F819" s="13" t="s">
        <v>1062</v>
      </c>
      <c r="G819" s="54"/>
      <c r="H819" s="55"/>
    </row>
    <row r="820" spans="1:8" ht="12.75" customHeight="1" x14ac:dyDescent="0.2">
      <c r="A820" s="44" t="s">
        <v>1610</v>
      </c>
      <c r="B820" s="62" t="s">
        <v>1686</v>
      </c>
      <c r="C820" s="41"/>
      <c r="D820" s="48" t="b">
        <v>0</v>
      </c>
      <c r="E820" s="33" t="s">
        <v>286</v>
      </c>
      <c r="F820" s="13" t="s">
        <v>1063</v>
      </c>
      <c r="G820" s="54"/>
      <c r="H820" s="55"/>
    </row>
    <row r="821" spans="1:8" ht="12.75" customHeight="1" x14ac:dyDescent="0.2">
      <c r="A821" s="44" t="s">
        <v>1611</v>
      </c>
      <c r="B821" s="62" t="s">
        <v>1687</v>
      </c>
      <c r="C821" s="41"/>
      <c r="D821" s="48" t="b">
        <v>0</v>
      </c>
      <c r="E821" s="33" t="s">
        <v>286</v>
      </c>
      <c r="F821" s="13" t="s">
        <v>1064</v>
      </c>
      <c r="G821" s="54"/>
      <c r="H821" s="55"/>
    </row>
    <row r="822" spans="1:8" ht="12.75" customHeight="1" x14ac:dyDescent="0.2">
      <c r="A822" s="44" t="s">
        <v>1612</v>
      </c>
      <c r="B822" s="62" t="s">
        <v>1688</v>
      </c>
      <c r="C822" s="41"/>
      <c r="D822" s="48" t="b">
        <v>0</v>
      </c>
      <c r="E822" s="33" t="s">
        <v>286</v>
      </c>
      <c r="F822" s="13" t="s">
        <v>1065</v>
      </c>
      <c r="G822" s="54"/>
      <c r="H822" s="55"/>
    </row>
    <row r="823" spans="1:8" ht="12.75" customHeight="1" x14ac:dyDescent="0.2">
      <c r="A823" s="44" t="s">
        <v>1613</v>
      </c>
      <c r="B823" s="62" t="s">
        <v>1689</v>
      </c>
      <c r="C823" s="41"/>
      <c r="D823" s="48" t="b">
        <v>0</v>
      </c>
      <c r="E823" s="33" t="s">
        <v>286</v>
      </c>
      <c r="F823" s="13" t="s">
        <v>1101</v>
      </c>
      <c r="G823" s="54"/>
      <c r="H823" s="13" t="s">
        <v>1102</v>
      </c>
    </row>
    <row r="824" spans="1:8" ht="12.75" customHeight="1" x14ac:dyDescent="0.2">
      <c r="A824" s="44" t="s">
        <v>8</v>
      </c>
      <c r="B824" s="62" t="s">
        <v>1690</v>
      </c>
      <c r="C824" s="41"/>
      <c r="D824" s="48"/>
      <c r="E824" s="33" t="s">
        <v>284</v>
      </c>
      <c r="F824" s="13" t="s">
        <v>1102</v>
      </c>
      <c r="G824" s="38" t="b">
        <v>1</v>
      </c>
      <c r="H824" s="55"/>
    </row>
    <row r="825" spans="1:8" ht="12.75" customHeight="1" x14ac:dyDescent="0.2">
      <c r="A825" s="44" t="s">
        <v>236</v>
      </c>
      <c r="B825" s="62" t="s">
        <v>1691</v>
      </c>
      <c r="C825" s="41"/>
      <c r="D825" s="41"/>
      <c r="E825" s="41"/>
      <c r="F825" s="41"/>
      <c r="G825" s="41"/>
      <c r="H825" s="41"/>
    </row>
    <row r="826" spans="1:8" ht="12.75" customHeight="1" x14ac:dyDescent="0.2">
      <c r="A826" s="44" t="s">
        <v>1536</v>
      </c>
      <c r="B826" s="62" t="s">
        <v>1692</v>
      </c>
      <c r="C826" s="41"/>
      <c r="D826" s="48" t="b">
        <v>0</v>
      </c>
      <c r="E826" s="33" t="s">
        <v>286</v>
      </c>
      <c r="F826" s="13" t="s">
        <v>1066</v>
      </c>
      <c r="G826" s="54"/>
      <c r="H826" s="55"/>
    </row>
    <row r="827" spans="1:8" ht="12.75" customHeight="1" x14ac:dyDescent="0.2">
      <c r="A827" s="44" t="s">
        <v>1537</v>
      </c>
      <c r="B827" s="62" t="s">
        <v>1693</v>
      </c>
      <c r="C827" s="41"/>
      <c r="D827" s="48" t="b">
        <v>0</v>
      </c>
      <c r="E827" s="33" t="s">
        <v>286</v>
      </c>
      <c r="F827" s="13" t="s">
        <v>1067</v>
      </c>
      <c r="G827" s="54"/>
      <c r="H827" s="55"/>
    </row>
    <row r="828" spans="1:8" ht="12.75" customHeight="1" x14ac:dyDescent="0.2">
      <c r="A828" s="44" t="s">
        <v>1538</v>
      </c>
      <c r="B828" s="62" t="s">
        <v>1694</v>
      </c>
      <c r="C828" s="41"/>
      <c r="D828" s="48" t="b">
        <v>0</v>
      </c>
      <c r="E828" s="33" t="s">
        <v>286</v>
      </c>
      <c r="F828" s="13" t="s">
        <v>1068</v>
      </c>
      <c r="G828" s="54"/>
      <c r="H828" s="55"/>
    </row>
    <row r="829" spans="1:8" ht="12.75" customHeight="1" x14ac:dyDescent="0.2">
      <c r="A829" s="44" t="s">
        <v>1209</v>
      </c>
      <c r="B829" s="62" t="s">
        <v>1695</v>
      </c>
      <c r="C829" s="41"/>
      <c r="D829" s="48" t="b">
        <v>0</v>
      </c>
      <c r="E829" s="33" t="s">
        <v>286</v>
      </c>
      <c r="F829" s="13" t="s">
        <v>1069</v>
      </c>
      <c r="G829" s="54"/>
      <c r="H829" s="55"/>
    </row>
    <row r="830" spans="1:8" ht="12.75" customHeight="1" x14ac:dyDescent="0.2">
      <c r="A830" s="44" t="s">
        <v>1210</v>
      </c>
      <c r="B830" s="62" t="s">
        <v>1696</v>
      </c>
      <c r="C830" s="41"/>
      <c r="D830" s="48" t="b">
        <v>0</v>
      </c>
      <c r="E830" s="33" t="s">
        <v>286</v>
      </c>
      <c r="F830" s="13" t="s">
        <v>1070</v>
      </c>
      <c r="G830" s="54"/>
      <c r="H830" s="55"/>
    </row>
    <row r="831" spans="1:8" ht="12.75" customHeight="1" x14ac:dyDescent="0.2">
      <c r="A831" s="44" t="s">
        <v>1211</v>
      </c>
      <c r="B831" s="62" t="s">
        <v>1697</v>
      </c>
      <c r="C831" s="41"/>
      <c r="D831" s="48" t="b">
        <v>0</v>
      </c>
      <c r="E831" s="33" t="s">
        <v>286</v>
      </c>
      <c r="F831" s="13" t="s">
        <v>1071</v>
      </c>
      <c r="G831" s="54"/>
      <c r="H831" s="55"/>
    </row>
    <row r="832" spans="1:8" ht="12.75" customHeight="1" x14ac:dyDescent="0.2">
      <c r="A832" s="44" t="s">
        <v>1212</v>
      </c>
      <c r="B832" s="62" t="s">
        <v>1698</v>
      </c>
      <c r="C832" s="41"/>
      <c r="D832" s="48" t="b">
        <v>0</v>
      </c>
      <c r="E832" s="33" t="s">
        <v>286</v>
      </c>
      <c r="F832" s="13" t="s">
        <v>1103</v>
      </c>
      <c r="G832" s="54"/>
      <c r="H832" s="13" t="s">
        <v>1104</v>
      </c>
    </row>
    <row r="833" spans="1:8" ht="12.75" customHeight="1" x14ac:dyDescent="0.2">
      <c r="A833" s="44" t="s">
        <v>8</v>
      </c>
      <c r="B833" s="62" t="s">
        <v>1699</v>
      </c>
      <c r="C833" s="41"/>
      <c r="D833" s="48"/>
      <c r="E833" s="33" t="s">
        <v>284</v>
      </c>
      <c r="F833" s="13" t="s">
        <v>1104</v>
      </c>
      <c r="G833" s="38" t="b">
        <v>1</v>
      </c>
      <c r="H833" s="55"/>
    </row>
    <row r="834" spans="1:8" ht="12.75" customHeight="1" x14ac:dyDescent="0.2">
      <c r="A834" s="44" t="s">
        <v>244</v>
      </c>
      <c r="B834" s="62" t="s">
        <v>421</v>
      </c>
      <c r="C834" s="41"/>
      <c r="D834" s="41"/>
      <c r="E834" s="41"/>
      <c r="F834" s="41"/>
      <c r="G834" s="41"/>
      <c r="H834" s="41"/>
    </row>
    <row r="835" spans="1:8" ht="12.75" customHeight="1" x14ac:dyDescent="0.2">
      <c r="A835" s="44" t="s">
        <v>1213</v>
      </c>
      <c r="B835" s="62" t="s">
        <v>426</v>
      </c>
      <c r="C835" s="41"/>
      <c r="D835" s="48" t="b">
        <v>0</v>
      </c>
      <c r="E835" s="33" t="s">
        <v>286</v>
      </c>
      <c r="F835" s="13" t="s">
        <v>1072</v>
      </c>
      <c r="G835" s="54"/>
      <c r="H835" s="55"/>
    </row>
    <row r="836" spans="1:8" ht="12.75" customHeight="1" x14ac:dyDescent="0.2">
      <c r="A836" s="44" t="s">
        <v>1214</v>
      </c>
      <c r="B836" s="62" t="s">
        <v>431</v>
      </c>
      <c r="C836" s="41"/>
      <c r="D836" s="48" t="b">
        <v>0</v>
      </c>
      <c r="E836" s="33" t="s">
        <v>286</v>
      </c>
      <c r="F836" s="13" t="s">
        <v>1073</v>
      </c>
      <c r="G836" s="54"/>
      <c r="H836" s="55"/>
    </row>
    <row r="837" spans="1:8" ht="12.75" customHeight="1" x14ac:dyDescent="0.2">
      <c r="A837" s="44" t="s">
        <v>1215</v>
      </c>
      <c r="B837" s="62" t="s">
        <v>435</v>
      </c>
      <c r="C837" s="41"/>
      <c r="D837" s="48" t="b">
        <v>0</v>
      </c>
      <c r="E837" s="33" t="s">
        <v>286</v>
      </c>
      <c r="F837" s="13" t="s">
        <v>1074</v>
      </c>
      <c r="G837" s="54"/>
      <c r="H837" s="55"/>
    </row>
    <row r="838" spans="1:8" ht="12.75" customHeight="1" x14ac:dyDescent="0.2">
      <c r="A838" s="44" t="s">
        <v>1216</v>
      </c>
      <c r="B838" s="62" t="s">
        <v>439</v>
      </c>
      <c r="C838" s="41"/>
      <c r="D838" s="48" t="b">
        <v>0</v>
      </c>
      <c r="E838" s="33" t="s">
        <v>286</v>
      </c>
      <c r="F838" s="13" t="s">
        <v>1075</v>
      </c>
      <c r="G838" s="54"/>
      <c r="H838" s="55"/>
    </row>
    <row r="839" spans="1:8" ht="12.75" customHeight="1" x14ac:dyDescent="0.2">
      <c r="A839" s="44" t="s">
        <v>1217</v>
      </c>
      <c r="B839" s="62" t="s">
        <v>443</v>
      </c>
      <c r="C839" s="41"/>
      <c r="D839" s="48" t="b">
        <v>0</v>
      </c>
      <c r="E839" s="33" t="s">
        <v>286</v>
      </c>
      <c r="F839" s="13" t="s">
        <v>1076</v>
      </c>
      <c r="G839" s="54"/>
      <c r="H839" s="55"/>
    </row>
    <row r="840" spans="1:8" ht="12.75" customHeight="1" x14ac:dyDescent="0.2">
      <c r="A840" s="44" t="s">
        <v>1218</v>
      </c>
      <c r="B840" s="62" t="s">
        <v>448</v>
      </c>
      <c r="C840" s="41"/>
      <c r="D840" s="48" t="b">
        <v>0</v>
      </c>
      <c r="E840" s="33" t="s">
        <v>286</v>
      </c>
      <c r="F840" s="13" t="s">
        <v>1105</v>
      </c>
      <c r="G840" s="54"/>
      <c r="H840" s="13" t="s">
        <v>1106</v>
      </c>
    </row>
    <row r="841" spans="1:8" ht="12.75" customHeight="1" x14ac:dyDescent="0.2">
      <c r="A841" s="44" t="s">
        <v>8</v>
      </c>
      <c r="B841" s="62" t="s">
        <v>449</v>
      </c>
      <c r="C841" s="41"/>
      <c r="D841" s="48"/>
      <c r="E841" s="33" t="s">
        <v>284</v>
      </c>
      <c r="F841" s="13" t="s">
        <v>1106</v>
      </c>
      <c r="G841" s="38" t="b">
        <v>1</v>
      </c>
      <c r="H841" s="55"/>
    </row>
    <row r="842" spans="1:8" ht="12.75" customHeight="1" x14ac:dyDescent="0.2">
      <c r="A842" s="44" t="s">
        <v>251</v>
      </c>
      <c r="B842" s="62" t="s">
        <v>422</v>
      </c>
      <c r="C842" s="41"/>
      <c r="D842" s="41"/>
      <c r="E842" s="41"/>
      <c r="F842" s="41"/>
      <c r="G842" s="41"/>
      <c r="H842" s="41"/>
    </row>
    <row r="843" spans="1:8" ht="12.75" customHeight="1" x14ac:dyDescent="0.2">
      <c r="A843" s="44" t="s">
        <v>1219</v>
      </c>
      <c r="B843" s="62" t="s">
        <v>427</v>
      </c>
      <c r="C843" s="41"/>
      <c r="D843" s="48" t="b">
        <v>0</v>
      </c>
      <c r="E843" s="33" t="s">
        <v>286</v>
      </c>
      <c r="F843" s="13" t="s">
        <v>1077</v>
      </c>
      <c r="G843" s="54"/>
      <c r="H843" s="55"/>
    </row>
    <row r="844" spans="1:8" ht="12.75" customHeight="1" x14ac:dyDescent="0.2">
      <c r="A844" s="44" t="s">
        <v>1539</v>
      </c>
      <c r="B844" s="62" t="s">
        <v>432</v>
      </c>
      <c r="C844" s="41"/>
      <c r="D844" s="48" t="b">
        <v>0</v>
      </c>
      <c r="E844" s="33" t="s">
        <v>286</v>
      </c>
      <c r="F844" s="13" t="s">
        <v>1078</v>
      </c>
      <c r="G844" s="54"/>
      <c r="H844" s="55"/>
    </row>
    <row r="845" spans="1:8" ht="12.75" customHeight="1" x14ac:dyDescent="0.2">
      <c r="A845" s="44" t="s">
        <v>1220</v>
      </c>
      <c r="B845" s="62" t="s">
        <v>436</v>
      </c>
      <c r="C845" s="41"/>
      <c r="D845" s="48" t="b">
        <v>0</v>
      </c>
      <c r="E845" s="33" t="s">
        <v>286</v>
      </c>
      <c r="F845" s="13" t="s">
        <v>1079</v>
      </c>
      <c r="G845" s="54"/>
      <c r="H845" s="55"/>
    </row>
    <row r="846" spans="1:8" ht="12.75" customHeight="1" x14ac:dyDescent="0.2">
      <c r="A846" s="44" t="s">
        <v>1221</v>
      </c>
      <c r="B846" s="62" t="s">
        <v>440</v>
      </c>
      <c r="C846" s="41"/>
      <c r="D846" s="48" t="b">
        <v>0</v>
      </c>
      <c r="E846" s="33" t="s">
        <v>286</v>
      </c>
      <c r="F846" s="13" t="s">
        <v>1080</v>
      </c>
      <c r="G846" s="54"/>
      <c r="H846" s="55"/>
    </row>
    <row r="847" spans="1:8" ht="12.75" customHeight="1" x14ac:dyDescent="0.2">
      <c r="A847" s="44" t="s">
        <v>1222</v>
      </c>
      <c r="B847" s="62" t="s">
        <v>444</v>
      </c>
      <c r="C847" s="41"/>
      <c r="D847" s="48" t="b">
        <v>0</v>
      </c>
      <c r="E847" s="33" t="s">
        <v>286</v>
      </c>
      <c r="F847" s="13" t="s">
        <v>1081</v>
      </c>
      <c r="G847" s="54"/>
      <c r="H847" s="55"/>
    </row>
    <row r="848" spans="1:8" ht="12.75" customHeight="1" x14ac:dyDescent="0.2">
      <c r="A848" s="44" t="s">
        <v>1223</v>
      </c>
      <c r="B848" s="62" t="s">
        <v>450</v>
      </c>
      <c r="C848" s="41"/>
      <c r="D848" s="48" t="b">
        <v>0</v>
      </c>
      <c r="E848" s="33" t="s">
        <v>286</v>
      </c>
      <c r="F848" s="13" t="s">
        <v>1107</v>
      </c>
      <c r="G848" s="54"/>
      <c r="H848" s="13" t="s">
        <v>1108</v>
      </c>
    </row>
    <row r="849" spans="1:8" ht="12.75" customHeight="1" x14ac:dyDescent="0.2">
      <c r="A849" s="44" t="s">
        <v>8</v>
      </c>
      <c r="B849" s="62" t="s">
        <v>451</v>
      </c>
      <c r="C849" s="41"/>
      <c r="D849" s="48"/>
      <c r="E849" s="33" t="s">
        <v>284</v>
      </c>
      <c r="F849" s="13" t="s">
        <v>1108</v>
      </c>
      <c r="G849" s="38" t="b">
        <v>1</v>
      </c>
      <c r="H849" s="55"/>
    </row>
    <row r="850" spans="1:8" ht="12.75" customHeight="1" x14ac:dyDescent="0.2">
      <c r="A850" s="44" t="s">
        <v>336</v>
      </c>
      <c r="B850" s="62" t="s">
        <v>480</v>
      </c>
      <c r="C850" s="41"/>
      <c r="D850" s="41"/>
      <c r="E850" s="41"/>
      <c r="F850" s="41"/>
      <c r="G850" s="41"/>
      <c r="H850" s="41"/>
    </row>
    <row r="851" spans="1:8" ht="12.75" customHeight="1" x14ac:dyDescent="0.2">
      <c r="D851" s="13"/>
      <c r="E851" s="13"/>
    </row>
    <row r="852" spans="1:8" ht="12.75" customHeight="1" x14ac:dyDescent="0.2">
      <c r="D852" s="13"/>
      <c r="E852" s="13"/>
    </row>
    <row r="853" spans="1:8" ht="12.75" customHeight="1" x14ac:dyDescent="0.2">
      <c r="D853" s="13"/>
      <c r="E853" s="13"/>
    </row>
    <row r="854" spans="1:8" ht="12.75" customHeight="1" x14ac:dyDescent="0.2">
      <c r="D854" s="13"/>
      <c r="E854" s="13"/>
    </row>
    <row r="855" spans="1:8" ht="12.75" customHeight="1" x14ac:dyDescent="0.2">
      <c r="D855" s="13"/>
      <c r="E855" s="13"/>
    </row>
    <row r="856" spans="1:8" ht="12.75" customHeight="1" x14ac:dyDescent="0.2">
      <c r="D856" s="45"/>
    </row>
    <row r="857" spans="1:8" ht="12.75" customHeight="1" x14ac:dyDescent="0.2">
      <c r="D857" s="45"/>
    </row>
    <row r="858" spans="1:8" ht="12.75" customHeight="1" x14ac:dyDescent="0.2">
      <c r="D858" s="45"/>
    </row>
    <row r="859" spans="1:8" ht="12.75" customHeight="1" x14ac:dyDescent="0.2">
      <c r="D859" s="45"/>
    </row>
    <row r="860" spans="1:8" ht="12.75" customHeight="1" x14ac:dyDescent="0.2">
      <c r="D860" s="45"/>
    </row>
    <row r="861" spans="1:8" ht="12.75" customHeight="1" x14ac:dyDescent="0.2">
      <c r="D861" s="45"/>
    </row>
    <row r="862" spans="1:8" ht="12.75" customHeight="1" x14ac:dyDescent="0.2">
      <c r="D862" s="45"/>
    </row>
    <row r="863" spans="1:8" ht="12.75" customHeight="1" x14ac:dyDescent="0.2">
      <c r="D863" s="45"/>
    </row>
    <row r="864" spans="1:8" ht="12.75" customHeight="1" x14ac:dyDescent="0.2">
      <c r="D864" s="45"/>
    </row>
    <row r="865" spans="4:4" ht="12.75" customHeight="1" x14ac:dyDescent="0.2">
      <c r="D865" s="45"/>
    </row>
    <row r="866" spans="4:4" ht="12.75" customHeight="1" x14ac:dyDescent="0.2">
      <c r="D866" s="45"/>
    </row>
    <row r="867" spans="4:4" ht="12.75" customHeight="1" x14ac:dyDescent="0.2">
      <c r="D867" s="45"/>
    </row>
    <row r="868" spans="4:4" ht="12.75" customHeight="1" x14ac:dyDescent="0.2">
      <c r="D868" s="45"/>
    </row>
    <row r="869" spans="4:4" ht="12.75" customHeight="1" x14ac:dyDescent="0.2">
      <c r="D869" s="45"/>
    </row>
    <row r="870" spans="4:4" ht="12.75" customHeight="1" x14ac:dyDescent="0.2">
      <c r="D870" s="45"/>
    </row>
    <row r="871" spans="4:4" ht="12.75" customHeight="1" x14ac:dyDescent="0.2">
      <c r="D871" s="45"/>
    </row>
    <row r="872" spans="4:4" ht="12.75" customHeight="1" x14ac:dyDescent="0.2">
      <c r="D872" s="45"/>
    </row>
    <row r="873" spans="4:4" ht="12.75" customHeight="1" x14ac:dyDescent="0.2">
      <c r="D873" s="45"/>
    </row>
    <row r="874" spans="4:4" ht="12.75" customHeight="1" x14ac:dyDescent="0.2">
      <c r="D874" s="45"/>
    </row>
    <row r="875" spans="4:4" ht="12.75" customHeight="1" x14ac:dyDescent="0.2">
      <c r="D875" s="45"/>
    </row>
    <row r="876" spans="4:4" ht="12.75" customHeight="1" x14ac:dyDescent="0.2">
      <c r="D876" s="45"/>
    </row>
    <row r="877" spans="4:4" ht="12.75" customHeight="1" x14ac:dyDescent="0.2">
      <c r="D877" s="45"/>
    </row>
    <row r="878" spans="4:4" ht="12.75" customHeight="1" x14ac:dyDescent="0.2">
      <c r="D878" s="45"/>
    </row>
    <row r="879" spans="4:4" ht="12.75" customHeight="1" x14ac:dyDescent="0.2">
      <c r="D879" s="45"/>
    </row>
    <row r="880" spans="4:4" ht="12.75" customHeight="1" x14ac:dyDescent="0.2">
      <c r="D880" s="45"/>
    </row>
    <row r="881" spans="4:4" ht="12.75" customHeight="1" x14ac:dyDescent="0.2">
      <c r="D881" s="45"/>
    </row>
    <row r="882" spans="4:4" ht="12.75" customHeight="1" x14ac:dyDescent="0.2">
      <c r="D882" s="45"/>
    </row>
    <row r="883" spans="4:4" ht="12.75" customHeight="1" x14ac:dyDescent="0.2">
      <c r="D883" s="45"/>
    </row>
    <row r="884" spans="4:4" ht="12.75" customHeight="1" x14ac:dyDescent="0.2">
      <c r="D884" s="45"/>
    </row>
    <row r="885" spans="4:4" ht="12.75" customHeight="1" x14ac:dyDescent="0.2">
      <c r="D885" s="45"/>
    </row>
    <row r="886" spans="4:4" ht="12.75" customHeight="1" x14ac:dyDescent="0.2">
      <c r="D886" s="45"/>
    </row>
    <row r="887" spans="4:4" ht="12.75" customHeight="1" x14ac:dyDescent="0.2">
      <c r="D887" s="45"/>
    </row>
    <row r="888" spans="4:4" ht="12.75" customHeight="1" x14ac:dyDescent="0.2">
      <c r="D888" s="45"/>
    </row>
    <row r="889" spans="4:4" ht="12.75" customHeight="1" x14ac:dyDescent="0.2">
      <c r="D889" s="45"/>
    </row>
    <row r="890" spans="4:4" ht="12.75" customHeight="1" x14ac:dyDescent="0.2">
      <c r="D890" s="45"/>
    </row>
    <row r="891" spans="4:4" ht="12.75" customHeight="1" x14ac:dyDescent="0.2">
      <c r="D891" s="45"/>
    </row>
    <row r="892" spans="4:4" ht="12.75" customHeight="1" x14ac:dyDescent="0.2">
      <c r="D892" s="45"/>
    </row>
    <row r="893" spans="4:4" ht="12.75" customHeight="1" x14ac:dyDescent="0.2">
      <c r="D893" s="45"/>
    </row>
    <row r="894" spans="4:4" ht="12.75" customHeight="1" x14ac:dyDescent="0.2">
      <c r="D894" s="45"/>
    </row>
    <row r="895" spans="4:4" ht="12.75" customHeight="1" x14ac:dyDescent="0.2">
      <c r="D895" s="45"/>
    </row>
    <row r="896" spans="4:4" ht="12.75" customHeight="1" x14ac:dyDescent="0.2">
      <c r="D896" s="45"/>
    </row>
    <row r="897" spans="4:4" ht="12.75" customHeight="1" x14ac:dyDescent="0.2">
      <c r="D897" s="45"/>
    </row>
    <row r="898" spans="4:4" ht="12.75" customHeight="1" x14ac:dyDescent="0.2">
      <c r="D898" s="45"/>
    </row>
    <row r="899" spans="4:4" ht="12.75" customHeight="1" x14ac:dyDescent="0.2">
      <c r="D899" s="45"/>
    </row>
    <row r="900" spans="4:4" ht="12.75" customHeight="1" x14ac:dyDescent="0.2">
      <c r="D900" s="45"/>
    </row>
    <row r="901" spans="4:4" ht="12.75" customHeight="1" x14ac:dyDescent="0.2">
      <c r="D901" s="45"/>
    </row>
    <row r="902" spans="4:4" ht="12.75" customHeight="1" x14ac:dyDescent="0.2">
      <c r="D902" s="45"/>
    </row>
    <row r="903" spans="4:4" ht="12.75" customHeight="1" x14ac:dyDescent="0.2">
      <c r="D903" s="45"/>
    </row>
    <row r="904" spans="4:4" ht="12.75" customHeight="1" x14ac:dyDescent="0.2">
      <c r="D904" s="45"/>
    </row>
    <row r="905" spans="4:4" ht="12.75" customHeight="1" x14ac:dyDescent="0.2">
      <c r="D905" s="45"/>
    </row>
    <row r="906" spans="4:4" ht="12.75" customHeight="1" x14ac:dyDescent="0.2">
      <c r="D906" s="45"/>
    </row>
    <row r="907" spans="4:4" ht="12.75" customHeight="1" x14ac:dyDescent="0.2">
      <c r="D907" s="45"/>
    </row>
    <row r="908" spans="4:4" ht="12.75" customHeight="1" x14ac:dyDescent="0.2">
      <c r="D908" s="45"/>
    </row>
    <row r="909" spans="4:4" ht="12.75" customHeight="1" x14ac:dyDescent="0.2">
      <c r="D909" s="45"/>
    </row>
    <row r="910" spans="4:4" ht="12.75" customHeight="1" x14ac:dyDescent="0.2">
      <c r="D910" s="45"/>
    </row>
    <row r="911" spans="4:4" ht="12.75" customHeight="1" x14ac:dyDescent="0.2">
      <c r="D911" s="45"/>
    </row>
    <row r="912" spans="4:4" ht="12.75" customHeight="1" x14ac:dyDescent="0.2">
      <c r="D912" s="45"/>
    </row>
    <row r="913" spans="4:4" ht="12.75" customHeight="1" x14ac:dyDescent="0.2">
      <c r="D913" s="45"/>
    </row>
    <row r="914" spans="4:4" ht="12.75" customHeight="1" x14ac:dyDescent="0.2">
      <c r="D914" s="45"/>
    </row>
    <row r="915" spans="4:4" ht="12.75" customHeight="1" x14ac:dyDescent="0.2">
      <c r="D915" s="45"/>
    </row>
    <row r="916" spans="4:4" ht="12.75" customHeight="1" x14ac:dyDescent="0.2">
      <c r="D916" s="45"/>
    </row>
    <row r="917" spans="4:4" ht="12.75" customHeight="1" x14ac:dyDescent="0.2">
      <c r="D917" s="45"/>
    </row>
    <row r="918" spans="4:4" ht="12.75" customHeight="1" x14ac:dyDescent="0.2">
      <c r="D918" s="45"/>
    </row>
    <row r="919" spans="4:4" ht="12.75" customHeight="1" x14ac:dyDescent="0.2">
      <c r="D919" s="45"/>
    </row>
    <row r="920" spans="4:4" ht="12.75" customHeight="1" x14ac:dyDescent="0.2">
      <c r="D920" s="45"/>
    </row>
    <row r="921" spans="4:4" ht="12.75" customHeight="1" x14ac:dyDescent="0.2">
      <c r="D921" s="45"/>
    </row>
    <row r="922" spans="4:4" ht="12.75" customHeight="1" x14ac:dyDescent="0.2">
      <c r="D922" s="45"/>
    </row>
    <row r="923" spans="4:4" ht="12.75" customHeight="1" x14ac:dyDescent="0.2">
      <c r="D923" s="45"/>
    </row>
    <row r="924" spans="4:4" ht="12.75" customHeight="1" x14ac:dyDescent="0.2">
      <c r="D924" s="45"/>
    </row>
    <row r="925" spans="4:4" ht="12.75" customHeight="1" x14ac:dyDescent="0.2">
      <c r="D925" s="45"/>
    </row>
    <row r="926" spans="4:4" ht="12.75" customHeight="1" x14ac:dyDescent="0.2">
      <c r="D926" s="45"/>
    </row>
    <row r="927" spans="4:4" ht="12.75" customHeight="1" x14ac:dyDescent="0.2">
      <c r="D927" s="45"/>
    </row>
    <row r="928" spans="4:4" ht="12.75" customHeight="1" x14ac:dyDescent="0.2">
      <c r="D928" s="45"/>
    </row>
    <row r="929" spans="4:4" ht="12.75" customHeight="1" x14ac:dyDescent="0.2">
      <c r="D929" s="45"/>
    </row>
    <row r="930" spans="4:4" ht="12.75" customHeight="1" x14ac:dyDescent="0.2">
      <c r="D930" s="45"/>
    </row>
    <row r="931" spans="4:4" ht="12.75" customHeight="1" x14ac:dyDescent="0.2">
      <c r="D931" s="45"/>
    </row>
    <row r="932" spans="4:4" ht="12.75" customHeight="1" x14ac:dyDescent="0.2">
      <c r="D932" s="45"/>
    </row>
    <row r="933" spans="4:4" ht="12.75" customHeight="1" x14ac:dyDescent="0.2">
      <c r="D933" s="45"/>
    </row>
    <row r="934" spans="4:4" ht="12.75" customHeight="1" x14ac:dyDescent="0.2">
      <c r="D934" s="45"/>
    </row>
    <row r="935" spans="4:4" ht="12.75" customHeight="1" x14ac:dyDescent="0.2">
      <c r="D935" s="45"/>
    </row>
    <row r="936" spans="4:4" ht="12.75" customHeight="1" x14ac:dyDescent="0.2">
      <c r="D936" s="45"/>
    </row>
    <row r="937" spans="4:4" ht="12.75" customHeight="1" x14ac:dyDescent="0.2">
      <c r="D937" s="45"/>
    </row>
    <row r="938" spans="4:4" ht="12.75" customHeight="1" x14ac:dyDescent="0.2">
      <c r="D938" s="45"/>
    </row>
    <row r="939" spans="4:4" ht="12.75" customHeight="1" x14ac:dyDescent="0.2">
      <c r="D939" s="45"/>
    </row>
    <row r="940" spans="4:4" ht="12.75" customHeight="1" x14ac:dyDescent="0.2">
      <c r="D940" s="45"/>
    </row>
    <row r="941" spans="4:4" ht="12.75" customHeight="1" x14ac:dyDescent="0.2">
      <c r="D941" s="45"/>
    </row>
    <row r="942" spans="4:4" ht="12.75" customHeight="1" x14ac:dyDescent="0.2">
      <c r="D942" s="45"/>
    </row>
    <row r="943" spans="4:4" ht="12.75" customHeight="1" x14ac:dyDescent="0.2">
      <c r="D943" s="45"/>
    </row>
    <row r="944" spans="4:4" ht="12.75" customHeight="1" x14ac:dyDescent="0.2">
      <c r="D944" s="45"/>
    </row>
    <row r="945" spans="4:4" ht="12.75" customHeight="1" x14ac:dyDescent="0.2">
      <c r="D945" s="45"/>
    </row>
    <row r="946" spans="4:4" ht="12.75" customHeight="1" x14ac:dyDescent="0.2">
      <c r="D946" s="45"/>
    </row>
    <row r="947" spans="4:4" ht="12.75" customHeight="1" x14ac:dyDescent="0.2">
      <c r="D947" s="45"/>
    </row>
    <row r="948" spans="4:4" ht="12.75" customHeight="1" x14ac:dyDescent="0.2">
      <c r="D948" s="45"/>
    </row>
    <row r="949" spans="4:4" ht="12.75" customHeight="1" x14ac:dyDescent="0.2">
      <c r="D949" s="45"/>
    </row>
    <row r="950" spans="4:4" ht="12.75" customHeight="1" x14ac:dyDescent="0.2">
      <c r="D950" s="45"/>
    </row>
    <row r="951" spans="4:4" ht="12.75" customHeight="1" x14ac:dyDescent="0.2">
      <c r="D951" s="45"/>
    </row>
    <row r="952" spans="4:4" ht="12.75" customHeight="1" x14ac:dyDescent="0.2">
      <c r="D952" s="45"/>
    </row>
    <row r="953" spans="4:4" ht="12.75" customHeight="1" x14ac:dyDescent="0.2">
      <c r="D953" s="45"/>
    </row>
    <row r="954" spans="4:4" ht="12.75" customHeight="1" x14ac:dyDescent="0.2">
      <c r="D954" s="45"/>
    </row>
    <row r="955" spans="4:4" ht="12.75" customHeight="1" x14ac:dyDescent="0.2">
      <c r="D955" s="45"/>
    </row>
    <row r="956" spans="4:4" ht="12.75" customHeight="1" x14ac:dyDescent="0.2">
      <c r="D956" s="45"/>
    </row>
    <row r="957" spans="4:4" ht="12.75" customHeight="1" x14ac:dyDescent="0.2">
      <c r="D957" s="45"/>
    </row>
    <row r="958" spans="4:4" ht="12.75" customHeight="1" x14ac:dyDescent="0.2">
      <c r="D958" s="45"/>
    </row>
    <row r="959" spans="4:4" ht="12.75" customHeight="1" x14ac:dyDescent="0.2">
      <c r="D959" s="45"/>
    </row>
    <row r="960" spans="4:4" ht="12.75" customHeight="1" x14ac:dyDescent="0.2">
      <c r="D960" s="45"/>
    </row>
    <row r="961" spans="4:4" ht="12.75" customHeight="1" x14ac:dyDescent="0.2">
      <c r="D961" s="45"/>
    </row>
    <row r="962" spans="4:4" ht="12.75" customHeight="1" x14ac:dyDescent="0.2">
      <c r="D962" s="45"/>
    </row>
    <row r="963" spans="4:4" ht="12.75" customHeight="1" x14ac:dyDescent="0.2">
      <c r="D963" s="45"/>
    </row>
    <row r="964" spans="4:4" ht="12.75" customHeight="1" x14ac:dyDescent="0.2">
      <c r="D964" s="45"/>
    </row>
    <row r="965" spans="4:4" ht="12.75" customHeight="1" x14ac:dyDescent="0.2">
      <c r="D965" s="45"/>
    </row>
    <row r="966" spans="4:4" ht="12.75" customHeight="1" x14ac:dyDescent="0.2">
      <c r="D966" s="45"/>
    </row>
    <row r="967" spans="4:4" ht="12.75" customHeight="1" x14ac:dyDescent="0.2">
      <c r="D967" s="45"/>
    </row>
    <row r="968" spans="4:4" ht="12.75" customHeight="1" x14ac:dyDescent="0.2">
      <c r="D968" s="45"/>
    </row>
    <row r="969" spans="4:4" ht="12.75" customHeight="1" x14ac:dyDescent="0.2">
      <c r="D969" s="45"/>
    </row>
    <row r="970" spans="4:4" ht="12.75" customHeight="1" x14ac:dyDescent="0.2">
      <c r="D970" s="45"/>
    </row>
    <row r="971" spans="4:4" ht="12.75" customHeight="1" x14ac:dyDescent="0.2">
      <c r="D971" s="45"/>
    </row>
    <row r="972" spans="4:4" ht="12.75" customHeight="1" x14ac:dyDescent="0.2">
      <c r="D972" s="45"/>
    </row>
    <row r="973" spans="4:4" ht="12.75" customHeight="1" x14ac:dyDescent="0.2">
      <c r="D973" s="45"/>
    </row>
    <row r="974" spans="4:4" ht="12.75" customHeight="1" x14ac:dyDescent="0.2">
      <c r="D974" s="45"/>
    </row>
    <row r="975" spans="4:4" ht="12.75" customHeight="1" x14ac:dyDescent="0.2">
      <c r="D975" s="45"/>
    </row>
    <row r="976" spans="4:4" ht="12.75" customHeight="1" x14ac:dyDescent="0.2">
      <c r="D976" s="45"/>
    </row>
    <row r="977" spans="4:4" ht="12.75" customHeight="1" x14ac:dyDescent="0.2">
      <c r="D977" s="45"/>
    </row>
    <row r="978" spans="4:4" ht="12.75" customHeight="1" x14ac:dyDescent="0.2">
      <c r="D978" s="45"/>
    </row>
    <row r="979" spans="4:4" ht="12.75" customHeight="1" x14ac:dyDescent="0.2">
      <c r="D979" s="45"/>
    </row>
    <row r="980" spans="4:4" ht="12.75" customHeight="1" x14ac:dyDescent="0.2">
      <c r="D980" s="45"/>
    </row>
    <row r="981" spans="4:4" ht="12.75" customHeight="1" x14ac:dyDescent="0.2">
      <c r="D981" s="45"/>
    </row>
    <row r="982" spans="4:4" ht="12.75" customHeight="1" x14ac:dyDescent="0.2">
      <c r="D982" s="45"/>
    </row>
    <row r="983" spans="4:4" ht="12.75" customHeight="1" x14ac:dyDescent="0.2">
      <c r="D983" s="45"/>
    </row>
    <row r="984" spans="4:4" ht="12.75" customHeight="1" x14ac:dyDescent="0.2">
      <c r="D984" s="45"/>
    </row>
    <row r="985" spans="4:4" ht="12.75" customHeight="1" x14ac:dyDescent="0.2">
      <c r="D985" s="45"/>
    </row>
    <row r="986" spans="4:4" ht="12.75" customHeight="1" x14ac:dyDescent="0.2">
      <c r="D986" s="45"/>
    </row>
    <row r="987" spans="4:4" ht="12.75" customHeight="1" x14ac:dyDescent="0.2">
      <c r="D987" s="45"/>
    </row>
    <row r="988" spans="4:4" ht="12.75" customHeight="1" x14ac:dyDescent="0.2">
      <c r="D988" s="45"/>
    </row>
    <row r="989" spans="4:4" ht="12.75" customHeight="1" x14ac:dyDescent="0.2">
      <c r="D989" s="45"/>
    </row>
    <row r="990" spans="4:4" ht="12.75" customHeight="1" x14ac:dyDescent="0.2">
      <c r="D990" s="45"/>
    </row>
    <row r="991" spans="4:4" ht="12.75" customHeight="1" x14ac:dyDescent="0.2">
      <c r="D991" s="45"/>
    </row>
    <row r="992" spans="4:4" ht="12.75" customHeight="1" x14ac:dyDescent="0.2">
      <c r="D992" s="45"/>
    </row>
    <row r="993" spans="4:4" ht="12.75" customHeight="1" x14ac:dyDescent="0.2">
      <c r="D993" s="45"/>
    </row>
    <row r="994" spans="4:4" ht="12.75" customHeight="1" x14ac:dyDescent="0.2">
      <c r="D994" s="45"/>
    </row>
    <row r="995" spans="4:4" ht="12.75" customHeight="1" x14ac:dyDescent="0.2">
      <c r="D995" s="45"/>
    </row>
    <row r="996" spans="4:4" ht="12.75" customHeight="1" x14ac:dyDescent="0.2">
      <c r="D996" s="45"/>
    </row>
    <row r="997" spans="4:4" ht="12.75" customHeight="1" x14ac:dyDescent="0.2">
      <c r="D997" s="45"/>
    </row>
    <row r="998" spans="4:4" ht="12.75" customHeight="1" x14ac:dyDescent="0.2">
      <c r="D998" s="45"/>
    </row>
    <row r="999" spans="4:4" ht="12.75" customHeight="1" x14ac:dyDescent="0.2">
      <c r="D999" s="45"/>
    </row>
    <row r="1000" spans="4:4" ht="12.75" customHeight="1" x14ac:dyDescent="0.2">
      <c r="D1000" s="45"/>
    </row>
    <row r="1001" spans="4:4" ht="12.75" customHeight="1" x14ac:dyDescent="0.2">
      <c r="D1001" s="45"/>
    </row>
    <row r="1002" spans="4:4" ht="12.75" customHeight="1" x14ac:dyDescent="0.2">
      <c r="D1002" s="45"/>
    </row>
    <row r="1003" spans="4:4" ht="12.75" customHeight="1" x14ac:dyDescent="0.2">
      <c r="D1003" s="45"/>
    </row>
    <row r="1004" spans="4:4" ht="12.75" customHeight="1" x14ac:dyDescent="0.2">
      <c r="D1004" s="45"/>
    </row>
    <row r="1005" spans="4:4" ht="12.75" customHeight="1" x14ac:dyDescent="0.2">
      <c r="D1005" s="45"/>
    </row>
    <row r="1006" spans="4:4" ht="12.75" customHeight="1" x14ac:dyDescent="0.2">
      <c r="D1006" s="45"/>
    </row>
    <row r="1007" spans="4:4" ht="12.75" customHeight="1" x14ac:dyDescent="0.2">
      <c r="D1007" s="45"/>
    </row>
    <row r="1008" spans="4:4" ht="12.75" customHeight="1" x14ac:dyDescent="0.2">
      <c r="D1008" s="45"/>
    </row>
    <row r="1009" spans="4:4" ht="12.75" customHeight="1" x14ac:dyDescent="0.2">
      <c r="D1009" s="45"/>
    </row>
    <row r="1010" spans="4:4" ht="12.75" customHeight="1" x14ac:dyDescent="0.2">
      <c r="D1010" s="45"/>
    </row>
    <row r="1011" spans="4:4" ht="12.75" customHeight="1" x14ac:dyDescent="0.2">
      <c r="D1011" s="45"/>
    </row>
    <row r="1012" spans="4:4" ht="12.75" customHeight="1" x14ac:dyDescent="0.2">
      <c r="D1012" s="45"/>
    </row>
    <row r="1013" spans="4:4" ht="12.75" customHeight="1" x14ac:dyDescent="0.2">
      <c r="D1013" s="45"/>
    </row>
    <row r="1014" spans="4:4" ht="12.75" customHeight="1" x14ac:dyDescent="0.2">
      <c r="D1014" s="45"/>
    </row>
    <row r="1015" spans="4:4" ht="12.75" customHeight="1" x14ac:dyDescent="0.2">
      <c r="D1015" s="45"/>
    </row>
    <row r="1016" spans="4:4" ht="12.75" customHeight="1" x14ac:dyDescent="0.2">
      <c r="D1016" s="45"/>
    </row>
    <row r="1017" spans="4:4" ht="12.75" customHeight="1" x14ac:dyDescent="0.2">
      <c r="D1017" s="45"/>
    </row>
    <row r="1018" spans="4:4" ht="12.75" customHeight="1" x14ac:dyDescent="0.2">
      <c r="D1018" s="45"/>
    </row>
    <row r="1019" spans="4:4" ht="12.75" customHeight="1" x14ac:dyDescent="0.2">
      <c r="D1019" s="45"/>
    </row>
    <row r="1020" spans="4:4" ht="12.75" customHeight="1" x14ac:dyDescent="0.2">
      <c r="D1020" s="45"/>
    </row>
    <row r="1021" spans="4:4" ht="12.75" customHeight="1" x14ac:dyDescent="0.2">
      <c r="D1021" s="45"/>
    </row>
    <row r="1022" spans="4:4" ht="12.75" customHeight="1" x14ac:dyDescent="0.2">
      <c r="D1022" s="45"/>
    </row>
    <row r="1023" spans="4:4" ht="12.75" customHeight="1" x14ac:dyDescent="0.2">
      <c r="D1023" s="45"/>
    </row>
    <row r="1024" spans="4:4" ht="12.75" customHeight="1" x14ac:dyDescent="0.2">
      <c r="D1024" s="45"/>
    </row>
    <row r="1025" spans="4:4" ht="12.75" customHeight="1" x14ac:dyDescent="0.2">
      <c r="D1025" s="45"/>
    </row>
    <row r="1026" spans="4:4" ht="12.75" customHeight="1" x14ac:dyDescent="0.2">
      <c r="D1026" s="45"/>
    </row>
    <row r="1027" spans="4:4" ht="12.75" customHeight="1" x14ac:dyDescent="0.2">
      <c r="D1027" s="45"/>
    </row>
    <row r="1028" spans="4:4" ht="12.75" customHeight="1" x14ac:dyDescent="0.2">
      <c r="D1028" s="45"/>
    </row>
    <row r="1029" spans="4:4" ht="12.75" customHeight="1" x14ac:dyDescent="0.2">
      <c r="D1029" s="45"/>
    </row>
    <row r="1030" spans="4:4" ht="12.75" customHeight="1" x14ac:dyDescent="0.2">
      <c r="D1030" s="45"/>
    </row>
    <row r="1031" spans="4:4" ht="12.75" customHeight="1" x14ac:dyDescent="0.2">
      <c r="D1031" s="45"/>
    </row>
    <row r="1032" spans="4:4" ht="12.75" customHeight="1" x14ac:dyDescent="0.2">
      <c r="D1032" s="45"/>
    </row>
    <row r="1033" spans="4:4" ht="12.75" customHeight="1" x14ac:dyDescent="0.2">
      <c r="D1033" s="45"/>
    </row>
    <row r="1034" spans="4:4" ht="12.75" customHeight="1" x14ac:dyDescent="0.2">
      <c r="D1034" s="45"/>
    </row>
    <row r="1035" spans="4:4" ht="12.75" customHeight="1" x14ac:dyDescent="0.2">
      <c r="D1035" s="45"/>
    </row>
    <row r="1036" spans="4:4" ht="12.75" customHeight="1" x14ac:dyDescent="0.2">
      <c r="D1036" s="45"/>
    </row>
    <row r="1037" spans="4:4" ht="12.75" customHeight="1" x14ac:dyDescent="0.2">
      <c r="D1037" s="45"/>
    </row>
    <row r="1038" spans="4:4" ht="12.75" customHeight="1" x14ac:dyDescent="0.2">
      <c r="D1038" s="45"/>
    </row>
    <row r="1039" spans="4:4" ht="12.75" customHeight="1" x14ac:dyDescent="0.2">
      <c r="D1039" s="45"/>
    </row>
    <row r="1040" spans="4:4" ht="12.75" customHeight="1" x14ac:dyDescent="0.2">
      <c r="D1040" s="45"/>
    </row>
    <row r="1041" spans="4:4" ht="12.75" customHeight="1" x14ac:dyDescent="0.2">
      <c r="D1041" s="45"/>
    </row>
    <row r="1042" spans="4:4" ht="12.75" customHeight="1" x14ac:dyDescent="0.2">
      <c r="D1042" s="45"/>
    </row>
    <row r="1043" spans="4:4" ht="12.75" customHeight="1" x14ac:dyDescent="0.2">
      <c r="D1043" s="45"/>
    </row>
    <row r="1044" spans="4:4" ht="12.75" customHeight="1" x14ac:dyDescent="0.2">
      <c r="D1044" s="45"/>
    </row>
    <row r="1045" spans="4:4" ht="12.75" customHeight="1" x14ac:dyDescent="0.2">
      <c r="D1045" s="45"/>
    </row>
    <row r="1046" spans="4:4" ht="12.75" customHeight="1" x14ac:dyDescent="0.2">
      <c r="D1046" s="45"/>
    </row>
    <row r="1047" spans="4:4" ht="12.75" customHeight="1" x14ac:dyDescent="0.2">
      <c r="D1047" s="45"/>
    </row>
    <row r="1048" spans="4:4" ht="12.75" customHeight="1" x14ac:dyDescent="0.2">
      <c r="D1048" s="45"/>
    </row>
    <row r="1049" spans="4:4" ht="12.75" customHeight="1" x14ac:dyDescent="0.2">
      <c r="D1049" s="45"/>
    </row>
    <row r="1050" spans="4:4" ht="12.75" customHeight="1" x14ac:dyDescent="0.2">
      <c r="D1050" s="45"/>
    </row>
    <row r="1051" spans="4:4" ht="12.75" customHeight="1" x14ac:dyDescent="0.2">
      <c r="D1051" s="45"/>
    </row>
    <row r="1052" spans="4:4" ht="12.75" customHeight="1" x14ac:dyDescent="0.2">
      <c r="D1052" s="45"/>
    </row>
    <row r="1053" spans="4:4" ht="12.75" customHeight="1" x14ac:dyDescent="0.2">
      <c r="D1053" s="45"/>
    </row>
    <row r="1054" spans="4:4" ht="12.75" customHeight="1" x14ac:dyDescent="0.2">
      <c r="D1054" s="45"/>
    </row>
    <row r="1055" spans="4:4" ht="12.75" customHeight="1" x14ac:dyDescent="0.2">
      <c r="D1055" s="45"/>
    </row>
    <row r="1056" spans="4:4" ht="12.75" customHeight="1" x14ac:dyDescent="0.2">
      <c r="D1056" s="45"/>
    </row>
    <row r="1057" spans="4:4" ht="12.75" customHeight="1" x14ac:dyDescent="0.2">
      <c r="D1057" s="45"/>
    </row>
    <row r="1058" spans="4:4" ht="12.75" customHeight="1" x14ac:dyDescent="0.2">
      <c r="D1058" s="45"/>
    </row>
    <row r="1059" spans="4:4" ht="12.75" customHeight="1" x14ac:dyDescent="0.2">
      <c r="D1059" s="45"/>
    </row>
    <row r="1060" spans="4:4" ht="12.75" customHeight="1" x14ac:dyDescent="0.2">
      <c r="D1060" s="45"/>
    </row>
    <row r="1061" spans="4:4" ht="12.75" customHeight="1" x14ac:dyDescent="0.2">
      <c r="D1061" s="45"/>
    </row>
    <row r="1062" spans="4:4" ht="12.75" customHeight="1" x14ac:dyDescent="0.2">
      <c r="D1062" s="45"/>
    </row>
    <row r="1063" spans="4:4" ht="12.75" customHeight="1" x14ac:dyDescent="0.2">
      <c r="D1063" s="45"/>
    </row>
    <row r="1064" spans="4:4" ht="12.75" customHeight="1" x14ac:dyDescent="0.2">
      <c r="D1064" s="45"/>
    </row>
    <row r="1065" spans="4:4" ht="12.75" customHeight="1" x14ac:dyDescent="0.2">
      <c r="D1065" s="45"/>
    </row>
    <row r="1066" spans="4:4" ht="12.75" customHeight="1" x14ac:dyDescent="0.2">
      <c r="D1066" s="45"/>
    </row>
    <row r="1067" spans="4:4" ht="12.75" customHeight="1" x14ac:dyDescent="0.2">
      <c r="D1067" s="45"/>
    </row>
    <row r="1068" spans="4:4" ht="12.75" customHeight="1" x14ac:dyDescent="0.2">
      <c r="D1068" s="45"/>
    </row>
    <row r="1069" spans="4:4" ht="12.75" customHeight="1" x14ac:dyDescent="0.2">
      <c r="D1069" s="45"/>
    </row>
    <row r="1070" spans="4:4" ht="12.75" customHeight="1" x14ac:dyDescent="0.2">
      <c r="D1070" s="45"/>
    </row>
    <row r="1071" spans="4:4" ht="12.75" customHeight="1" x14ac:dyDescent="0.2">
      <c r="D1071" s="45"/>
    </row>
    <row r="1072" spans="4:4" ht="12.75" customHeight="1" x14ac:dyDescent="0.2">
      <c r="D1072" s="45"/>
    </row>
    <row r="1073" spans="4:4" ht="12.75" customHeight="1" x14ac:dyDescent="0.2">
      <c r="D1073" s="45"/>
    </row>
    <row r="1074" spans="4:4" ht="12.75" customHeight="1" x14ac:dyDescent="0.2">
      <c r="D1074" s="45"/>
    </row>
    <row r="1075" spans="4:4" ht="12.75" customHeight="1" x14ac:dyDescent="0.2">
      <c r="D1075" s="45"/>
    </row>
    <row r="1076" spans="4:4" ht="12.75" customHeight="1" x14ac:dyDescent="0.2">
      <c r="D1076" s="45"/>
    </row>
    <row r="1077" spans="4:4" ht="12.75" customHeight="1" x14ac:dyDescent="0.2">
      <c r="D1077" s="45"/>
    </row>
    <row r="1078" spans="4:4" ht="12.75" customHeight="1" x14ac:dyDescent="0.2">
      <c r="D1078" s="45"/>
    </row>
    <row r="1079" spans="4:4" ht="12.75" customHeight="1" x14ac:dyDescent="0.2">
      <c r="D1079" s="45"/>
    </row>
    <row r="1080" spans="4:4" ht="12.75" customHeight="1" x14ac:dyDescent="0.2">
      <c r="D1080" s="45"/>
    </row>
    <row r="1081" spans="4:4" ht="12.75" customHeight="1" x14ac:dyDescent="0.2">
      <c r="D1081" s="45"/>
    </row>
    <row r="1082" spans="4:4" ht="12.75" customHeight="1" x14ac:dyDescent="0.2">
      <c r="D1082" s="45"/>
    </row>
    <row r="1083" spans="4:4" ht="12.75" customHeight="1" x14ac:dyDescent="0.2">
      <c r="D1083" s="45"/>
    </row>
    <row r="1084" spans="4:4" ht="12.75" customHeight="1" x14ac:dyDescent="0.2">
      <c r="D1084" s="45"/>
    </row>
    <row r="1085" spans="4:4" ht="12.75" customHeight="1" x14ac:dyDescent="0.2">
      <c r="D1085" s="45"/>
    </row>
    <row r="1086" spans="4:4" ht="12.75" customHeight="1" x14ac:dyDescent="0.2">
      <c r="D1086" s="45"/>
    </row>
    <row r="1087" spans="4:4" ht="12.75" customHeight="1" x14ac:dyDescent="0.2">
      <c r="D1087" s="45"/>
    </row>
    <row r="1088" spans="4:4" ht="12.75" customHeight="1" x14ac:dyDescent="0.2">
      <c r="D1088" s="45"/>
    </row>
    <row r="1089" spans="4:4" ht="12.75" customHeight="1" x14ac:dyDescent="0.2">
      <c r="D1089" s="45"/>
    </row>
    <row r="1090" spans="4:4" ht="12.75" customHeight="1" x14ac:dyDescent="0.2">
      <c r="D1090" s="45"/>
    </row>
  </sheetData>
  <sheetProtection formatCells="0"/>
  <sortState xmlns:xlrd2="http://schemas.microsoft.com/office/spreadsheetml/2017/richdata2" ref="T1:T598">
    <sortCondition ref="T1:T598"/>
  </sortState>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ookups"/>
  <dimension ref="A3:X35"/>
  <sheetViews>
    <sheetView showRuler="0" workbookViewId="0">
      <selection activeCell="L8" sqref="L8:O11"/>
    </sheetView>
  </sheetViews>
  <sheetFormatPr defaultColWidth="8.85546875" defaultRowHeight="15" customHeight="1" x14ac:dyDescent="0.25"/>
  <cols>
    <col min="1" max="1" width="11.5703125" customWidth="1"/>
    <col min="2" max="2" width="3" customWidth="1"/>
    <col min="3" max="3" width="15.7109375" customWidth="1"/>
    <col min="4" max="4" width="8.28515625" customWidth="1"/>
    <col min="5" max="5" width="2.7109375" customWidth="1"/>
    <col min="6" max="6" width="39" customWidth="1"/>
    <col min="7" max="7" width="3.7109375" customWidth="1"/>
    <col min="8" max="8" width="18" customWidth="1"/>
    <col min="9" max="9" width="2.85546875" customWidth="1"/>
    <col min="10" max="10" width="43.7109375" customWidth="1"/>
    <col min="11" max="11" width="2" customWidth="1"/>
    <col min="12" max="12" width="21" customWidth="1"/>
    <col min="13" max="13" width="24" customWidth="1"/>
    <col min="24" max="24" width="13" customWidth="1"/>
  </cols>
  <sheetData>
    <row r="3" spans="1:24" ht="15" customHeight="1" x14ac:dyDescent="0.25">
      <c r="A3" s="25" t="s">
        <v>292</v>
      </c>
      <c r="C3" s="26" t="s">
        <v>291</v>
      </c>
      <c r="D3" s="26"/>
      <c r="F3" s="26" t="s">
        <v>1</v>
      </c>
      <c r="H3" s="26" t="s">
        <v>318</v>
      </c>
      <c r="J3" s="26" t="s">
        <v>290</v>
      </c>
      <c r="L3" s="29" t="s">
        <v>274</v>
      </c>
      <c r="M3" s="28" t="s">
        <v>276</v>
      </c>
      <c r="N3" s="28"/>
      <c r="O3" s="28"/>
      <c r="P3" s="28"/>
      <c r="Q3" s="28"/>
      <c r="R3" s="28"/>
      <c r="S3" s="28"/>
      <c r="T3" s="28"/>
      <c r="U3" s="28"/>
      <c r="V3" s="28"/>
      <c r="W3" s="28"/>
      <c r="X3" s="28"/>
    </row>
    <row r="4" spans="1:24" ht="15" customHeight="1" x14ac:dyDescent="0.25">
      <c r="A4" s="27" t="s">
        <v>1702</v>
      </c>
      <c r="C4" s="27" t="s">
        <v>323</v>
      </c>
      <c r="D4" s="27" t="s">
        <v>323</v>
      </c>
      <c r="F4" s="28" t="s">
        <v>2</v>
      </c>
      <c r="H4" s="28" t="s">
        <v>1703</v>
      </c>
      <c r="J4" s="28" t="s">
        <v>1704</v>
      </c>
      <c r="L4" s="29" t="s">
        <v>275</v>
      </c>
      <c r="M4" s="28" t="str">
        <f>"This field can have a maximum of " &amp; EditText_MaxLength &amp; " characters.  It currently has 999999 characters.  Please adjust your entry to be less than the maximum allowed length."</f>
        <v>This field can have a maximum of 5000 characters.  It currently has 999999 characters.  Please adjust your entry to be less than the maximum allowed length.</v>
      </c>
      <c r="N4" s="28"/>
      <c r="O4" s="28"/>
      <c r="P4" s="28"/>
      <c r="Q4" s="28"/>
      <c r="R4" s="28"/>
      <c r="S4" s="28"/>
      <c r="T4" s="28"/>
      <c r="U4" s="28"/>
      <c r="V4" s="28"/>
      <c r="W4" s="28"/>
      <c r="X4" s="28"/>
    </row>
    <row r="5" spans="1:24" ht="15" customHeight="1" x14ac:dyDescent="0.25">
      <c r="A5" s="27">
        <v>1</v>
      </c>
      <c r="C5" s="27" t="s">
        <v>324</v>
      </c>
      <c r="D5" s="27" t="s">
        <v>325</v>
      </c>
      <c r="F5" s="28" t="s">
        <v>333</v>
      </c>
      <c r="H5" s="28" t="s">
        <v>15</v>
      </c>
      <c r="J5" s="28" t="s">
        <v>287</v>
      </c>
    </row>
    <row r="6" spans="1:24" ht="15" customHeight="1" x14ac:dyDescent="0.25">
      <c r="A6" s="27">
        <v>2</v>
      </c>
      <c r="C6" s="27" t="s">
        <v>325</v>
      </c>
      <c r="D6" s="27" t="s">
        <v>326</v>
      </c>
      <c r="F6" s="28" t="s">
        <v>1224</v>
      </c>
      <c r="H6" s="28" t="s">
        <v>16</v>
      </c>
      <c r="J6" s="28" t="s">
        <v>288</v>
      </c>
      <c r="L6" s="29" t="s">
        <v>1140</v>
      </c>
      <c r="M6" s="28" t="s">
        <v>1141</v>
      </c>
      <c r="N6" s="28"/>
      <c r="O6" s="28"/>
      <c r="P6" s="28"/>
      <c r="Q6" s="28"/>
      <c r="R6" s="28"/>
      <c r="S6" s="28"/>
      <c r="T6" s="28"/>
      <c r="U6" s="28"/>
      <c r="V6" s="28"/>
      <c r="W6" s="28"/>
      <c r="X6" s="28"/>
    </row>
    <row r="7" spans="1:24" ht="15" customHeight="1" x14ac:dyDescent="0.25">
      <c r="A7" s="27">
        <v>3</v>
      </c>
      <c r="C7" s="27" t="s">
        <v>326</v>
      </c>
      <c r="D7" s="27" t="s">
        <v>327</v>
      </c>
      <c r="F7" s="28" t="s">
        <v>3</v>
      </c>
      <c r="H7" s="28" t="s">
        <v>17</v>
      </c>
      <c r="J7" s="28" t="s">
        <v>289</v>
      </c>
      <c r="L7" s="39"/>
      <c r="M7" s="39"/>
    </row>
    <row r="8" spans="1:24" ht="15" customHeight="1" x14ac:dyDescent="0.25">
      <c r="A8" s="27">
        <v>4</v>
      </c>
      <c r="C8" s="27" t="s">
        <v>327</v>
      </c>
      <c r="D8" s="27" t="s">
        <v>328</v>
      </c>
      <c r="F8" s="28" t="s">
        <v>334</v>
      </c>
      <c r="H8" s="28" t="s">
        <v>18</v>
      </c>
    </row>
    <row r="9" spans="1:24" ht="15" customHeight="1" x14ac:dyDescent="0.25">
      <c r="A9" s="27">
        <v>5</v>
      </c>
      <c r="C9" s="27" t="s">
        <v>328</v>
      </c>
      <c r="D9" s="27" t="s">
        <v>329</v>
      </c>
      <c r="F9" s="28" t="s">
        <v>335</v>
      </c>
      <c r="H9" s="28" t="s">
        <v>1226</v>
      </c>
      <c r="J9" s="26" t="s">
        <v>1561</v>
      </c>
    </row>
    <row r="10" spans="1:24" ht="15" customHeight="1" x14ac:dyDescent="0.25">
      <c r="A10" s="27">
        <v>6</v>
      </c>
      <c r="C10" s="27" t="s">
        <v>329</v>
      </c>
      <c r="D10" s="27" t="s">
        <v>330</v>
      </c>
      <c r="H10" s="28" t="s">
        <v>19</v>
      </c>
      <c r="J10" s="28" t="s">
        <v>1701</v>
      </c>
    </row>
    <row r="11" spans="1:24" ht="15" customHeight="1" x14ac:dyDescent="0.25">
      <c r="A11" s="27" t="s">
        <v>0</v>
      </c>
      <c r="C11" s="27" t="s">
        <v>330</v>
      </c>
      <c r="D11" s="27" t="s">
        <v>331</v>
      </c>
      <c r="H11" s="28" t="s">
        <v>20</v>
      </c>
      <c r="J11" s="28" t="s">
        <v>1559</v>
      </c>
    </row>
    <row r="12" spans="1:24" ht="15" customHeight="1" x14ac:dyDescent="0.25">
      <c r="H12" s="28" t="s">
        <v>8</v>
      </c>
      <c r="J12" s="28" t="s">
        <v>1558</v>
      </c>
    </row>
    <row r="14" spans="1:24" ht="15" customHeight="1" x14ac:dyDescent="0.25">
      <c r="C14" s="26" t="s">
        <v>1560</v>
      </c>
      <c r="F14" s="26" t="s">
        <v>313</v>
      </c>
      <c r="J14" s="26" t="s">
        <v>1706</v>
      </c>
    </row>
    <row r="15" spans="1:24" ht="15" customHeight="1" x14ac:dyDescent="0.25">
      <c r="C15" s="28" t="s">
        <v>1556</v>
      </c>
      <c r="F15" s="28" t="s">
        <v>1705</v>
      </c>
      <c r="J15" s="28" t="s">
        <v>1707</v>
      </c>
    </row>
    <row r="16" spans="1:24" ht="15" customHeight="1" x14ac:dyDescent="0.25">
      <c r="C16" s="28" t="s">
        <v>1557</v>
      </c>
      <c r="F16" s="28" t="s">
        <v>310</v>
      </c>
      <c r="J16" s="28" t="s">
        <v>314</v>
      </c>
      <c r="L16" s="39" t="s">
        <v>1137</v>
      </c>
      <c r="M16" s="47" t="s">
        <v>1597</v>
      </c>
    </row>
    <row r="17" spans="6:13" ht="15" customHeight="1" x14ac:dyDescent="0.25">
      <c r="F17" s="28" t="s">
        <v>312</v>
      </c>
      <c r="J17" s="28" t="s">
        <v>316</v>
      </c>
    </row>
    <row r="18" spans="6:13" ht="15" customHeight="1" x14ac:dyDescent="0.25">
      <c r="F18" s="28" t="s">
        <v>311</v>
      </c>
      <c r="J18" s="28" t="s">
        <v>317</v>
      </c>
    </row>
    <row r="19" spans="6:13" ht="15" customHeight="1" x14ac:dyDescent="0.25">
      <c r="J19" s="28" t="s">
        <v>315</v>
      </c>
      <c r="L19" s="135" t="s">
        <v>1628</v>
      </c>
      <c r="M19" s="133" t="b">
        <v>0</v>
      </c>
    </row>
    <row r="20" spans="6:13" ht="15" customHeight="1" x14ac:dyDescent="0.25">
      <c r="L20" s="135"/>
    </row>
    <row r="21" spans="6:13" ht="15" customHeight="1" x14ac:dyDescent="0.25">
      <c r="L21" s="135" t="s">
        <v>1630</v>
      </c>
      <c r="M21" s="133" t="b">
        <v>0</v>
      </c>
    </row>
    <row r="22" spans="6:13" ht="15" customHeight="1" x14ac:dyDescent="0.25">
      <c r="H22" s="1"/>
      <c r="L22" s="135"/>
    </row>
    <row r="23" spans="6:13" ht="15" customHeight="1" x14ac:dyDescent="0.25">
      <c r="H23" s="1"/>
      <c r="L23" s="135" t="s">
        <v>1631</v>
      </c>
      <c r="M23" s="133" t="b">
        <v>0</v>
      </c>
    </row>
    <row r="24" spans="6:13" ht="15" customHeight="1" x14ac:dyDescent="0.25">
      <c r="H24" s="1"/>
    </row>
    <row r="25" spans="6:13" ht="15" customHeight="1" x14ac:dyDescent="0.25">
      <c r="H25" s="1"/>
      <c r="L25" s="135" t="s">
        <v>1629</v>
      </c>
      <c r="M25" s="133" t="b">
        <v>0</v>
      </c>
    </row>
    <row r="26" spans="6:13" ht="15" customHeight="1" x14ac:dyDescent="0.25">
      <c r="H26" s="1"/>
      <c r="L26" s="135"/>
    </row>
    <row r="27" spans="6:13" ht="15" customHeight="1" x14ac:dyDescent="0.25">
      <c r="H27" s="1"/>
      <c r="L27" s="135" t="s">
        <v>1632</v>
      </c>
      <c r="M27" s="133" t="b">
        <v>0</v>
      </c>
    </row>
    <row r="28" spans="6:13" ht="15" customHeight="1" x14ac:dyDescent="0.25">
      <c r="H28" s="1"/>
      <c r="L28" s="135"/>
    </row>
    <row r="29" spans="6:13" ht="15" customHeight="1" x14ac:dyDescent="0.25">
      <c r="H29" s="1"/>
      <c r="L29" s="135" t="s">
        <v>1633</v>
      </c>
      <c r="M29" s="133" t="b">
        <v>0</v>
      </c>
    </row>
    <row r="30" spans="6:13" ht="15" customHeight="1" x14ac:dyDescent="0.25">
      <c r="H30" s="1"/>
    </row>
    <row r="32" spans="6:13" ht="15" customHeight="1" x14ac:dyDescent="0.25">
      <c r="M32" s="76" t="s">
        <v>1658</v>
      </c>
    </row>
    <row r="33" spans="13:14" ht="15" customHeight="1" x14ac:dyDescent="0.25">
      <c r="M33" t="s">
        <v>1549</v>
      </c>
      <c r="N33" s="133"/>
    </row>
    <row r="34" spans="13:14" ht="15" customHeight="1" x14ac:dyDescent="0.25">
      <c r="M34" t="s">
        <v>1553</v>
      </c>
      <c r="N34" s="133"/>
    </row>
    <row r="35" spans="13:14" ht="15" customHeight="1" x14ac:dyDescent="0.25">
      <c r="M35" t="s">
        <v>1554</v>
      </c>
      <c r="N35" s="133"/>
    </row>
  </sheetData>
  <sheetProtection formatCell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D257F-0E41-42A2-A832-9FE72D3C8E37}">
  <sheetPr codeName="Enter_Data_Msg"/>
  <dimension ref="A1:Q31"/>
  <sheetViews>
    <sheetView workbookViewId="0"/>
  </sheetViews>
  <sheetFormatPr defaultColWidth="0" defaultRowHeight="15" zeroHeight="1" x14ac:dyDescent="0.25"/>
  <cols>
    <col min="1" max="15" width="9" customWidth="1"/>
    <col min="16" max="17" width="0" hidden="1" customWidth="1"/>
    <col min="18" max="16384" width="9" hidden="1"/>
  </cols>
  <sheetData>
    <row r="1" spans="1:15" x14ac:dyDescent="0.25">
      <c r="A1" s="159"/>
      <c r="B1" s="159"/>
      <c r="C1" s="159"/>
      <c r="D1" s="159"/>
      <c r="E1" s="159"/>
      <c r="F1" s="159"/>
      <c r="G1" s="159"/>
      <c r="H1" s="159"/>
      <c r="I1" s="159"/>
      <c r="J1" s="159"/>
      <c r="K1" s="159"/>
      <c r="L1" s="159"/>
      <c r="M1" s="159"/>
      <c r="N1" s="159"/>
      <c r="O1" s="159"/>
    </row>
    <row r="2" spans="1:15" x14ac:dyDescent="0.25">
      <c r="A2" s="159"/>
      <c r="B2" s="159"/>
      <c r="C2" s="159"/>
      <c r="D2" s="159"/>
      <c r="E2" s="159"/>
      <c r="F2" s="159"/>
      <c r="G2" s="159"/>
      <c r="H2" s="159"/>
      <c r="I2" s="159"/>
      <c r="J2" s="159"/>
      <c r="K2" s="159"/>
      <c r="L2" s="159"/>
      <c r="M2" s="159"/>
      <c r="N2" s="159"/>
      <c r="O2" s="159"/>
    </row>
    <row r="3" spans="1:15" x14ac:dyDescent="0.25">
      <c r="A3" s="159"/>
      <c r="B3" s="159"/>
      <c r="C3" s="159"/>
      <c r="D3" s="159"/>
      <c r="E3" s="159"/>
      <c r="F3" s="159"/>
      <c r="G3" s="159"/>
      <c r="H3" s="159"/>
      <c r="I3" s="159"/>
      <c r="J3" s="159"/>
      <c r="K3" s="159"/>
      <c r="L3" s="159"/>
      <c r="M3" s="159"/>
      <c r="N3" s="159"/>
      <c r="O3" s="159"/>
    </row>
    <row r="4" spans="1:15" x14ac:dyDescent="0.25">
      <c r="A4" s="159"/>
      <c r="B4" s="159"/>
      <c r="C4" s="159"/>
      <c r="D4" s="159"/>
      <c r="E4" s="159"/>
      <c r="F4" s="159"/>
      <c r="G4" s="159"/>
      <c r="H4" s="159"/>
      <c r="I4" s="159"/>
      <c r="J4" s="159"/>
      <c r="K4" s="159"/>
      <c r="L4" s="159"/>
      <c r="M4" s="159"/>
      <c r="N4" s="159"/>
      <c r="O4" s="159"/>
    </row>
    <row r="5" spans="1:15" x14ac:dyDescent="0.25">
      <c r="A5" s="159"/>
      <c r="B5" s="159"/>
      <c r="C5" s="159"/>
      <c r="D5" s="159"/>
      <c r="E5" s="159"/>
      <c r="F5" s="159"/>
      <c r="G5" s="159"/>
      <c r="H5" s="159"/>
      <c r="I5" s="159"/>
      <c r="J5" s="159"/>
      <c r="K5" s="159"/>
      <c r="L5" s="159"/>
      <c r="M5" s="159"/>
      <c r="N5" s="159"/>
      <c r="O5" s="159"/>
    </row>
    <row r="6" spans="1:15" x14ac:dyDescent="0.25">
      <c r="A6" s="159"/>
      <c r="B6" s="159"/>
      <c r="C6" s="159"/>
      <c r="D6" s="159"/>
      <c r="E6" s="159"/>
      <c r="F6" s="159"/>
      <c r="G6" s="159"/>
      <c r="H6" s="159"/>
      <c r="I6" s="159"/>
      <c r="J6" s="159"/>
      <c r="K6" s="159"/>
      <c r="L6" s="159"/>
      <c r="M6" s="159"/>
      <c r="N6" s="159"/>
      <c r="O6" s="159"/>
    </row>
    <row r="7" spans="1:15" x14ac:dyDescent="0.25">
      <c r="A7" s="159"/>
      <c r="B7" s="159"/>
      <c r="C7" s="159"/>
      <c r="D7" s="159"/>
      <c r="E7" s="159"/>
      <c r="F7" s="159"/>
      <c r="G7" s="159"/>
      <c r="H7" s="159"/>
      <c r="I7" s="159"/>
      <c r="J7" s="159"/>
      <c r="K7" s="159"/>
      <c r="L7" s="159"/>
      <c r="M7" s="159"/>
      <c r="N7" s="159"/>
      <c r="O7" s="159"/>
    </row>
    <row r="8" spans="1:15" x14ac:dyDescent="0.25">
      <c r="A8" s="159"/>
      <c r="B8" s="159"/>
      <c r="C8" s="159"/>
      <c r="D8" s="159"/>
      <c r="E8" s="159"/>
      <c r="F8" s="159"/>
      <c r="G8" s="159"/>
      <c r="H8" s="159"/>
      <c r="I8" s="159"/>
      <c r="J8" s="159"/>
      <c r="K8" s="159"/>
      <c r="L8" s="159"/>
      <c r="M8" s="159"/>
      <c r="N8" s="159"/>
      <c r="O8" s="159"/>
    </row>
    <row r="9" spans="1:15" x14ac:dyDescent="0.25">
      <c r="A9" s="159"/>
      <c r="B9" s="159"/>
      <c r="C9" s="159"/>
      <c r="D9" s="159"/>
      <c r="E9" s="159"/>
      <c r="F9" s="159"/>
      <c r="G9" s="159"/>
      <c r="H9" s="159"/>
      <c r="I9" s="159"/>
      <c r="J9" s="159"/>
      <c r="K9" s="159"/>
      <c r="L9" s="159"/>
      <c r="M9" s="159"/>
      <c r="N9" s="159"/>
      <c r="O9" s="159"/>
    </row>
    <row r="10" spans="1:15" x14ac:dyDescent="0.25">
      <c r="A10" s="159"/>
      <c r="B10" s="159"/>
      <c r="C10" s="159"/>
      <c r="D10" s="159"/>
      <c r="E10" s="159"/>
      <c r="F10" s="159"/>
      <c r="G10" s="159"/>
      <c r="H10" s="159"/>
      <c r="I10" s="159"/>
      <c r="J10" s="159"/>
      <c r="K10" s="159"/>
      <c r="L10" s="159"/>
      <c r="M10" s="159"/>
      <c r="N10" s="159"/>
      <c r="O10" s="159"/>
    </row>
    <row r="11" spans="1:15" x14ac:dyDescent="0.25">
      <c r="A11" s="159"/>
      <c r="B11" s="159"/>
      <c r="C11" s="159"/>
      <c r="D11" s="159"/>
      <c r="E11" s="159"/>
      <c r="F11" s="159"/>
      <c r="G11" s="159"/>
      <c r="H11" s="159"/>
      <c r="I11" s="159"/>
      <c r="J11" s="159"/>
      <c r="K11" s="159"/>
      <c r="L11" s="159"/>
      <c r="M11" s="159"/>
      <c r="N11" s="159"/>
      <c r="O11" s="159"/>
    </row>
    <row r="12" spans="1:15" x14ac:dyDescent="0.25">
      <c r="A12" s="159"/>
      <c r="B12" s="159"/>
      <c r="C12" s="159"/>
      <c r="D12" s="159"/>
      <c r="E12" s="159"/>
      <c r="F12" s="159"/>
      <c r="G12" s="159"/>
      <c r="H12" s="159"/>
      <c r="I12" s="159"/>
      <c r="J12" s="159"/>
      <c r="K12" s="159"/>
      <c r="L12" s="159"/>
      <c r="M12" s="159"/>
      <c r="N12" s="159"/>
      <c r="O12" s="159"/>
    </row>
    <row r="13" spans="1:15" x14ac:dyDescent="0.25">
      <c r="A13" s="159"/>
      <c r="B13" s="159"/>
      <c r="C13" s="159"/>
      <c r="D13" s="159"/>
      <c r="E13" s="159"/>
      <c r="F13" s="159"/>
      <c r="G13" s="159"/>
      <c r="H13" s="159"/>
      <c r="I13" s="159"/>
      <c r="J13" s="159"/>
      <c r="K13" s="159"/>
      <c r="L13" s="159"/>
      <c r="M13" s="159"/>
      <c r="N13" s="159"/>
      <c r="O13" s="159"/>
    </row>
    <row r="14" spans="1:15" x14ac:dyDescent="0.25">
      <c r="A14" s="159"/>
      <c r="B14" s="159"/>
      <c r="C14" s="159"/>
      <c r="D14" s="159"/>
      <c r="E14" s="159"/>
      <c r="F14" s="159"/>
      <c r="G14" s="159"/>
      <c r="H14" s="159"/>
      <c r="I14" s="159"/>
      <c r="J14" s="159"/>
      <c r="K14" s="159"/>
      <c r="L14" s="159"/>
      <c r="M14" s="159"/>
      <c r="N14" s="159"/>
      <c r="O14" s="159"/>
    </row>
    <row r="15" spans="1:15" x14ac:dyDescent="0.25">
      <c r="A15" s="159"/>
      <c r="B15" s="159"/>
      <c r="C15" s="159"/>
      <c r="D15" s="159"/>
      <c r="E15" s="159"/>
      <c r="F15" s="159"/>
      <c r="G15" s="159"/>
      <c r="H15" s="159"/>
      <c r="I15" s="159"/>
      <c r="J15" s="159"/>
      <c r="K15" s="159"/>
      <c r="L15" s="159"/>
      <c r="M15" s="159"/>
      <c r="N15" s="159"/>
      <c r="O15" s="159"/>
    </row>
    <row r="16" spans="1:15" x14ac:dyDescent="0.25">
      <c r="A16" s="159"/>
      <c r="B16" s="159"/>
      <c r="C16" s="159"/>
      <c r="D16" s="159"/>
      <c r="E16" s="159"/>
      <c r="F16" s="159"/>
      <c r="G16" s="159"/>
      <c r="H16" s="159"/>
      <c r="I16" s="159"/>
      <c r="J16" s="159"/>
      <c r="K16" s="159"/>
      <c r="L16" s="159"/>
      <c r="M16" s="159"/>
      <c r="N16" s="159"/>
      <c r="O16" s="159"/>
    </row>
    <row r="17" spans="1:15" x14ac:dyDescent="0.25">
      <c r="A17" s="159"/>
      <c r="B17" s="159"/>
      <c r="C17" s="159"/>
      <c r="D17" s="159"/>
      <c r="E17" s="159"/>
      <c r="F17" s="159"/>
      <c r="G17" s="159"/>
      <c r="H17" s="159"/>
      <c r="I17" s="159"/>
      <c r="J17" s="159"/>
      <c r="K17" s="159"/>
      <c r="L17" s="159"/>
      <c r="M17" s="159"/>
      <c r="N17" s="159"/>
      <c r="O17" s="159"/>
    </row>
    <row r="18" spans="1:15" x14ac:dyDescent="0.25">
      <c r="A18" s="159"/>
      <c r="B18" s="159"/>
      <c r="C18" s="159"/>
      <c r="D18" s="159"/>
      <c r="E18" s="159"/>
      <c r="F18" s="159"/>
      <c r="G18" s="159"/>
      <c r="H18" s="159"/>
      <c r="I18" s="159"/>
      <c r="J18" s="159"/>
      <c r="K18" s="159"/>
      <c r="L18" s="159"/>
      <c r="M18" s="159"/>
      <c r="N18" s="159"/>
      <c r="O18" s="159"/>
    </row>
    <row r="19" spans="1:15" x14ac:dyDescent="0.25">
      <c r="A19" s="159"/>
      <c r="B19" s="159"/>
      <c r="C19" s="159"/>
      <c r="D19" s="159"/>
      <c r="E19" s="159"/>
      <c r="F19" s="159"/>
      <c r="G19" s="159"/>
      <c r="H19" s="159"/>
      <c r="I19" s="159"/>
      <c r="J19" s="159"/>
      <c r="K19" s="159"/>
      <c r="L19" s="159"/>
      <c r="M19" s="159"/>
      <c r="N19" s="159"/>
      <c r="O19" s="159"/>
    </row>
    <row r="20" spans="1:15" x14ac:dyDescent="0.25">
      <c r="A20" s="159"/>
      <c r="B20" s="159"/>
      <c r="C20" s="159"/>
      <c r="D20" s="159"/>
      <c r="E20" s="159"/>
      <c r="F20" s="159"/>
      <c r="G20" s="159"/>
      <c r="H20" s="159"/>
      <c r="I20" s="159"/>
      <c r="J20" s="159"/>
      <c r="K20" s="159"/>
      <c r="L20" s="159"/>
      <c r="M20" s="159"/>
      <c r="N20" s="159"/>
      <c r="O20" s="159"/>
    </row>
    <row r="21" spans="1:15" x14ac:dyDescent="0.25">
      <c r="A21" s="159"/>
      <c r="B21" s="159"/>
      <c r="C21" s="159"/>
      <c r="D21" s="159"/>
      <c r="E21" s="159"/>
      <c r="F21" s="159"/>
      <c r="G21" s="159"/>
      <c r="H21" s="159"/>
      <c r="I21" s="159"/>
      <c r="J21" s="159"/>
      <c r="K21" s="159"/>
      <c r="L21" s="159"/>
      <c r="M21" s="159"/>
      <c r="N21" s="159"/>
      <c r="O21" s="159"/>
    </row>
    <row r="22" spans="1:15" x14ac:dyDescent="0.25">
      <c r="A22" s="159"/>
      <c r="B22" s="159"/>
      <c r="C22" s="159"/>
      <c r="D22" s="159"/>
      <c r="E22" s="159"/>
      <c r="F22" s="159"/>
      <c r="G22" s="159"/>
      <c r="H22" s="159"/>
      <c r="I22" s="159"/>
      <c r="J22" s="159"/>
      <c r="K22" s="159"/>
      <c r="L22" s="159"/>
      <c r="M22" s="159"/>
      <c r="N22" s="159"/>
      <c r="O22" s="159"/>
    </row>
    <row r="23" spans="1:15" x14ac:dyDescent="0.25">
      <c r="A23" s="159"/>
      <c r="B23" s="159"/>
      <c r="C23" s="159"/>
      <c r="D23" s="159"/>
      <c r="E23" s="159"/>
      <c r="F23" s="159"/>
      <c r="G23" s="159"/>
      <c r="H23" s="159"/>
      <c r="I23" s="159"/>
      <c r="J23" s="159"/>
      <c r="K23" s="159"/>
      <c r="L23" s="159"/>
      <c r="M23" s="159"/>
      <c r="N23" s="159"/>
      <c r="O23" s="159"/>
    </row>
    <row r="24" spans="1:15" x14ac:dyDescent="0.25">
      <c r="A24" s="159"/>
      <c r="B24" s="159"/>
      <c r="C24" s="159"/>
      <c r="D24" s="159"/>
      <c r="E24" s="159"/>
      <c r="F24" s="159"/>
      <c r="G24" s="159"/>
      <c r="H24" s="159"/>
      <c r="I24" s="159"/>
      <c r="J24" s="159"/>
      <c r="K24" s="159"/>
      <c r="L24" s="159"/>
      <c r="M24" s="159"/>
      <c r="N24" s="159"/>
      <c r="O24" s="159"/>
    </row>
    <row r="25" spans="1:15" x14ac:dyDescent="0.25">
      <c r="A25" s="159"/>
      <c r="B25" s="159"/>
      <c r="C25" s="159"/>
      <c r="D25" s="159"/>
      <c r="E25" s="159"/>
      <c r="F25" s="159"/>
      <c r="G25" s="159"/>
      <c r="H25" s="159"/>
      <c r="I25" s="159"/>
      <c r="J25" s="159"/>
      <c r="K25" s="159"/>
      <c r="L25" s="159"/>
      <c r="M25" s="159"/>
      <c r="N25" s="159"/>
      <c r="O25" s="159"/>
    </row>
    <row r="26" spans="1:15" x14ac:dyDescent="0.25">
      <c r="A26" s="159"/>
      <c r="B26" s="159"/>
      <c r="C26" s="159"/>
      <c r="D26" s="159"/>
      <c r="E26" s="159"/>
      <c r="F26" s="159"/>
      <c r="G26" s="159"/>
      <c r="H26" s="159"/>
      <c r="I26" s="159"/>
      <c r="J26" s="159"/>
      <c r="K26" s="159"/>
      <c r="L26" s="159"/>
      <c r="M26" s="159"/>
      <c r="N26" s="159"/>
      <c r="O26" s="159"/>
    </row>
    <row r="27" spans="1:15" x14ac:dyDescent="0.25">
      <c r="A27" s="159"/>
      <c r="B27" s="159"/>
      <c r="C27" s="159"/>
      <c r="D27" s="159"/>
      <c r="E27" s="159"/>
      <c r="F27" s="159"/>
      <c r="G27" s="159"/>
      <c r="H27" s="159"/>
      <c r="I27" s="159"/>
      <c r="J27" s="159"/>
      <c r="K27" s="159"/>
      <c r="L27" s="159"/>
      <c r="M27" s="159"/>
      <c r="N27" s="159"/>
      <c r="O27" s="159"/>
    </row>
    <row r="28" spans="1:15" x14ac:dyDescent="0.25">
      <c r="A28" s="159"/>
      <c r="B28" s="159"/>
      <c r="C28" s="159"/>
      <c r="D28" s="159"/>
      <c r="E28" s="159"/>
      <c r="F28" s="159"/>
      <c r="G28" s="159"/>
      <c r="H28" s="159"/>
      <c r="I28" s="159"/>
      <c r="J28" s="159"/>
      <c r="K28" s="159"/>
      <c r="L28" s="159"/>
      <c r="M28" s="159"/>
      <c r="N28" s="159"/>
      <c r="O28" s="159"/>
    </row>
    <row r="29" spans="1:15" x14ac:dyDescent="0.25">
      <c r="A29" s="159"/>
      <c r="B29" s="159"/>
      <c r="C29" s="159"/>
      <c r="D29" s="159"/>
      <c r="E29" s="159"/>
      <c r="F29" s="159"/>
      <c r="G29" s="159"/>
      <c r="H29" s="159"/>
      <c r="I29" s="159"/>
      <c r="J29" s="159"/>
      <c r="K29" s="159"/>
      <c r="L29" s="159"/>
      <c r="M29" s="159"/>
      <c r="N29" s="159"/>
      <c r="O29" s="159"/>
    </row>
    <row r="30" spans="1:15" x14ac:dyDescent="0.25">
      <c r="A30" s="159"/>
      <c r="B30" s="159"/>
      <c r="C30" s="159"/>
      <c r="D30" s="159"/>
      <c r="E30" s="159"/>
      <c r="F30" s="159"/>
      <c r="G30" s="159"/>
      <c r="H30" s="159"/>
      <c r="I30" s="159"/>
      <c r="J30" s="159"/>
      <c r="K30" s="159"/>
      <c r="L30" s="159"/>
      <c r="M30" s="159"/>
      <c r="N30" s="159"/>
      <c r="O30" s="159"/>
    </row>
    <row r="31" spans="1:15" x14ac:dyDescent="0.25">
      <c r="A31" s="159"/>
      <c r="B31" s="159"/>
      <c r="C31" s="159"/>
      <c r="D31" s="159"/>
      <c r="E31" s="159"/>
      <c r="F31" s="159"/>
      <c r="G31" s="159"/>
      <c r="H31" s="159"/>
      <c r="I31" s="159"/>
      <c r="J31" s="159"/>
      <c r="K31" s="159"/>
      <c r="L31" s="159"/>
      <c r="M31" s="159"/>
      <c r="N31" s="159"/>
      <c r="O31" s="159"/>
    </row>
  </sheetData>
  <sheetProtection algorithmName="SHA-512" hashValue="DZTO8S2TSaBYcVxwjPPJeBp4/WfwaRQvyyPZR93R73qdpzVUipeVODDko6ZYJBTgSOdtnn8vp8hWl6hHwvanjA==" saltValue="WtSsGxhZ1QoSk/BJwQzpCA==" spinCount="100000" sheet="1" objects="1" scenarios="1" formatCells="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E0C5D-7E37-4FC5-9DE5-2807D7EB6969}">
  <sheetPr codeName="Edit_Comment">
    <tabColor theme="9" tint="0.79998168889431442"/>
  </sheetPr>
  <dimension ref="A1:Z64"/>
  <sheetViews>
    <sheetView workbookViewId="0">
      <pane ySplit="2" topLeftCell="A3" activePane="bottomLeft" state="frozen"/>
      <selection pane="bottomLeft" activeCell="B3" sqref="B3:T60"/>
    </sheetView>
  </sheetViews>
  <sheetFormatPr defaultColWidth="0" defaultRowHeight="15" zeroHeight="1" x14ac:dyDescent="0.25"/>
  <cols>
    <col min="1" max="1" width="4.28515625" customWidth="1"/>
    <col min="2" max="20" width="9" customWidth="1"/>
    <col min="21" max="21" width="4.7109375" customWidth="1"/>
    <col min="22" max="22" width="9" hidden="1" customWidth="1"/>
    <col min="23" max="23" width="29.28515625" hidden="1" customWidth="1"/>
    <col min="24" max="24" width="17" hidden="1" customWidth="1"/>
    <col min="25" max="26" width="0" hidden="1" customWidth="1"/>
    <col min="27" max="16384" width="9" hidden="1"/>
  </cols>
  <sheetData>
    <row r="1" spans="1:26" ht="35.450000000000003" customHeight="1" x14ac:dyDescent="0.25">
      <c r="A1" s="167"/>
      <c r="B1" s="160" t="str">
        <f>Y4</f>
        <v>13. Impact of Outcomes</v>
      </c>
      <c r="C1" s="159"/>
      <c r="D1" s="159"/>
      <c r="E1" s="159"/>
      <c r="F1" s="159"/>
      <c r="G1" s="159"/>
      <c r="H1" s="159"/>
      <c r="I1" s="159"/>
      <c r="J1" s="159"/>
      <c r="K1" s="159"/>
      <c r="L1" s="159"/>
      <c r="M1" s="159"/>
      <c r="N1" s="159"/>
      <c r="O1" s="159"/>
      <c r="P1" s="159"/>
      <c r="Q1" s="159"/>
      <c r="R1" s="159"/>
      <c r="S1" s="159"/>
      <c r="T1" s="159"/>
      <c r="U1" s="159"/>
    </row>
    <row r="2" spans="1:26" ht="28.5" customHeight="1" x14ac:dyDescent="0.25">
      <c r="A2" s="159"/>
      <c r="B2" s="293" t="str">
        <f>Y5</f>
        <v xml:space="preserve">Impact of Outcomes provides background, detail, and/or context to the numbers being reporting under Outcomes/Indicators that are reported in Item A.14. </v>
      </c>
      <c r="C2" s="255"/>
      <c r="D2" s="255"/>
      <c r="E2" s="255"/>
      <c r="F2" s="255"/>
      <c r="G2" s="255"/>
      <c r="H2" s="255"/>
      <c r="I2" s="255"/>
      <c r="J2" s="255"/>
      <c r="K2" s="255"/>
      <c r="L2" s="255"/>
      <c r="M2" s="255"/>
      <c r="N2" s="255"/>
      <c r="O2" s="255"/>
      <c r="P2" s="294"/>
      <c r="Q2" s="294"/>
      <c r="R2" s="159"/>
      <c r="S2" s="159"/>
      <c r="T2" s="159"/>
      <c r="U2" s="159"/>
    </row>
    <row r="3" spans="1:26" x14ac:dyDescent="0.25">
      <c r="A3" s="159"/>
      <c r="B3" s="291" t="s">
        <v>1673</v>
      </c>
      <c r="C3" s="292"/>
      <c r="D3" s="292"/>
      <c r="E3" s="292"/>
      <c r="F3" s="292"/>
      <c r="G3" s="292"/>
      <c r="H3" s="292"/>
      <c r="I3" s="292"/>
      <c r="J3" s="292"/>
      <c r="K3" s="292"/>
      <c r="L3" s="292"/>
      <c r="M3" s="292"/>
      <c r="N3" s="292"/>
      <c r="O3" s="292"/>
      <c r="P3" s="292"/>
      <c r="Q3" s="292"/>
      <c r="R3" s="292"/>
      <c r="S3" s="292"/>
      <c r="T3" s="292"/>
      <c r="U3" s="159"/>
      <c r="W3" s="164" t="s">
        <v>293</v>
      </c>
      <c r="X3" s="165" t="s">
        <v>296</v>
      </c>
      <c r="Y3" s="4"/>
      <c r="Z3" s="4"/>
    </row>
    <row r="4" spans="1:26" x14ac:dyDescent="0.25">
      <c r="A4" s="159"/>
      <c r="B4" s="292"/>
      <c r="C4" s="292"/>
      <c r="D4" s="292"/>
      <c r="E4" s="292"/>
      <c r="F4" s="292"/>
      <c r="G4" s="292"/>
      <c r="H4" s="292"/>
      <c r="I4" s="292"/>
      <c r="J4" s="292"/>
      <c r="K4" s="292"/>
      <c r="L4" s="292"/>
      <c r="M4" s="292"/>
      <c r="N4" s="292"/>
      <c r="O4" s="292"/>
      <c r="P4" s="292"/>
      <c r="Q4" s="292"/>
      <c r="R4" s="292"/>
      <c r="S4" s="292"/>
      <c r="T4" s="292"/>
      <c r="U4" s="159"/>
      <c r="W4" s="164" t="s">
        <v>294</v>
      </c>
      <c r="X4" s="165" t="s">
        <v>309</v>
      </c>
      <c r="Y4" s="4" t="str">
        <f>_xlfn.XLOOKUP(EditText_FieldName,'Status Form'!Z:Z,'Status Form'!B:B,"Edit Text")</f>
        <v>13. Impact of Outcomes</v>
      </c>
      <c r="Z4" s="4"/>
    </row>
    <row r="5" spans="1:26" x14ac:dyDescent="0.25">
      <c r="A5" s="159"/>
      <c r="B5" s="292"/>
      <c r="C5" s="292"/>
      <c r="D5" s="292"/>
      <c r="E5" s="292"/>
      <c r="F5" s="292"/>
      <c r="G5" s="292"/>
      <c r="H5" s="292"/>
      <c r="I5" s="292"/>
      <c r="J5" s="292"/>
      <c r="K5" s="292"/>
      <c r="L5" s="292"/>
      <c r="M5" s="292"/>
      <c r="N5" s="292"/>
      <c r="O5" s="292"/>
      <c r="P5" s="292"/>
      <c r="Q5" s="292"/>
      <c r="R5" s="292"/>
      <c r="S5" s="292"/>
      <c r="T5" s="292"/>
      <c r="U5" s="159"/>
      <c r="W5" s="164" t="s">
        <v>295</v>
      </c>
      <c r="X5" s="165" t="s">
        <v>2031</v>
      </c>
      <c r="Y5" s="4" t="str">
        <f>_xlfn.XLOOKUP(EditText_FieldName,'Status Form'!Z:Z,'Status Form'!AC:AC,"")</f>
        <v xml:space="preserve">Impact of Outcomes provides background, detail, and/or context to the numbers being reporting under Outcomes/Indicators that are reported in Item A.14. </v>
      </c>
      <c r="Z5" s="4"/>
    </row>
    <row r="6" spans="1:26" x14ac:dyDescent="0.25">
      <c r="A6" s="159"/>
      <c r="B6" s="292"/>
      <c r="C6" s="292"/>
      <c r="D6" s="292"/>
      <c r="E6" s="292"/>
      <c r="F6" s="292"/>
      <c r="G6" s="292"/>
      <c r="H6" s="292"/>
      <c r="I6" s="292"/>
      <c r="J6" s="292"/>
      <c r="K6" s="292"/>
      <c r="L6" s="292"/>
      <c r="M6" s="292"/>
      <c r="N6" s="292"/>
      <c r="O6" s="292"/>
      <c r="P6" s="292"/>
      <c r="Q6" s="292"/>
      <c r="R6" s="292"/>
      <c r="S6" s="292"/>
      <c r="T6" s="292"/>
      <c r="U6" s="159"/>
      <c r="W6" s="164" t="s">
        <v>297</v>
      </c>
      <c r="X6" s="166">
        <v>5000</v>
      </c>
      <c r="Y6" s="4"/>
      <c r="Z6" s="4"/>
    </row>
    <row r="7" spans="1:26" x14ac:dyDescent="0.25">
      <c r="A7" s="159"/>
      <c r="B7" s="292"/>
      <c r="C7" s="292"/>
      <c r="D7" s="292"/>
      <c r="E7" s="292"/>
      <c r="F7" s="292"/>
      <c r="G7" s="292"/>
      <c r="H7" s="292"/>
      <c r="I7" s="292"/>
      <c r="J7" s="292"/>
      <c r="K7" s="292"/>
      <c r="L7" s="292"/>
      <c r="M7" s="292"/>
      <c r="N7" s="292"/>
      <c r="O7" s="292"/>
      <c r="P7" s="292"/>
      <c r="Q7" s="292"/>
      <c r="R7" s="292"/>
      <c r="S7" s="292"/>
      <c r="T7" s="292"/>
      <c r="U7" s="159"/>
    </row>
    <row r="8" spans="1:26" x14ac:dyDescent="0.25">
      <c r="A8" s="159"/>
      <c r="B8" s="292"/>
      <c r="C8" s="292"/>
      <c r="D8" s="292"/>
      <c r="E8" s="292"/>
      <c r="F8" s="292"/>
      <c r="G8" s="292"/>
      <c r="H8" s="292"/>
      <c r="I8" s="292"/>
      <c r="J8" s="292"/>
      <c r="K8" s="292"/>
      <c r="L8" s="292"/>
      <c r="M8" s="292"/>
      <c r="N8" s="292"/>
      <c r="O8" s="292"/>
      <c r="P8" s="292"/>
      <c r="Q8" s="292"/>
      <c r="R8" s="292"/>
      <c r="S8" s="292"/>
      <c r="T8" s="292"/>
      <c r="U8" s="159"/>
    </row>
    <row r="9" spans="1:26" x14ac:dyDescent="0.25">
      <c r="A9" s="159"/>
      <c r="B9" s="292"/>
      <c r="C9" s="292"/>
      <c r="D9" s="292"/>
      <c r="E9" s="292"/>
      <c r="F9" s="292"/>
      <c r="G9" s="292"/>
      <c r="H9" s="292"/>
      <c r="I9" s="292"/>
      <c r="J9" s="292"/>
      <c r="K9" s="292"/>
      <c r="L9" s="292"/>
      <c r="M9" s="292"/>
      <c r="N9" s="292"/>
      <c r="O9" s="292"/>
      <c r="P9" s="292"/>
      <c r="Q9" s="292"/>
      <c r="R9" s="292"/>
      <c r="S9" s="292"/>
      <c r="T9" s="292"/>
      <c r="U9" s="159"/>
    </row>
    <row r="10" spans="1:26" x14ac:dyDescent="0.25">
      <c r="A10" s="159"/>
      <c r="B10" s="292"/>
      <c r="C10" s="292"/>
      <c r="D10" s="292"/>
      <c r="E10" s="292"/>
      <c r="F10" s="292"/>
      <c r="G10" s="292"/>
      <c r="H10" s="292"/>
      <c r="I10" s="292"/>
      <c r="J10" s="292"/>
      <c r="K10" s="292"/>
      <c r="L10" s="292"/>
      <c r="M10" s="292"/>
      <c r="N10" s="292"/>
      <c r="O10" s="292"/>
      <c r="P10" s="292"/>
      <c r="Q10" s="292"/>
      <c r="R10" s="292"/>
      <c r="S10" s="292"/>
      <c r="T10" s="292"/>
      <c r="U10" s="159"/>
    </row>
    <row r="11" spans="1:26" x14ac:dyDescent="0.25">
      <c r="A11" s="159"/>
      <c r="B11" s="292"/>
      <c r="C11" s="292"/>
      <c r="D11" s="292"/>
      <c r="E11" s="292"/>
      <c r="F11" s="292"/>
      <c r="G11" s="292"/>
      <c r="H11" s="292"/>
      <c r="I11" s="292"/>
      <c r="J11" s="292"/>
      <c r="K11" s="292"/>
      <c r="L11" s="292"/>
      <c r="M11" s="292"/>
      <c r="N11" s="292"/>
      <c r="O11" s="292"/>
      <c r="P11" s="292"/>
      <c r="Q11" s="292"/>
      <c r="R11" s="292"/>
      <c r="S11" s="292"/>
      <c r="T11" s="292"/>
      <c r="U11" s="159"/>
    </row>
    <row r="12" spans="1:26" x14ac:dyDescent="0.25">
      <c r="A12" s="159"/>
      <c r="B12" s="292"/>
      <c r="C12" s="292"/>
      <c r="D12" s="292"/>
      <c r="E12" s="292"/>
      <c r="F12" s="292"/>
      <c r="G12" s="292"/>
      <c r="H12" s="292"/>
      <c r="I12" s="292"/>
      <c r="J12" s="292"/>
      <c r="K12" s="292"/>
      <c r="L12" s="292"/>
      <c r="M12" s="292"/>
      <c r="N12" s="292"/>
      <c r="O12" s="292"/>
      <c r="P12" s="292"/>
      <c r="Q12" s="292"/>
      <c r="R12" s="292"/>
      <c r="S12" s="292"/>
      <c r="T12" s="292"/>
      <c r="U12" s="159"/>
    </row>
    <row r="13" spans="1:26" x14ac:dyDescent="0.25">
      <c r="A13" s="159"/>
      <c r="B13" s="292"/>
      <c r="C13" s="292"/>
      <c r="D13" s="292"/>
      <c r="E13" s="292"/>
      <c r="F13" s="292"/>
      <c r="G13" s="292"/>
      <c r="H13" s="292"/>
      <c r="I13" s="292"/>
      <c r="J13" s="292"/>
      <c r="K13" s="292"/>
      <c r="L13" s="292"/>
      <c r="M13" s="292"/>
      <c r="N13" s="292"/>
      <c r="O13" s="292"/>
      <c r="P13" s="292"/>
      <c r="Q13" s="292"/>
      <c r="R13" s="292"/>
      <c r="S13" s="292"/>
      <c r="T13" s="292"/>
      <c r="U13" s="159"/>
    </row>
    <row r="14" spans="1:26" x14ac:dyDescent="0.25">
      <c r="A14" s="159"/>
      <c r="B14" s="292"/>
      <c r="C14" s="292"/>
      <c r="D14" s="292"/>
      <c r="E14" s="292"/>
      <c r="F14" s="292"/>
      <c r="G14" s="292"/>
      <c r="H14" s="292"/>
      <c r="I14" s="292"/>
      <c r="J14" s="292"/>
      <c r="K14" s="292"/>
      <c r="L14" s="292"/>
      <c r="M14" s="292"/>
      <c r="N14" s="292"/>
      <c r="O14" s="292"/>
      <c r="P14" s="292"/>
      <c r="Q14" s="292"/>
      <c r="R14" s="292"/>
      <c r="S14" s="292"/>
      <c r="T14" s="292"/>
      <c r="U14" s="159"/>
    </row>
    <row r="15" spans="1:26" x14ac:dyDescent="0.25">
      <c r="A15" s="159"/>
      <c r="B15" s="292"/>
      <c r="C15" s="292"/>
      <c r="D15" s="292"/>
      <c r="E15" s="292"/>
      <c r="F15" s="292"/>
      <c r="G15" s="292"/>
      <c r="H15" s="292"/>
      <c r="I15" s="292"/>
      <c r="J15" s="292"/>
      <c r="K15" s="292"/>
      <c r="L15" s="292"/>
      <c r="M15" s="292"/>
      <c r="N15" s="292"/>
      <c r="O15" s="292"/>
      <c r="P15" s="292"/>
      <c r="Q15" s="292"/>
      <c r="R15" s="292"/>
      <c r="S15" s="292"/>
      <c r="T15" s="292"/>
      <c r="U15" s="159"/>
    </row>
    <row r="16" spans="1:26" x14ac:dyDescent="0.25">
      <c r="A16" s="159"/>
      <c r="B16" s="292"/>
      <c r="C16" s="292"/>
      <c r="D16" s="292"/>
      <c r="E16" s="292"/>
      <c r="F16" s="292"/>
      <c r="G16" s="292"/>
      <c r="H16" s="292"/>
      <c r="I16" s="292"/>
      <c r="J16" s="292"/>
      <c r="K16" s="292"/>
      <c r="L16" s="292"/>
      <c r="M16" s="292"/>
      <c r="N16" s="292"/>
      <c r="O16" s="292"/>
      <c r="P16" s="292"/>
      <c r="Q16" s="292"/>
      <c r="R16" s="292"/>
      <c r="S16" s="292"/>
      <c r="T16" s="292"/>
      <c r="U16" s="159"/>
    </row>
    <row r="17" spans="1:21" x14ac:dyDescent="0.25">
      <c r="A17" s="159"/>
      <c r="B17" s="292"/>
      <c r="C17" s="292"/>
      <c r="D17" s="292"/>
      <c r="E17" s="292"/>
      <c r="F17" s="292"/>
      <c r="G17" s="292"/>
      <c r="H17" s="292"/>
      <c r="I17" s="292"/>
      <c r="J17" s="292"/>
      <c r="K17" s="292"/>
      <c r="L17" s="292"/>
      <c r="M17" s="292"/>
      <c r="N17" s="292"/>
      <c r="O17" s="292"/>
      <c r="P17" s="292"/>
      <c r="Q17" s="292"/>
      <c r="R17" s="292"/>
      <c r="S17" s="292"/>
      <c r="T17" s="292"/>
      <c r="U17" s="159"/>
    </row>
    <row r="18" spans="1:21" x14ac:dyDescent="0.25">
      <c r="A18" s="159"/>
      <c r="B18" s="292"/>
      <c r="C18" s="292"/>
      <c r="D18" s="292"/>
      <c r="E18" s="292"/>
      <c r="F18" s="292"/>
      <c r="G18" s="292"/>
      <c r="H18" s="292"/>
      <c r="I18" s="292"/>
      <c r="J18" s="292"/>
      <c r="K18" s="292"/>
      <c r="L18" s="292"/>
      <c r="M18" s="292"/>
      <c r="N18" s="292"/>
      <c r="O18" s="292"/>
      <c r="P18" s="292"/>
      <c r="Q18" s="292"/>
      <c r="R18" s="292"/>
      <c r="S18" s="292"/>
      <c r="T18" s="292"/>
      <c r="U18" s="159"/>
    </row>
    <row r="19" spans="1:21" x14ac:dyDescent="0.25">
      <c r="A19" s="159"/>
      <c r="B19" s="292"/>
      <c r="C19" s="292"/>
      <c r="D19" s="292"/>
      <c r="E19" s="292"/>
      <c r="F19" s="292"/>
      <c r="G19" s="292"/>
      <c r="H19" s="292"/>
      <c r="I19" s="292"/>
      <c r="J19" s="292"/>
      <c r="K19" s="292"/>
      <c r="L19" s="292"/>
      <c r="M19" s="292"/>
      <c r="N19" s="292"/>
      <c r="O19" s="292"/>
      <c r="P19" s="292"/>
      <c r="Q19" s="292"/>
      <c r="R19" s="292"/>
      <c r="S19" s="292"/>
      <c r="T19" s="292"/>
      <c r="U19" s="159"/>
    </row>
    <row r="20" spans="1:21" x14ac:dyDescent="0.25">
      <c r="A20" s="159"/>
      <c r="B20" s="292"/>
      <c r="C20" s="292"/>
      <c r="D20" s="292"/>
      <c r="E20" s="292"/>
      <c r="F20" s="292"/>
      <c r="G20" s="292"/>
      <c r="H20" s="292"/>
      <c r="I20" s="292"/>
      <c r="J20" s="292"/>
      <c r="K20" s="292"/>
      <c r="L20" s="292"/>
      <c r="M20" s="292"/>
      <c r="N20" s="292"/>
      <c r="O20" s="292"/>
      <c r="P20" s="292"/>
      <c r="Q20" s="292"/>
      <c r="R20" s="292"/>
      <c r="S20" s="292"/>
      <c r="T20" s="292"/>
      <c r="U20" s="159"/>
    </row>
    <row r="21" spans="1:21" x14ac:dyDescent="0.25">
      <c r="A21" s="159"/>
      <c r="B21" s="292"/>
      <c r="C21" s="292"/>
      <c r="D21" s="292"/>
      <c r="E21" s="292"/>
      <c r="F21" s="292"/>
      <c r="G21" s="292"/>
      <c r="H21" s="292"/>
      <c r="I21" s="292"/>
      <c r="J21" s="292"/>
      <c r="K21" s="292"/>
      <c r="L21" s="292"/>
      <c r="M21" s="292"/>
      <c r="N21" s="292"/>
      <c r="O21" s="292"/>
      <c r="P21" s="292"/>
      <c r="Q21" s="292"/>
      <c r="R21" s="292"/>
      <c r="S21" s="292"/>
      <c r="T21" s="292"/>
      <c r="U21" s="159"/>
    </row>
    <row r="22" spans="1:21" x14ac:dyDescent="0.25">
      <c r="A22" s="159"/>
      <c r="B22" s="292"/>
      <c r="C22" s="292"/>
      <c r="D22" s="292"/>
      <c r="E22" s="292"/>
      <c r="F22" s="292"/>
      <c r="G22" s="292"/>
      <c r="H22" s="292"/>
      <c r="I22" s="292"/>
      <c r="J22" s="292"/>
      <c r="K22" s="292"/>
      <c r="L22" s="292"/>
      <c r="M22" s="292"/>
      <c r="N22" s="292"/>
      <c r="O22" s="292"/>
      <c r="P22" s="292"/>
      <c r="Q22" s="292"/>
      <c r="R22" s="292"/>
      <c r="S22" s="292"/>
      <c r="T22" s="292"/>
      <c r="U22" s="159"/>
    </row>
    <row r="23" spans="1:21" x14ac:dyDescent="0.25">
      <c r="A23" s="159"/>
      <c r="B23" s="292"/>
      <c r="C23" s="292"/>
      <c r="D23" s="292"/>
      <c r="E23" s="292"/>
      <c r="F23" s="292"/>
      <c r="G23" s="292"/>
      <c r="H23" s="292"/>
      <c r="I23" s="292"/>
      <c r="J23" s="292"/>
      <c r="K23" s="292"/>
      <c r="L23" s="292"/>
      <c r="M23" s="292"/>
      <c r="N23" s="292"/>
      <c r="O23" s="292"/>
      <c r="P23" s="292"/>
      <c r="Q23" s="292"/>
      <c r="R23" s="292"/>
      <c r="S23" s="292"/>
      <c r="T23" s="292"/>
      <c r="U23" s="159"/>
    </row>
    <row r="24" spans="1:21" x14ac:dyDescent="0.25">
      <c r="A24" s="159"/>
      <c r="B24" s="292"/>
      <c r="C24" s="292"/>
      <c r="D24" s="292"/>
      <c r="E24" s="292"/>
      <c r="F24" s="292"/>
      <c r="G24" s="292"/>
      <c r="H24" s="292"/>
      <c r="I24" s="292"/>
      <c r="J24" s="292"/>
      <c r="K24" s="292"/>
      <c r="L24" s="292"/>
      <c r="M24" s="292"/>
      <c r="N24" s="292"/>
      <c r="O24" s="292"/>
      <c r="P24" s="292"/>
      <c r="Q24" s="292"/>
      <c r="R24" s="292"/>
      <c r="S24" s="292"/>
      <c r="T24" s="292"/>
      <c r="U24" s="159"/>
    </row>
    <row r="25" spans="1:21" x14ac:dyDescent="0.25">
      <c r="A25" s="159"/>
      <c r="B25" s="292"/>
      <c r="C25" s="292"/>
      <c r="D25" s="292"/>
      <c r="E25" s="292"/>
      <c r="F25" s="292"/>
      <c r="G25" s="292"/>
      <c r="H25" s="292"/>
      <c r="I25" s="292"/>
      <c r="J25" s="292"/>
      <c r="K25" s="292"/>
      <c r="L25" s="292"/>
      <c r="M25" s="292"/>
      <c r="N25" s="292"/>
      <c r="O25" s="292"/>
      <c r="P25" s="292"/>
      <c r="Q25" s="292"/>
      <c r="R25" s="292"/>
      <c r="S25" s="292"/>
      <c r="T25" s="292"/>
      <c r="U25" s="159"/>
    </row>
    <row r="26" spans="1:21" x14ac:dyDescent="0.25">
      <c r="A26" s="159"/>
      <c r="B26" s="292"/>
      <c r="C26" s="292"/>
      <c r="D26" s="292"/>
      <c r="E26" s="292"/>
      <c r="F26" s="292"/>
      <c r="G26" s="292"/>
      <c r="H26" s="292"/>
      <c r="I26" s="292"/>
      <c r="J26" s="292"/>
      <c r="K26" s="292"/>
      <c r="L26" s="292"/>
      <c r="M26" s="292"/>
      <c r="N26" s="292"/>
      <c r="O26" s="292"/>
      <c r="P26" s="292"/>
      <c r="Q26" s="292"/>
      <c r="R26" s="292"/>
      <c r="S26" s="292"/>
      <c r="T26" s="292"/>
      <c r="U26" s="159"/>
    </row>
    <row r="27" spans="1:21" x14ac:dyDescent="0.25">
      <c r="A27" s="159"/>
      <c r="B27" s="292"/>
      <c r="C27" s="292"/>
      <c r="D27" s="292"/>
      <c r="E27" s="292"/>
      <c r="F27" s="292"/>
      <c r="G27" s="292"/>
      <c r="H27" s="292"/>
      <c r="I27" s="292"/>
      <c r="J27" s="292"/>
      <c r="K27" s="292"/>
      <c r="L27" s="292"/>
      <c r="M27" s="292"/>
      <c r="N27" s="292"/>
      <c r="O27" s="292"/>
      <c r="P27" s="292"/>
      <c r="Q27" s="292"/>
      <c r="R27" s="292"/>
      <c r="S27" s="292"/>
      <c r="T27" s="292"/>
      <c r="U27" s="159"/>
    </row>
    <row r="28" spans="1:21" x14ac:dyDescent="0.25">
      <c r="A28" s="159"/>
      <c r="B28" s="292"/>
      <c r="C28" s="292"/>
      <c r="D28" s="292"/>
      <c r="E28" s="292"/>
      <c r="F28" s="292"/>
      <c r="G28" s="292"/>
      <c r="H28" s="292"/>
      <c r="I28" s="292"/>
      <c r="J28" s="292"/>
      <c r="K28" s="292"/>
      <c r="L28" s="292"/>
      <c r="M28" s="292"/>
      <c r="N28" s="292"/>
      <c r="O28" s="292"/>
      <c r="P28" s="292"/>
      <c r="Q28" s="292"/>
      <c r="R28" s="292"/>
      <c r="S28" s="292"/>
      <c r="T28" s="292"/>
      <c r="U28" s="159"/>
    </row>
    <row r="29" spans="1:21" x14ac:dyDescent="0.25">
      <c r="A29" s="159"/>
      <c r="B29" s="292"/>
      <c r="C29" s="292"/>
      <c r="D29" s="292"/>
      <c r="E29" s="292"/>
      <c r="F29" s="292"/>
      <c r="G29" s="292"/>
      <c r="H29" s="292"/>
      <c r="I29" s="292"/>
      <c r="J29" s="292"/>
      <c r="K29" s="292"/>
      <c r="L29" s="292"/>
      <c r="M29" s="292"/>
      <c r="N29" s="292"/>
      <c r="O29" s="292"/>
      <c r="P29" s="292"/>
      <c r="Q29" s="292"/>
      <c r="R29" s="292"/>
      <c r="S29" s="292"/>
      <c r="T29" s="292"/>
      <c r="U29" s="159"/>
    </row>
    <row r="30" spans="1:21" x14ac:dyDescent="0.25">
      <c r="A30" s="159"/>
      <c r="B30" s="292"/>
      <c r="C30" s="292"/>
      <c r="D30" s="292"/>
      <c r="E30" s="292"/>
      <c r="F30" s="292"/>
      <c r="G30" s="292"/>
      <c r="H30" s="292"/>
      <c r="I30" s="292"/>
      <c r="J30" s="292"/>
      <c r="K30" s="292"/>
      <c r="L30" s="292"/>
      <c r="M30" s="292"/>
      <c r="N30" s="292"/>
      <c r="O30" s="292"/>
      <c r="P30" s="292"/>
      <c r="Q30" s="292"/>
      <c r="R30" s="292"/>
      <c r="S30" s="292"/>
      <c r="T30" s="292"/>
      <c r="U30" s="159"/>
    </row>
    <row r="31" spans="1:21" x14ac:dyDescent="0.25">
      <c r="A31" s="159"/>
      <c r="B31" s="292"/>
      <c r="C31" s="292"/>
      <c r="D31" s="292"/>
      <c r="E31" s="292"/>
      <c r="F31" s="292"/>
      <c r="G31" s="292"/>
      <c r="H31" s="292"/>
      <c r="I31" s="292"/>
      <c r="J31" s="292"/>
      <c r="K31" s="292"/>
      <c r="L31" s="292"/>
      <c r="M31" s="292"/>
      <c r="N31" s="292"/>
      <c r="O31" s="292"/>
      <c r="P31" s="292"/>
      <c r="Q31" s="292"/>
      <c r="R31" s="292"/>
      <c r="S31" s="292"/>
      <c r="T31" s="292"/>
      <c r="U31" s="159"/>
    </row>
    <row r="32" spans="1:21" x14ac:dyDescent="0.25">
      <c r="A32" s="159"/>
      <c r="B32" s="292"/>
      <c r="C32" s="292"/>
      <c r="D32" s="292"/>
      <c r="E32" s="292"/>
      <c r="F32" s="292"/>
      <c r="G32" s="292"/>
      <c r="H32" s="292"/>
      <c r="I32" s="292"/>
      <c r="J32" s="292"/>
      <c r="K32" s="292"/>
      <c r="L32" s="292"/>
      <c r="M32" s="292"/>
      <c r="N32" s="292"/>
      <c r="O32" s="292"/>
      <c r="P32" s="292"/>
      <c r="Q32" s="292"/>
      <c r="R32" s="292"/>
      <c r="S32" s="292"/>
      <c r="T32" s="292"/>
      <c r="U32" s="159"/>
    </row>
    <row r="33" spans="1:21" x14ac:dyDescent="0.25">
      <c r="A33" s="159"/>
      <c r="B33" s="292"/>
      <c r="C33" s="292"/>
      <c r="D33" s="292"/>
      <c r="E33" s="292"/>
      <c r="F33" s="292"/>
      <c r="G33" s="292"/>
      <c r="H33" s="292"/>
      <c r="I33" s="292"/>
      <c r="J33" s="292"/>
      <c r="K33" s="292"/>
      <c r="L33" s="292"/>
      <c r="M33" s="292"/>
      <c r="N33" s="292"/>
      <c r="O33" s="292"/>
      <c r="P33" s="292"/>
      <c r="Q33" s="292"/>
      <c r="R33" s="292"/>
      <c r="S33" s="292"/>
      <c r="T33" s="292"/>
      <c r="U33" s="159"/>
    </row>
    <row r="34" spans="1:21" x14ac:dyDescent="0.25">
      <c r="A34" s="159"/>
      <c r="B34" s="292"/>
      <c r="C34" s="292"/>
      <c r="D34" s="292"/>
      <c r="E34" s="292"/>
      <c r="F34" s="292"/>
      <c r="G34" s="292"/>
      <c r="H34" s="292"/>
      <c r="I34" s="292"/>
      <c r="J34" s="292"/>
      <c r="K34" s="292"/>
      <c r="L34" s="292"/>
      <c r="M34" s="292"/>
      <c r="N34" s="292"/>
      <c r="O34" s="292"/>
      <c r="P34" s="292"/>
      <c r="Q34" s="292"/>
      <c r="R34" s="292"/>
      <c r="S34" s="292"/>
      <c r="T34" s="292"/>
      <c r="U34" s="159"/>
    </row>
    <row r="35" spans="1:21" x14ac:dyDescent="0.25">
      <c r="A35" s="159"/>
      <c r="B35" s="292"/>
      <c r="C35" s="292"/>
      <c r="D35" s="292"/>
      <c r="E35" s="292"/>
      <c r="F35" s="292"/>
      <c r="G35" s="292"/>
      <c r="H35" s="292"/>
      <c r="I35" s="292"/>
      <c r="J35" s="292"/>
      <c r="K35" s="292"/>
      <c r="L35" s="292"/>
      <c r="M35" s="292"/>
      <c r="N35" s="292"/>
      <c r="O35" s="292"/>
      <c r="P35" s="292"/>
      <c r="Q35" s="292"/>
      <c r="R35" s="292"/>
      <c r="S35" s="292"/>
      <c r="T35" s="292"/>
      <c r="U35" s="159"/>
    </row>
    <row r="36" spans="1:21" x14ac:dyDescent="0.25">
      <c r="A36" s="159"/>
      <c r="B36" s="292"/>
      <c r="C36" s="292"/>
      <c r="D36" s="292"/>
      <c r="E36" s="292"/>
      <c r="F36" s="292"/>
      <c r="G36" s="292"/>
      <c r="H36" s="292"/>
      <c r="I36" s="292"/>
      <c r="J36" s="292"/>
      <c r="K36" s="292"/>
      <c r="L36" s="292"/>
      <c r="M36" s="292"/>
      <c r="N36" s="292"/>
      <c r="O36" s="292"/>
      <c r="P36" s="292"/>
      <c r="Q36" s="292"/>
      <c r="R36" s="292"/>
      <c r="S36" s="292"/>
      <c r="T36" s="292"/>
      <c r="U36" s="159"/>
    </row>
    <row r="37" spans="1:21" x14ac:dyDescent="0.25">
      <c r="A37" s="159"/>
      <c r="B37" s="292"/>
      <c r="C37" s="292"/>
      <c r="D37" s="292"/>
      <c r="E37" s="292"/>
      <c r="F37" s="292"/>
      <c r="G37" s="292"/>
      <c r="H37" s="292"/>
      <c r="I37" s="292"/>
      <c r="J37" s="292"/>
      <c r="K37" s="292"/>
      <c r="L37" s="292"/>
      <c r="M37" s="292"/>
      <c r="N37" s="292"/>
      <c r="O37" s="292"/>
      <c r="P37" s="292"/>
      <c r="Q37" s="292"/>
      <c r="R37" s="292"/>
      <c r="S37" s="292"/>
      <c r="T37" s="292"/>
      <c r="U37" s="159"/>
    </row>
    <row r="38" spans="1:21" x14ac:dyDescent="0.25">
      <c r="A38" s="159"/>
      <c r="B38" s="292"/>
      <c r="C38" s="292"/>
      <c r="D38" s="292"/>
      <c r="E38" s="292"/>
      <c r="F38" s="292"/>
      <c r="G38" s="292"/>
      <c r="H38" s="292"/>
      <c r="I38" s="292"/>
      <c r="J38" s="292"/>
      <c r="K38" s="292"/>
      <c r="L38" s="292"/>
      <c r="M38" s="292"/>
      <c r="N38" s="292"/>
      <c r="O38" s="292"/>
      <c r="P38" s="292"/>
      <c r="Q38" s="292"/>
      <c r="R38" s="292"/>
      <c r="S38" s="292"/>
      <c r="T38" s="292"/>
      <c r="U38" s="159"/>
    </row>
    <row r="39" spans="1:21" x14ac:dyDescent="0.25">
      <c r="A39" s="159"/>
      <c r="B39" s="292"/>
      <c r="C39" s="292"/>
      <c r="D39" s="292"/>
      <c r="E39" s="292"/>
      <c r="F39" s="292"/>
      <c r="G39" s="292"/>
      <c r="H39" s="292"/>
      <c r="I39" s="292"/>
      <c r="J39" s="292"/>
      <c r="K39" s="292"/>
      <c r="L39" s="292"/>
      <c r="M39" s="292"/>
      <c r="N39" s="292"/>
      <c r="O39" s="292"/>
      <c r="P39" s="292"/>
      <c r="Q39" s="292"/>
      <c r="R39" s="292"/>
      <c r="S39" s="292"/>
      <c r="T39" s="292"/>
      <c r="U39" s="159"/>
    </row>
    <row r="40" spans="1:21" x14ac:dyDescent="0.25">
      <c r="A40" s="159"/>
      <c r="B40" s="292"/>
      <c r="C40" s="292"/>
      <c r="D40" s="292"/>
      <c r="E40" s="292"/>
      <c r="F40" s="292"/>
      <c r="G40" s="292"/>
      <c r="H40" s="292"/>
      <c r="I40" s="292"/>
      <c r="J40" s="292"/>
      <c r="K40" s="292"/>
      <c r="L40" s="292"/>
      <c r="M40" s="292"/>
      <c r="N40" s="292"/>
      <c r="O40" s="292"/>
      <c r="P40" s="292"/>
      <c r="Q40" s="292"/>
      <c r="R40" s="292"/>
      <c r="S40" s="292"/>
      <c r="T40" s="292"/>
      <c r="U40" s="159"/>
    </row>
    <row r="41" spans="1:21" x14ac:dyDescent="0.25">
      <c r="A41" s="159"/>
      <c r="B41" s="292"/>
      <c r="C41" s="292"/>
      <c r="D41" s="292"/>
      <c r="E41" s="292"/>
      <c r="F41" s="292"/>
      <c r="G41" s="292"/>
      <c r="H41" s="292"/>
      <c r="I41" s="292"/>
      <c r="J41" s="292"/>
      <c r="K41" s="292"/>
      <c r="L41" s="292"/>
      <c r="M41" s="292"/>
      <c r="N41" s="292"/>
      <c r="O41" s="292"/>
      <c r="P41" s="292"/>
      <c r="Q41" s="292"/>
      <c r="R41" s="292"/>
      <c r="S41" s="292"/>
      <c r="T41" s="292"/>
      <c r="U41" s="159"/>
    </row>
    <row r="42" spans="1:21" x14ac:dyDescent="0.25">
      <c r="A42" s="159"/>
      <c r="B42" s="292"/>
      <c r="C42" s="292"/>
      <c r="D42" s="292"/>
      <c r="E42" s="292"/>
      <c r="F42" s="292"/>
      <c r="G42" s="292"/>
      <c r="H42" s="292"/>
      <c r="I42" s="292"/>
      <c r="J42" s="292"/>
      <c r="K42" s="292"/>
      <c r="L42" s="292"/>
      <c r="M42" s="292"/>
      <c r="N42" s="292"/>
      <c r="O42" s="292"/>
      <c r="P42" s="292"/>
      <c r="Q42" s="292"/>
      <c r="R42" s="292"/>
      <c r="S42" s="292"/>
      <c r="T42" s="292"/>
      <c r="U42" s="159"/>
    </row>
    <row r="43" spans="1:21" x14ac:dyDescent="0.25">
      <c r="A43" s="159"/>
      <c r="B43" s="292"/>
      <c r="C43" s="292"/>
      <c r="D43" s="292"/>
      <c r="E43" s="292"/>
      <c r="F43" s="292"/>
      <c r="G43" s="292"/>
      <c r="H43" s="292"/>
      <c r="I43" s="292"/>
      <c r="J43" s="292"/>
      <c r="K43" s="292"/>
      <c r="L43" s="292"/>
      <c r="M43" s="292"/>
      <c r="N43" s="292"/>
      <c r="O43" s="292"/>
      <c r="P43" s="292"/>
      <c r="Q43" s="292"/>
      <c r="R43" s="292"/>
      <c r="S43" s="292"/>
      <c r="T43" s="292"/>
      <c r="U43" s="159"/>
    </row>
    <row r="44" spans="1:21" x14ac:dyDescent="0.25">
      <c r="A44" s="159"/>
      <c r="B44" s="292"/>
      <c r="C44" s="292"/>
      <c r="D44" s="292"/>
      <c r="E44" s="292"/>
      <c r="F44" s="292"/>
      <c r="G44" s="292"/>
      <c r="H44" s="292"/>
      <c r="I44" s="292"/>
      <c r="J44" s="292"/>
      <c r="K44" s="292"/>
      <c r="L44" s="292"/>
      <c r="M44" s="292"/>
      <c r="N44" s="292"/>
      <c r="O44" s="292"/>
      <c r="P44" s="292"/>
      <c r="Q44" s="292"/>
      <c r="R44" s="292"/>
      <c r="S44" s="292"/>
      <c r="T44" s="292"/>
      <c r="U44" s="159"/>
    </row>
    <row r="45" spans="1:21" x14ac:dyDescent="0.25">
      <c r="A45" s="159"/>
      <c r="B45" s="292"/>
      <c r="C45" s="292"/>
      <c r="D45" s="292"/>
      <c r="E45" s="292"/>
      <c r="F45" s="292"/>
      <c r="G45" s="292"/>
      <c r="H45" s="292"/>
      <c r="I45" s="292"/>
      <c r="J45" s="292"/>
      <c r="K45" s="292"/>
      <c r="L45" s="292"/>
      <c r="M45" s="292"/>
      <c r="N45" s="292"/>
      <c r="O45" s="292"/>
      <c r="P45" s="292"/>
      <c r="Q45" s="292"/>
      <c r="R45" s="292"/>
      <c r="S45" s="292"/>
      <c r="T45" s="292"/>
      <c r="U45" s="159"/>
    </row>
    <row r="46" spans="1:21" x14ac:dyDescent="0.25">
      <c r="A46" s="159"/>
      <c r="B46" s="292"/>
      <c r="C46" s="292"/>
      <c r="D46" s="292"/>
      <c r="E46" s="292"/>
      <c r="F46" s="292"/>
      <c r="G46" s="292"/>
      <c r="H46" s="292"/>
      <c r="I46" s="292"/>
      <c r="J46" s="292"/>
      <c r="K46" s="292"/>
      <c r="L46" s="292"/>
      <c r="M46" s="292"/>
      <c r="N46" s="292"/>
      <c r="O46" s="292"/>
      <c r="P46" s="292"/>
      <c r="Q46" s="292"/>
      <c r="R46" s="292"/>
      <c r="S46" s="292"/>
      <c r="T46" s="292"/>
      <c r="U46" s="159"/>
    </row>
    <row r="47" spans="1:21" x14ac:dyDescent="0.25">
      <c r="A47" s="159"/>
      <c r="B47" s="292"/>
      <c r="C47" s="292"/>
      <c r="D47" s="292"/>
      <c r="E47" s="292"/>
      <c r="F47" s="292"/>
      <c r="G47" s="292"/>
      <c r="H47" s="292"/>
      <c r="I47" s="292"/>
      <c r="J47" s="292"/>
      <c r="K47" s="292"/>
      <c r="L47" s="292"/>
      <c r="M47" s="292"/>
      <c r="N47" s="292"/>
      <c r="O47" s="292"/>
      <c r="P47" s="292"/>
      <c r="Q47" s="292"/>
      <c r="R47" s="292"/>
      <c r="S47" s="292"/>
      <c r="T47" s="292"/>
      <c r="U47" s="159"/>
    </row>
    <row r="48" spans="1:21" x14ac:dyDescent="0.25">
      <c r="A48" s="159"/>
      <c r="B48" s="292"/>
      <c r="C48" s="292"/>
      <c r="D48" s="292"/>
      <c r="E48" s="292"/>
      <c r="F48" s="292"/>
      <c r="G48" s="292"/>
      <c r="H48" s="292"/>
      <c r="I48" s="292"/>
      <c r="J48" s="292"/>
      <c r="K48" s="292"/>
      <c r="L48" s="292"/>
      <c r="M48" s="292"/>
      <c r="N48" s="292"/>
      <c r="O48" s="292"/>
      <c r="P48" s="292"/>
      <c r="Q48" s="292"/>
      <c r="R48" s="292"/>
      <c r="S48" s="292"/>
      <c r="T48" s="292"/>
      <c r="U48" s="159"/>
    </row>
    <row r="49" spans="1:21" x14ac:dyDescent="0.25">
      <c r="A49" s="159"/>
      <c r="B49" s="292"/>
      <c r="C49" s="292"/>
      <c r="D49" s="292"/>
      <c r="E49" s="292"/>
      <c r="F49" s="292"/>
      <c r="G49" s="292"/>
      <c r="H49" s="292"/>
      <c r="I49" s="292"/>
      <c r="J49" s="292"/>
      <c r="K49" s="292"/>
      <c r="L49" s="292"/>
      <c r="M49" s="292"/>
      <c r="N49" s="292"/>
      <c r="O49" s="292"/>
      <c r="P49" s="292"/>
      <c r="Q49" s="292"/>
      <c r="R49" s="292"/>
      <c r="S49" s="292"/>
      <c r="T49" s="292"/>
      <c r="U49" s="159"/>
    </row>
    <row r="50" spans="1:21" x14ac:dyDescent="0.25">
      <c r="A50" s="159"/>
      <c r="B50" s="292"/>
      <c r="C50" s="292"/>
      <c r="D50" s="292"/>
      <c r="E50" s="292"/>
      <c r="F50" s="292"/>
      <c r="G50" s="292"/>
      <c r="H50" s="292"/>
      <c r="I50" s="292"/>
      <c r="J50" s="292"/>
      <c r="K50" s="292"/>
      <c r="L50" s="292"/>
      <c r="M50" s="292"/>
      <c r="N50" s="292"/>
      <c r="O50" s="292"/>
      <c r="P50" s="292"/>
      <c r="Q50" s="292"/>
      <c r="R50" s="292"/>
      <c r="S50" s="292"/>
      <c r="T50" s="292"/>
      <c r="U50" s="159"/>
    </row>
    <row r="51" spans="1:21" x14ac:dyDescent="0.25">
      <c r="A51" s="159"/>
      <c r="B51" s="292"/>
      <c r="C51" s="292"/>
      <c r="D51" s="292"/>
      <c r="E51" s="292"/>
      <c r="F51" s="292"/>
      <c r="G51" s="292"/>
      <c r="H51" s="292"/>
      <c r="I51" s="292"/>
      <c r="J51" s="292"/>
      <c r="K51" s="292"/>
      <c r="L51" s="292"/>
      <c r="M51" s="292"/>
      <c r="N51" s="292"/>
      <c r="O51" s="292"/>
      <c r="P51" s="292"/>
      <c r="Q51" s="292"/>
      <c r="R51" s="292"/>
      <c r="S51" s="292"/>
      <c r="T51" s="292"/>
      <c r="U51" s="159"/>
    </row>
    <row r="52" spans="1:21" x14ac:dyDescent="0.25">
      <c r="A52" s="159"/>
      <c r="B52" s="292"/>
      <c r="C52" s="292"/>
      <c r="D52" s="292"/>
      <c r="E52" s="292"/>
      <c r="F52" s="292"/>
      <c r="G52" s="292"/>
      <c r="H52" s="292"/>
      <c r="I52" s="292"/>
      <c r="J52" s="292"/>
      <c r="K52" s="292"/>
      <c r="L52" s="292"/>
      <c r="M52" s="292"/>
      <c r="N52" s="292"/>
      <c r="O52" s="292"/>
      <c r="P52" s="292"/>
      <c r="Q52" s="292"/>
      <c r="R52" s="292"/>
      <c r="S52" s="292"/>
      <c r="T52" s="292"/>
      <c r="U52" s="159"/>
    </row>
    <row r="53" spans="1:21" x14ac:dyDescent="0.25">
      <c r="A53" s="159"/>
      <c r="B53" s="292"/>
      <c r="C53" s="292"/>
      <c r="D53" s="292"/>
      <c r="E53" s="292"/>
      <c r="F53" s="292"/>
      <c r="G53" s="292"/>
      <c r="H53" s="292"/>
      <c r="I53" s="292"/>
      <c r="J53" s="292"/>
      <c r="K53" s="292"/>
      <c r="L53" s="292"/>
      <c r="M53" s="292"/>
      <c r="N53" s="292"/>
      <c r="O53" s="292"/>
      <c r="P53" s="292"/>
      <c r="Q53" s="292"/>
      <c r="R53" s="292"/>
      <c r="S53" s="292"/>
      <c r="T53" s="292"/>
      <c r="U53" s="159"/>
    </row>
    <row r="54" spans="1:21" x14ac:dyDescent="0.25">
      <c r="A54" s="159"/>
      <c r="B54" s="292"/>
      <c r="C54" s="292"/>
      <c r="D54" s="292"/>
      <c r="E54" s="292"/>
      <c r="F54" s="292"/>
      <c r="G54" s="292"/>
      <c r="H54" s="292"/>
      <c r="I54" s="292"/>
      <c r="J54" s="292"/>
      <c r="K54" s="292"/>
      <c r="L54" s="292"/>
      <c r="M54" s="292"/>
      <c r="N54" s="292"/>
      <c r="O54" s="292"/>
      <c r="P54" s="292"/>
      <c r="Q54" s="292"/>
      <c r="R54" s="292"/>
      <c r="S54" s="292"/>
      <c r="T54" s="292"/>
      <c r="U54" s="159"/>
    </row>
    <row r="55" spans="1:21" x14ac:dyDescent="0.25">
      <c r="A55" s="159"/>
      <c r="B55" s="292"/>
      <c r="C55" s="292"/>
      <c r="D55" s="292"/>
      <c r="E55" s="292"/>
      <c r="F55" s="292"/>
      <c r="G55" s="292"/>
      <c r="H55" s="292"/>
      <c r="I55" s="292"/>
      <c r="J55" s="292"/>
      <c r="K55" s="292"/>
      <c r="L55" s="292"/>
      <c r="M55" s="292"/>
      <c r="N55" s="292"/>
      <c r="O55" s="292"/>
      <c r="P55" s="292"/>
      <c r="Q55" s="292"/>
      <c r="R55" s="292"/>
      <c r="S55" s="292"/>
      <c r="T55" s="292"/>
      <c r="U55" s="159"/>
    </row>
    <row r="56" spans="1:21" x14ac:dyDescent="0.25">
      <c r="A56" s="159"/>
      <c r="B56" s="292"/>
      <c r="C56" s="292"/>
      <c r="D56" s="292"/>
      <c r="E56" s="292"/>
      <c r="F56" s="292"/>
      <c r="G56" s="292"/>
      <c r="H56" s="292"/>
      <c r="I56" s="292"/>
      <c r="J56" s="292"/>
      <c r="K56" s="292"/>
      <c r="L56" s="292"/>
      <c r="M56" s="292"/>
      <c r="N56" s="292"/>
      <c r="O56" s="292"/>
      <c r="P56" s="292"/>
      <c r="Q56" s="292"/>
      <c r="R56" s="292"/>
      <c r="S56" s="292"/>
      <c r="T56" s="292"/>
      <c r="U56" s="159"/>
    </row>
    <row r="57" spans="1:21" x14ac:dyDescent="0.25">
      <c r="A57" s="159"/>
      <c r="B57" s="292"/>
      <c r="C57" s="292"/>
      <c r="D57" s="292"/>
      <c r="E57" s="292"/>
      <c r="F57" s="292"/>
      <c r="G57" s="292"/>
      <c r="H57" s="292"/>
      <c r="I57" s="292"/>
      <c r="J57" s="292"/>
      <c r="K57" s="292"/>
      <c r="L57" s="292"/>
      <c r="M57" s="292"/>
      <c r="N57" s="292"/>
      <c r="O57" s="292"/>
      <c r="P57" s="292"/>
      <c r="Q57" s="292"/>
      <c r="R57" s="292"/>
      <c r="S57" s="292"/>
      <c r="T57" s="292"/>
      <c r="U57" s="159"/>
    </row>
    <row r="58" spans="1:21" x14ac:dyDescent="0.25">
      <c r="A58" s="159"/>
      <c r="B58" s="292"/>
      <c r="C58" s="292"/>
      <c r="D58" s="292"/>
      <c r="E58" s="292"/>
      <c r="F58" s="292"/>
      <c r="G58" s="292"/>
      <c r="H58" s="292"/>
      <c r="I58" s="292"/>
      <c r="J58" s="292"/>
      <c r="K58" s="292"/>
      <c r="L58" s="292"/>
      <c r="M58" s="292"/>
      <c r="N58" s="292"/>
      <c r="O58" s="292"/>
      <c r="P58" s="292"/>
      <c r="Q58" s="292"/>
      <c r="R58" s="292"/>
      <c r="S58" s="292"/>
      <c r="T58" s="292"/>
      <c r="U58" s="159"/>
    </row>
    <row r="59" spans="1:21" x14ac:dyDescent="0.25">
      <c r="A59" s="159"/>
      <c r="B59" s="292"/>
      <c r="C59" s="292"/>
      <c r="D59" s="292"/>
      <c r="E59" s="292"/>
      <c r="F59" s="292"/>
      <c r="G59" s="292"/>
      <c r="H59" s="292"/>
      <c r="I59" s="292"/>
      <c r="J59" s="292"/>
      <c r="K59" s="292"/>
      <c r="L59" s="292"/>
      <c r="M59" s="292"/>
      <c r="N59" s="292"/>
      <c r="O59" s="292"/>
      <c r="P59" s="292"/>
      <c r="Q59" s="292"/>
      <c r="R59" s="292"/>
      <c r="S59" s="292"/>
      <c r="T59" s="292"/>
      <c r="U59" s="159"/>
    </row>
    <row r="60" spans="1:21" x14ac:dyDescent="0.25">
      <c r="A60" s="159"/>
      <c r="B60" s="292"/>
      <c r="C60" s="292"/>
      <c r="D60" s="292"/>
      <c r="E60" s="292"/>
      <c r="F60" s="292"/>
      <c r="G60" s="292"/>
      <c r="H60" s="292"/>
      <c r="I60" s="292"/>
      <c r="J60" s="292"/>
      <c r="K60" s="292"/>
      <c r="L60" s="292"/>
      <c r="M60" s="292"/>
      <c r="N60" s="292"/>
      <c r="O60" s="292"/>
      <c r="P60" s="292"/>
      <c r="Q60" s="292"/>
      <c r="R60" s="292"/>
      <c r="S60" s="292"/>
      <c r="T60" s="292"/>
      <c r="U60" s="159"/>
    </row>
    <row r="61" spans="1:21" x14ac:dyDescent="0.25">
      <c r="A61" s="159"/>
      <c r="B61" s="159"/>
      <c r="C61" s="159"/>
      <c r="D61" s="159"/>
      <c r="E61" s="159"/>
      <c r="F61" s="159"/>
      <c r="G61" s="159"/>
      <c r="H61" s="159"/>
      <c r="I61" s="159"/>
      <c r="J61" s="159"/>
      <c r="K61" s="159"/>
      <c r="L61" s="159"/>
      <c r="M61" s="159"/>
      <c r="N61" s="159"/>
      <c r="O61" s="159"/>
      <c r="P61" s="159"/>
      <c r="Q61" s="159"/>
      <c r="R61" s="159"/>
      <c r="S61" s="159"/>
      <c r="T61" s="159"/>
      <c r="U61" s="159"/>
    </row>
    <row r="62" spans="1:21" x14ac:dyDescent="0.25"/>
    <row r="63" spans="1:21" x14ac:dyDescent="0.25"/>
    <row r="64" spans="1:21" x14ac:dyDescent="0.25"/>
  </sheetData>
  <sheetProtection algorithmName="SHA-512" hashValue="fbYMEtfhut0HzvG980wyurzcqoPFIEWmtceVFIl8FeHSmING11hgQWzctTBg8L0cPjucEbQvqnCdd0cGhSDN6w==" saltValue="ot7rWe449gVIl5+vh15vQA==" spinCount="100000" sheet="1" objects="1" scenarios="1" formatCells="0"/>
  <mergeCells count="2">
    <mergeCell ref="B3:T60"/>
    <mergeCell ref="B2:Q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ABD3D-47AF-4FD2-AA83-004A161B7CC9}">
  <sheetPr codeName="Select_STRs">
    <tabColor theme="9" tint="0.79998168889431442"/>
  </sheetPr>
  <dimension ref="A1:AI140"/>
  <sheetViews>
    <sheetView zoomScale="115" zoomScaleNormal="115" workbookViewId="0">
      <pane ySplit="4" topLeftCell="A5" activePane="bottomLeft" state="frozen"/>
      <selection pane="bottomLeft" activeCell="B15" sqref="B15"/>
    </sheetView>
  </sheetViews>
  <sheetFormatPr defaultColWidth="0" defaultRowHeight="15" zeroHeight="1" x14ac:dyDescent="0.25"/>
  <cols>
    <col min="1" max="1" width="3.28515625" customWidth="1"/>
    <col min="2" max="21" width="9" customWidth="1"/>
    <col min="22" max="22" width="21" customWidth="1"/>
    <col min="23" max="23" width="2.5703125" customWidth="1"/>
    <col min="24" max="25" width="9" hidden="1" customWidth="1"/>
    <col min="26" max="27" width="9" style="4" hidden="1" customWidth="1"/>
    <col min="28" max="28" width="28.85546875" style="4" hidden="1" customWidth="1"/>
    <col min="29" max="32" width="9" style="4" hidden="1" customWidth="1"/>
    <col min="33" max="35" width="0" hidden="1" customWidth="1"/>
    <col min="36" max="16384" width="9" hidden="1"/>
  </cols>
  <sheetData>
    <row r="1" spans="1:35" ht="24" customHeight="1" x14ac:dyDescent="0.25">
      <c r="A1" s="159"/>
      <c r="B1" s="160" t="s">
        <v>124</v>
      </c>
      <c r="C1" s="159"/>
      <c r="D1" s="159"/>
      <c r="E1" s="159"/>
      <c r="F1" s="159"/>
      <c r="G1" s="159"/>
      <c r="H1" s="159"/>
      <c r="I1" s="159"/>
      <c r="J1" s="159"/>
      <c r="K1" s="159"/>
      <c r="L1" s="159"/>
      <c r="M1" s="159"/>
      <c r="N1" s="159"/>
      <c r="O1" s="159"/>
      <c r="P1" s="159"/>
      <c r="Q1" s="159"/>
      <c r="R1" s="159"/>
      <c r="S1" s="159"/>
      <c r="T1" s="159"/>
      <c r="U1" s="159"/>
      <c r="V1" s="159"/>
      <c r="W1" s="159"/>
      <c r="X1" s="159"/>
      <c r="Y1" s="136"/>
      <c r="Z1" s="217" t="s">
        <v>1625</v>
      </c>
      <c r="AA1" s="217" t="s">
        <v>1949</v>
      </c>
      <c r="AB1" s="218" t="s">
        <v>1624</v>
      </c>
      <c r="AC1" s="216" t="s">
        <v>1948</v>
      </c>
      <c r="AD1" s="216" t="s">
        <v>1700</v>
      </c>
      <c r="AG1" s="4" t="s">
        <v>1626</v>
      </c>
      <c r="AH1" s="4" t="s">
        <v>1627</v>
      </c>
      <c r="AI1" s="4" t="s">
        <v>1635</v>
      </c>
    </row>
    <row r="2" spans="1:35" x14ac:dyDescent="0.25">
      <c r="A2" s="159"/>
      <c r="B2" s="159"/>
      <c r="C2" s="159"/>
      <c r="D2" s="159"/>
      <c r="E2" s="159"/>
      <c r="F2" s="159"/>
      <c r="G2" s="159"/>
      <c r="H2" s="159"/>
      <c r="I2" s="159"/>
      <c r="J2" s="159"/>
      <c r="K2" s="159"/>
      <c r="L2" s="159"/>
      <c r="M2" s="159"/>
      <c r="N2" s="159"/>
      <c r="O2" s="159"/>
      <c r="P2" s="159"/>
      <c r="Q2" s="159"/>
      <c r="R2" s="159"/>
      <c r="S2" s="159"/>
      <c r="T2" s="159"/>
      <c r="U2" s="159"/>
      <c r="V2" s="159"/>
      <c r="W2" s="159"/>
      <c r="X2" s="159"/>
      <c r="Y2" s="136"/>
      <c r="Z2" s="209" t="b">
        <v>1</v>
      </c>
      <c r="AG2" s="208" t="s">
        <v>1615</v>
      </c>
      <c r="AH2" s="208" t="s">
        <v>1956</v>
      </c>
      <c r="AI2" s="208" t="b">
        <f>NOT(cbEMP)</f>
        <v>1</v>
      </c>
    </row>
    <row r="3" spans="1:35" x14ac:dyDescent="0.25">
      <c r="A3" s="159"/>
      <c r="B3" s="159"/>
      <c r="C3" s="159"/>
      <c r="D3" s="159"/>
      <c r="E3" s="159"/>
      <c r="F3" s="159"/>
      <c r="G3" s="159"/>
      <c r="H3" s="159"/>
      <c r="I3" s="159"/>
      <c r="J3" s="159"/>
      <c r="K3" s="159"/>
      <c r="L3" s="159"/>
      <c r="M3" s="159"/>
      <c r="N3" s="159"/>
      <c r="O3" s="159"/>
      <c r="P3" s="159"/>
      <c r="Q3" s="159"/>
      <c r="R3" s="159"/>
      <c r="S3" s="159"/>
      <c r="T3" s="159"/>
      <c r="U3" s="159"/>
      <c r="V3" s="159"/>
      <c r="W3" s="159"/>
      <c r="X3" s="159"/>
      <c r="Y3" s="136"/>
      <c r="Z3" s="209" t="b">
        <v>1</v>
      </c>
      <c r="AG3" s="208" t="s">
        <v>1616</v>
      </c>
      <c r="AH3" s="208" t="s">
        <v>1956</v>
      </c>
      <c r="AI3" s="208" t="b">
        <f>NOT(cbEDU)</f>
        <v>1</v>
      </c>
    </row>
    <row r="4" spans="1:35" ht="18.75" customHeight="1" x14ac:dyDescent="0.25">
      <c r="A4" s="159"/>
      <c r="B4" s="159"/>
      <c r="C4" s="159"/>
      <c r="D4" s="159"/>
      <c r="E4" s="159"/>
      <c r="F4" s="159"/>
      <c r="G4" s="159"/>
      <c r="H4" s="159"/>
      <c r="I4" s="159"/>
      <c r="J4" s="159"/>
      <c r="K4" s="159"/>
      <c r="L4" s="159"/>
      <c r="M4" s="159"/>
      <c r="N4" s="159"/>
      <c r="O4" s="159"/>
      <c r="P4" s="159"/>
      <c r="Q4" s="159"/>
      <c r="R4" s="159"/>
      <c r="S4" s="159"/>
      <c r="T4" s="159"/>
      <c r="U4" s="159"/>
      <c r="V4" s="159"/>
      <c r="W4" s="159"/>
      <c r="X4" s="159"/>
      <c r="Y4" s="136"/>
      <c r="Z4" s="209" t="b">
        <v>1</v>
      </c>
      <c r="AG4" s="208" t="s">
        <v>1617</v>
      </c>
      <c r="AH4" s="208" t="s">
        <v>1956</v>
      </c>
      <c r="AI4" s="208" t="b">
        <f>NOT(cbINF)</f>
        <v>1</v>
      </c>
    </row>
    <row r="5" spans="1:35" ht="9" customHeight="1" x14ac:dyDescent="0.25">
      <c r="A5" s="159"/>
      <c r="B5" s="136"/>
      <c r="C5" s="136"/>
      <c r="D5" s="136"/>
      <c r="E5" s="136"/>
      <c r="F5" s="136"/>
      <c r="G5" s="136"/>
      <c r="H5" s="136"/>
      <c r="I5" s="136"/>
      <c r="J5" s="136"/>
      <c r="K5" s="136"/>
      <c r="L5" s="136"/>
      <c r="M5" s="136"/>
      <c r="N5" s="136"/>
      <c r="O5" s="136"/>
      <c r="P5" s="136"/>
      <c r="Q5" s="136"/>
      <c r="R5" s="136"/>
      <c r="S5" s="136"/>
      <c r="T5" s="136"/>
      <c r="U5" s="136"/>
      <c r="V5" s="136"/>
      <c r="W5" s="159"/>
      <c r="X5" s="159"/>
      <c r="Y5" s="136"/>
      <c r="Z5" s="209" t="b">
        <v>1</v>
      </c>
      <c r="AG5" s="208" t="s">
        <v>1618</v>
      </c>
      <c r="AH5" s="208" t="s">
        <v>1956</v>
      </c>
      <c r="AI5" s="208" t="b">
        <f>NOT(cbHOU)</f>
        <v>1</v>
      </c>
    </row>
    <row r="6" spans="1:35" x14ac:dyDescent="0.25">
      <c r="A6" s="159"/>
      <c r="B6" s="138" t="s">
        <v>166</v>
      </c>
      <c r="C6" s="136"/>
      <c r="D6" s="136"/>
      <c r="E6" s="136"/>
      <c r="F6" s="136"/>
      <c r="G6" s="136"/>
      <c r="H6" s="136"/>
      <c r="I6" s="136"/>
      <c r="J6" s="136"/>
      <c r="K6" s="136"/>
      <c r="L6" s="136"/>
      <c r="M6" s="136"/>
      <c r="N6" s="136"/>
      <c r="O6" s="136"/>
      <c r="P6" s="136"/>
      <c r="Q6" s="136"/>
      <c r="R6" s="136"/>
      <c r="S6" s="136"/>
      <c r="T6" s="136"/>
      <c r="U6" s="136"/>
      <c r="V6" s="136"/>
      <c r="W6" s="159"/>
      <c r="X6" s="159"/>
      <c r="Y6" s="136"/>
      <c r="Z6" s="4" t="b">
        <f>AND(_xlfn.XLOOKUP(AA6,cmdTable,cmdSetting,"Off")="On",NOT(_xlfn.XLOOKUP(AA6,cmdTable,cmdDisabled,FALSE)))</f>
        <v>0</v>
      </c>
      <c r="AA6" s="4" t="s">
        <v>1615</v>
      </c>
      <c r="AG6" s="208" t="s">
        <v>1619</v>
      </c>
      <c r="AH6" s="208" t="s">
        <v>1956</v>
      </c>
      <c r="AI6" s="208" t="b">
        <f>NOT(cbHLTH)</f>
        <v>1</v>
      </c>
    </row>
    <row r="7" spans="1:35" x14ac:dyDescent="0.25">
      <c r="A7" s="159"/>
      <c r="B7" s="138"/>
      <c r="C7" s="136"/>
      <c r="D7" s="136"/>
      <c r="E7" s="136"/>
      <c r="F7" s="136"/>
      <c r="G7" s="136"/>
      <c r="H7" s="136"/>
      <c r="I7" s="136"/>
      <c r="J7" s="136"/>
      <c r="K7" s="136"/>
      <c r="L7" s="136"/>
      <c r="M7" s="136"/>
      <c r="N7" s="136"/>
      <c r="O7" s="136"/>
      <c r="P7" s="136"/>
      <c r="Q7" s="136"/>
      <c r="R7" s="136"/>
      <c r="S7" s="136"/>
      <c r="T7" s="136"/>
      <c r="U7" s="136"/>
      <c r="V7" s="136"/>
      <c r="W7" s="159"/>
      <c r="X7" s="159"/>
      <c r="Y7" s="136"/>
      <c r="Z7" s="4" t="b">
        <f>AND(_xlfn.XLOOKUP(AA7,cmdTable,cmdSetting,"Off")="On",NOT(_xlfn.XLOOKUP(AA7,cmdTable,cmdDisabled,FALSE)))</f>
        <v>0</v>
      </c>
      <c r="AA7" s="4" t="s">
        <v>1615</v>
      </c>
      <c r="AG7" s="208" t="s">
        <v>1634</v>
      </c>
      <c r="AH7" s="208" t="s">
        <v>1956</v>
      </c>
      <c r="AI7" s="208" t="b">
        <f>NOT(cbCIVG)</f>
        <v>1</v>
      </c>
    </row>
    <row r="8" spans="1:35" x14ac:dyDescent="0.25">
      <c r="A8" s="159"/>
      <c r="B8" s="171"/>
      <c r="C8" s="136" t="s">
        <v>1142</v>
      </c>
      <c r="D8" s="136"/>
      <c r="E8" s="136"/>
      <c r="F8" s="136"/>
      <c r="G8" s="136"/>
      <c r="H8" s="136"/>
      <c r="I8" s="136"/>
      <c r="J8" s="136"/>
      <c r="K8" s="136"/>
      <c r="L8" s="136"/>
      <c r="M8" s="136"/>
      <c r="N8" s="136"/>
      <c r="O8" s="136"/>
      <c r="P8" s="136"/>
      <c r="Q8" s="136"/>
      <c r="R8" s="136"/>
      <c r="S8" s="136"/>
      <c r="T8" s="136"/>
      <c r="U8" s="136"/>
      <c r="V8" s="136"/>
      <c r="W8" s="159"/>
      <c r="X8" s="159"/>
      <c r="Y8" s="136"/>
      <c r="Z8" s="4" t="b">
        <f>AND(_xlfn.XLOOKUP(AA8,cmdTable,cmdSetting,"Off")="On",NOT(_xlfn.XLOOKUP(AA8,cmdTable,cmdDisabled,FALSE)))</f>
        <v>0</v>
      </c>
      <c r="AA8" s="4" t="s">
        <v>1615</v>
      </c>
      <c r="AB8" s="4" t="s">
        <v>997</v>
      </c>
      <c r="AC8" s="4" t="b">
        <v>0</v>
      </c>
      <c r="AD8" s="4" t="b">
        <v>0</v>
      </c>
      <c r="AG8" s="208" t="s">
        <v>1655</v>
      </c>
      <c r="AH8" s="208" t="s">
        <v>1623</v>
      </c>
      <c r="AI8" s="210" t="b">
        <v>0</v>
      </c>
    </row>
    <row r="9" spans="1:35" x14ac:dyDescent="0.25">
      <c r="A9" s="159"/>
      <c r="B9" s="171"/>
      <c r="C9" s="136" t="s">
        <v>1143</v>
      </c>
      <c r="D9" s="136"/>
      <c r="E9" s="136"/>
      <c r="F9" s="136"/>
      <c r="G9" s="136"/>
      <c r="H9" s="136"/>
      <c r="I9" s="136"/>
      <c r="J9" s="136"/>
      <c r="K9" s="136"/>
      <c r="L9" s="136"/>
      <c r="M9" s="136"/>
      <c r="N9" s="136"/>
      <c r="O9" s="136"/>
      <c r="P9" s="136"/>
      <c r="Q9" s="136"/>
      <c r="R9" s="136"/>
      <c r="S9" s="136"/>
      <c r="T9" s="136"/>
      <c r="U9" s="136"/>
      <c r="V9" s="136"/>
      <c r="W9" s="159"/>
      <c r="X9" s="159"/>
      <c r="Y9" s="136"/>
      <c r="Z9" s="4" t="b">
        <f t="shared" ref="Z9:Z42" si="0">AND(_xlfn.XLOOKUP(AA9,cmdTable,cmdSetting,"Off")="On",NOT(_xlfn.XLOOKUP(AA9,cmdTable,cmdDisabled,FALSE)))</f>
        <v>0</v>
      </c>
      <c r="AA9" s="4" t="s">
        <v>1615</v>
      </c>
      <c r="AB9" s="4" t="s">
        <v>998</v>
      </c>
      <c r="AC9" s="4" t="b">
        <v>0</v>
      </c>
      <c r="AD9" s="4" t="b">
        <v>0</v>
      </c>
      <c r="AG9" s="208" t="s">
        <v>1656</v>
      </c>
      <c r="AH9" s="208" t="s">
        <v>1623</v>
      </c>
      <c r="AI9" s="210" t="b">
        <v>0</v>
      </c>
    </row>
    <row r="10" spans="1:35" x14ac:dyDescent="0.25">
      <c r="A10" s="159"/>
      <c r="B10" s="171"/>
      <c r="C10" s="136" t="s">
        <v>1144</v>
      </c>
      <c r="D10" s="136"/>
      <c r="E10" s="136"/>
      <c r="F10" s="136"/>
      <c r="G10" s="136"/>
      <c r="H10" s="136"/>
      <c r="I10" s="136"/>
      <c r="J10" s="136"/>
      <c r="K10" s="136"/>
      <c r="L10" s="136"/>
      <c r="M10" s="136"/>
      <c r="N10" s="136"/>
      <c r="O10" s="136"/>
      <c r="P10" s="136"/>
      <c r="Q10" s="136"/>
      <c r="R10" s="136"/>
      <c r="S10" s="136"/>
      <c r="T10" s="136"/>
      <c r="U10" s="136"/>
      <c r="V10" s="136"/>
      <c r="W10" s="159"/>
      <c r="X10" s="159"/>
      <c r="Y10" s="136"/>
      <c r="Z10" s="4" t="b">
        <f t="shared" si="0"/>
        <v>0</v>
      </c>
      <c r="AA10" s="4" t="s">
        <v>1615</v>
      </c>
      <c r="AB10" s="4" t="s">
        <v>999</v>
      </c>
      <c r="AC10" s="4" t="b">
        <v>0</v>
      </c>
      <c r="AD10" s="4" t="b">
        <v>0</v>
      </c>
    </row>
    <row r="11" spans="1:35" x14ac:dyDescent="0.25">
      <c r="A11" s="159"/>
      <c r="B11" s="171"/>
      <c r="C11" s="136" t="s">
        <v>1145</v>
      </c>
      <c r="D11" s="136"/>
      <c r="E11" s="136"/>
      <c r="F11" s="136"/>
      <c r="G11" s="136"/>
      <c r="H11" s="136"/>
      <c r="I11" s="136"/>
      <c r="J11" s="136"/>
      <c r="K11" s="136"/>
      <c r="L11" s="136"/>
      <c r="M11" s="136"/>
      <c r="N11" s="136"/>
      <c r="O11" s="136"/>
      <c r="P11" s="136"/>
      <c r="Q11" s="136"/>
      <c r="R11" s="136"/>
      <c r="S11" s="136"/>
      <c r="T11" s="136"/>
      <c r="U11" s="136"/>
      <c r="V11" s="136"/>
      <c r="W11" s="159"/>
      <c r="X11" s="159"/>
      <c r="Y11" s="136"/>
      <c r="Z11" s="4" t="b">
        <f t="shared" si="0"/>
        <v>0</v>
      </c>
      <c r="AA11" s="4" t="s">
        <v>1615</v>
      </c>
      <c r="AB11" s="4" t="s">
        <v>1000</v>
      </c>
      <c r="AC11" s="4" t="b">
        <v>0</v>
      </c>
      <c r="AD11" s="4" t="b">
        <v>0</v>
      </c>
    </row>
    <row r="12" spans="1:35" x14ac:dyDescent="0.25">
      <c r="A12" s="159"/>
      <c r="B12" s="171"/>
      <c r="C12" s="136" t="s">
        <v>1146</v>
      </c>
      <c r="D12" s="136"/>
      <c r="E12" s="136"/>
      <c r="F12" s="136"/>
      <c r="G12" s="136"/>
      <c r="H12" s="136"/>
      <c r="I12" s="136"/>
      <c r="J12" s="136"/>
      <c r="K12" s="136"/>
      <c r="L12" s="136"/>
      <c r="M12" s="136"/>
      <c r="N12" s="136"/>
      <c r="O12" s="136"/>
      <c r="P12" s="136"/>
      <c r="Q12" s="136"/>
      <c r="R12" s="136"/>
      <c r="S12" s="136"/>
      <c r="T12" s="136"/>
      <c r="U12" s="136"/>
      <c r="V12" s="136"/>
      <c r="W12" s="159"/>
      <c r="X12" s="159"/>
      <c r="Y12" s="136"/>
      <c r="Z12" s="4" t="b">
        <f t="shared" si="0"/>
        <v>0</v>
      </c>
      <c r="AA12" s="4" t="s">
        <v>1615</v>
      </c>
      <c r="AB12" s="4" t="s">
        <v>1001</v>
      </c>
      <c r="AC12" s="4" t="b">
        <v>0</v>
      </c>
      <c r="AD12" s="4" t="b">
        <v>0</v>
      </c>
    </row>
    <row r="13" spans="1:35" x14ac:dyDescent="0.25">
      <c r="A13" s="159"/>
      <c r="B13" s="171"/>
      <c r="C13" s="136" t="s">
        <v>1147</v>
      </c>
      <c r="D13" s="136"/>
      <c r="E13" s="136"/>
      <c r="F13" s="136"/>
      <c r="G13" s="136"/>
      <c r="H13" s="136"/>
      <c r="I13" s="136"/>
      <c r="J13" s="136"/>
      <c r="K13" s="136"/>
      <c r="L13" s="136"/>
      <c r="M13" s="136"/>
      <c r="N13" s="136"/>
      <c r="O13" s="136"/>
      <c r="P13" s="136"/>
      <c r="Q13" s="136"/>
      <c r="R13" s="136"/>
      <c r="S13" s="136"/>
      <c r="T13" s="136"/>
      <c r="U13" s="136"/>
      <c r="V13" s="136"/>
      <c r="W13" s="159"/>
      <c r="X13" s="159"/>
      <c r="Y13" s="136"/>
      <c r="Z13" s="4" t="b">
        <f t="shared" si="0"/>
        <v>0</v>
      </c>
      <c r="AA13" s="4" t="s">
        <v>1615</v>
      </c>
      <c r="AB13" s="4" t="s">
        <v>1002</v>
      </c>
      <c r="AC13" s="4" t="b">
        <v>0</v>
      </c>
      <c r="AD13" s="4" t="b">
        <v>0</v>
      </c>
    </row>
    <row r="14" spans="1:35" x14ac:dyDescent="0.25">
      <c r="A14" s="159"/>
      <c r="B14" s="171"/>
      <c r="C14" s="136" t="s">
        <v>1148</v>
      </c>
      <c r="D14" s="136"/>
      <c r="E14" s="136"/>
      <c r="F14" s="136"/>
      <c r="G14" s="136"/>
      <c r="H14" s="136"/>
      <c r="I14" s="136"/>
      <c r="J14" s="136"/>
      <c r="K14" s="136"/>
      <c r="L14" s="136"/>
      <c r="M14" s="136"/>
      <c r="N14" s="136"/>
      <c r="O14" s="136"/>
      <c r="P14" s="136"/>
      <c r="Q14" s="136"/>
      <c r="R14" s="136"/>
      <c r="S14" s="136"/>
      <c r="T14" s="136"/>
      <c r="U14" s="136"/>
      <c r="V14" s="136"/>
      <c r="W14" s="159"/>
      <c r="X14" s="159"/>
      <c r="Y14" s="136"/>
      <c r="Z14" s="4" t="b">
        <f t="shared" si="0"/>
        <v>0</v>
      </c>
      <c r="AA14" s="4" t="s">
        <v>1615</v>
      </c>
      <c r="AB14" s="4" t="s">
        <v>1003</v>
      </c>
      <c r="AC14" s="4" t="b">
        <v>0</v>
      </c>
      <c r="AD14" s="4" t="b">
        <v>0</v>
      </c>
    </row>
    <row r="15" spans="1:35" x14ac:dyDescent="0.25">
      <c r="A15" s="159"/>
      <c r="B15" s="171"/>
      <c r="C15" s="136" t="s">
        <v>1149</v>
      </c>
      <c r="D15" s="136"/>
      <c r="E15" s="136"/>
      <c r="F15" s="136"/>
      <c r="G15" s="136"/>
      <c r="H15" s="136"/>
      <c r="I15" s="136"/>
      <c r="J15" s="136"/>
      <c r="K15" s="136"/>
      <c r="L15" s="136"/>
      <c r="M15" s="136"/>
      <c r="N15" s="136"/>
      <c r="O15" s="136"/>
      <c r="P15" s="136"/>
      <c r="Q15" s="136"/>
      <c r="R15" s="136"/>
      <c r="S15" s="136"/>
      <c r="T15" s="136"/>
      <c r="U15" s="136"/>
      <c r="V15" s="136"/>
      <c r="W15" s="159"/>
      <c r="X15" s="159"/>
      <c r="Y15" s="136"/>
      <c r="Z15" s="4" t="b">
        <f t="shared" si="0"/>
        <v>0</v>
      </c>
      <c r="AA15" s="4" t="s">
        <v>1615</v>
      </c>
      <c r="AB15" s="4" t="s">
        <v>1004</v>
      </c>
      <c r="AC15" s="4" t="b">
        <v>0</v>
      </c>
      <c r="AD15" s="4" t="b">
        <v>0</v>
      </c>
    </row>
    <row r="16" spans="1:35" x14ac:dyDescent="0.25">
      <c r="A16" s="159"/>
      <c r="B16" s="171"/>
      <c r="C16" s="136" t="s">
        <v>1150</v>
      </c>
      <c r="D16" s="136"/>
      <c r="E16" s="136"/>
      <c r="F16" s="136"/>
      <c r="G16" s="136"/>
      <c r="H16" s="136"/>
      <c r="I16" s="136"/>
      <c r="J16" s="136"/>
      <c r="K16" s="136"/>
      <c r="L16" s="136"/>
      <c r="M16" s="136"/>
      <c r="N16" s="136"/>
      <c r="O16" s="136"/>
      <c r="P16" s="136"/>
      <c r="Q16" s="136"/>
      <c r="R16" s="136"/>
      <c r="S16" s="136"/>
      <c r="T16" s="136"/>
      <c r="U16" s="136"/>
      <c r="V16" s="136"/>
      <c r="W16" s="159"/>
      <c r="X16" s="159"/>
      <c r="Y16" s="136"/>
      <c r="Z16" s="4" t="b">
        <f t="shared" si="0"/>
        <v>0</v>
      </c>
      <c r="AA16" s="4" t="s">
        <v>1615</v>
      </c>
      <c r="AB16" s="4" t="s">
        <v>1119</v>
      </c>
      <c r="AC16" s="4" t="b">
        <v>0</v>
      </c>
      <c r="AD16" s="4" t="b">
        <v>0</v>
      </c>
    </row>
    <row r="17" spans="1:30" hidden="1" x14ac:dyDescent="0.25">
      <c r="A17" s="159"/>
      <c r="B17" s="136"/>
      <c r="C17" s="136" t="s">
        <v>8</v>
      </c>
      <c r="D17" s="295"/>
      <c r="E17" s="298"/>
      <c r="F17" s="298"/>
      <c r="G17" s="298"/>
      <c r="H17" s="298"/>
      <c r="I17" s="296"/>
      <c r="J17" s="296"/>
      <c r="K17" s="296"/>
      <c r="L17" s="296"/>
      <c r="M17" s="296"/>
      <c r="N17" s="296"/>
      <c r="O17" s="296"/>
      <c r="P17" s="296"/>
      <c r="Q17" s="296"/>
      <c r="R17" s="296"/>
      <c r="S17" s="297"/>
      <c r="T17" s="136"/>
      <c r="U17" s="136"/>
      <c r="V17" s="136"/>
      <c r="W17" s="159"/>
      <c r="X17" s="159"/>
      <c r="Y17" s="136"/>
      <c r="Z17" s="209" t="b">
        <f>AND(B16="P",Z16)</f>
        <v>0</v>
      </c>
      <c r="AA17" s="4" t="s">
        <v>1615</v>
      </c>
      <c r="AB17" s="4" t="s">
        <v>1657</v>
      </c>
      <c r="AD17" s="209" t="b">
        <v>1</v>
      </c>
    </row>
    <row r="18" spans="1:30" x14ac:dyDescent="0.25">
      <c r="A18" s="159"/>
      <c r="B18" s="136"/>
      <c r="C18" s="136"/>
      <c r="D18" s="136"/>
      <c r="E18" s="136"/>
      <c r="F18" s="136"/>
      <c r="G18" s="136"/>
      <c r="H18" s="136"/>
      <c r="I18" s="136"/>
      <c r="J18" s="136"/>
      <c r="K18" s="136"/>
      <c r="L18" s="136"/>
      <c r="M18" s="136"/>
      <c r="N18" s="136"/>
      <c r="O18" s="136"/>
      <c r="P18" s="136"/>
      <c r="Q18" s="136"/>
      <c r="R18" s="136"/>
      <c r="S18" s="136"/>
      <c r="T18" s="136"/>
      <c r="U18" s="136"/>
      <c r="V18" s="136"/>
      <c r="W18" s="159"/>
      <c r="X18" s="159"/>
      <c r="Y18" s="136"/>
      <c r="Z18" s="4" t="b">
        <f t="shared" si="0"/>
        <v>0</v>
      </c>
      <c r="AA18" s="4" t="s">
        <v>1615</v>
      </c>
    </row>
    <row r="19" spans="1:30" x14ac:dyDescent="0.25">
      <c r="A19" s="159"/>
      <c r="B19" s="139" t="s">
        <v>167</v>
      </c>
      <c r="C19" s="136"/>
      <c r="D19" s="136"/>
      <c r="E19" s="136"/>
      <c r="F19" s="136"/>
      <c r="G19" s="136"/>
      <c r="H19" s="136"/>
      <c r="I19" s="136"/>
      <c r="J19" s="136"/>
      <c r="K19" s="136"/>
      <c r="L19" s="136"/>
      <c r="M19" s="136"/>
      <c r="N19" s="136"/>
      <c r="O19" s="136"/>
      <c r="P19" s="136"/>
      <c r="Q19" s="136"/>
      <c r="R19" s="136"/>
      <c r="S19" s="136"/>
      <c r="T19" s="136"/>
      <c r="U19" s="136"/>
      <c r="V19" s="136"/>
      <c r="W19" s="159"/>
      <c r="X19" s="159"/>
      <c r="Y19" s="136"/>
      <c r="Z19" s="211" t="b">
        <f>AND(_xlfn.XLOOKUP(AA19,cmdTable,cmdSetting,"Off")="On",NOT(_xlfn.XLOOKUP(AA19,cmdTable,cmdDisabled,FALSE)))</f>
        <v>0</v>
      </c>
      <c r="AA19" s="211" t="s">
        <v>1616</v>
      </c>
      <c r="AB19" s="211"/>
    </row>
    <row r="20" spans="1:30" x14ac:dyDescent="0.25">
      <c r="A20" s="159"/>
      <c r="B20" s="139"/>
      <c r="C20" s="136"/>
      <c r="D20" s="136"/>
      <c r="E20" s="136"/>
      <c r="F20" s="136"/>
      <c r="G20" s="136"/>
      <c r="H20" s="136"/>
      <c r="I20" s="136"/>
      <c r="J20" s="136"/>
      <c r="K20" s="136"/>
      <c r="L20" s="136"/>
      <c r="M20" s="136"/>
      <c r="N20" s="136"/>
      <c r="O20" s="136"/>
      <c r="P20" s="136"/>
      <c r="Q20" s="136"/>
      <c r="R20" s="136"/>
      <c r="S20" s="136"/>
      <c r="T20" s="136"/>
      <c r="U20" s="136"/>
      <c r="V20" s="136"/>
      <c r="W20" s="159"/>
      <c r="X20" s="159"/>
      <c r="Y20" s="136"/>
      <c r="Z20" s="211" t="b">
        <f>AND(_xlfn.XLOOKUP(AA20,cmdTable,cmdSetting,"Off")="On",NOT(_xlfn.XLOOKUP(AA20,cmdTable,cmdDisabled,FALSE)))</f>
        <v>0</v>
      </c>
      <c r="AA20" s="211" t="s">
        <v>1616</v>
      </c>
      <c r="AB20" s="211"/>
    </row>
    <row r="21" spans="1:30" x14ac:dyDescent="0.25">
      <c r="A21" s="159"/>
      <c r="B21" s="171"/>
      <c r="C21" s="136" t="s">
        <v>1151</v>
      </c>
      <c r="D21" s="136"/>
      <c r="E21" s="136"/>
      <c r="F21" s="136"/>
      <c r="G21" s="136"/>
      <c r="H21" s="136"/>
      <c r="I21" s="136"/>
      <c r="J21" s="136"/>
      <c r="K21" s="136"/>
      <c r="L21" s="136"/>
      <c r="M21" s="136"/>
      <c r="N21" s="136"/>
      <c r="O21" s="136"/>
      <c r="P21" s="136"/>
      <c r="Q21" s="136"/>
      <c r="R21" s="136"/>
      <c r="S21" s="136"/>
      <c r="T21" s="136"/>
      <c r="U21" s="136"/>
      <c r="V21" s="136"/>
      <c r="W21" s="159"/>
      <c r="X21" s="159"/>
      <c r="Y21" s="136"/>
      <c r="Z21" s="211" t="b">
        <f>AND(_xlfn.XLOOKUP(AA21,cmdTable,cmdSetting,"Off")="On",NOT(_xlfn.XLOOKUP(AA21,cmdTable,cmdDisabled,FALSE)))</f>
        <v>0</v>
      </c>
      <c r="AA21" s="211" t="s">
        <v>1616</v>
      </c>
      <c r="AB21" s="211" t="s">
        <v>1005</v>
      </c>
      <c r="AC21" s="4" t="b">
        <v>0</v>
      </c>
      <c r="AD21" s="4" t="b">
        <v>0</v>
      </c>
    </row>
    <row r="22" spans="1:30" x14ac:dyDescent="0.25">
      <c r="A22" s="159"/>
      <c r="B22" s="171"/>
      <c r="C22" s="136" t="s">
        <v>1152</v>
      </c>
      <c r="D22" s="136"/>
      <c r="E22" s="136"/>
      <c r="F22" s="136"/>
      <c r="G22" s="136"/>
      <c r="H22" s="136"/>
      <c r="I22" s="136"/>
      <c r="J22" s="136"/>
      <c r="K22" s="136"/>
      <c r="L22" s="136"/>
      <c r="M22" s="136"/>
      <c r="N22" s="136"/>
      <c r="O22" s="136"/>
      <c r="P22" s="136"/>
      <c r="Q22" s="136"/>
      <c r="R22" s="136"/>
      <c r="S22" s="136"/>
      <c r="T22" s="136"/>
      <c r="U22" s="136"/>
      <c r="V22" s="136"/>
      <c r="W22" s="159"/>
      <c r="X22" s="159"/>
      <c r="Y22" s="136"/>
      <c r="Z22" s="211" t="b">
        <f>AND(_xlfn.XLOOKUP(AA22,cmdTable,cmdSetting,"Off")="On",NOT(_xlfn.XLOOKUP(AA22,cmdTable,cmdDisabled,FALSE)))</f>
        <v>0</v>
      </c>
      <c r="AA22" s="211" t="s">
        <v>1616</v>
      </c>
      <c r="AB22" s="211" t="s">
        <v>1006</v>
      </c>
      <c r="AC22" s="4" t="b">
        <v>0</v>
      </c>
      <c r="AD22" s="4" t="b">
        <v>0</v>
      </c>
    </row>
    <row r="23" spans="1:30" x14ac:dyDescent="0.25">
      <c r="A23" s="159"/>
      <c r="B23" s="171"/>
      <c r="C23" s="136" t="s">
        <v>1153</v>
      </c>
      <c r="D23" s="136"/>
      <c r="E23" s="136"/>
      <c r="F23" s="136"/>
      <c r="G23" s="136"/>
      <c r="H23" s="136"/>
      <c r="I23" s="136"/>
      <c r="J23" s="136"/>
      <c r="K23" s="136"/>
      <c r="L23" s="136"/>
      <c r="M23" s="136"/>
      <c r="N23" s="136"/>
      <c r="O23" s="136"/>
      <c r="P23" s="136"/>
      <c r="Q23" s="136"/>
      <c r="R23" s="136"/>
      <c r="S23" s="136"/>
      <c r="T23" s="136"/>
      <c r="U23" s="136"/>
      <c r="V23" s="136"/>
      <c r="W23" s="159"/>
      <c r="X23" s="159"/>
      <c r="Y23" s="136"/>
      <c r="Z23" s="211" t="b">
        <f t="shared" si="0"/>
        <v>0</v>
      </c>
      <c r="AA23" s="211" t="s">
        <v>1616</v>
      </c>
      <c r="AB23" s="211" t="s">
        <v>1007</v>
      </c>
      <c r="AC23" s="4" t="b">
        <v>0</v>
      </c>
      <c r="AD23" s="4" t="b">
        <v>0</v>
      </c>
    </row>
    <row r="24" spans="1:30" x14ac:dyDescent="0.25">
      <c r="A24" s="159"/>
      <c r="B24" s="171"/>
      <c r="C24" s="136" t="s">
        <v>1154</v>
      </c>
      <c r="D24" s="136"/>
      <c r="E24" s="136"/>
      <c r="F24" s="136"/>
      <c r="G24" s="136"/>
      <c r="H24" s="136"/>
      <c r="I24" s="136"/>
      <c r="J24" s="136"/>
      <c r="K24" s="136"/>
      <c r="L24" s="136"/>
      <c r="M24" s="136"/>
      <c r="N24" s="136"/>
      <c r="O24" s="136"/>
      <c r="P24" s="136"/>
      <c r="Q24" s="136"/>
      <c r="R24" s="136"/>
      <c r="S24" s="136"/>
      <c r="T24" s="136"/>
      <c r="U24" s="136"/>
      <c r="V24" s="136"/>
      <c r="W24" s="159"/>
      <c r="X24" s="159"/>
      <c r="Y24" s="136"/>
      <c r="Z24" s="211" t="b">
        <f t="shared" si="0"/>
        <v>0</v>
      </c>
      <c r="AA24" s="211" t="s">
        <v>1616</v>
      </c>
      <c r="AB24" s="211" t="s">
        <v>1008</v>
      </c>
      <c r="AC24" s="4" t="b">
        <v>0</v>
      </c>
      <c r="AD24" s="4" t="b">
        <v>0</v>
      </c>
    </row>
    <row r="25" spans="1:30" x14ac:dyDescent="0.25">
      <c r="A25" s="159"/>
      <c r="B25" s="171"/>
      <c r="C25" s="136" t="s">
        <v>1155</v>
      </c>
      <c r="D25" s="136"/>
      <c r="E25" s="136"/>
      <c r="F25" s="136"/>
      <c r="G25" s="136"/>
      <c r="H25" s="136"/>
      <c r="I25" s="136"/>
      <c r="J25" s="136"/>
      <c r="K25" s="136"/>
      <c r="L25" s="136"/>
      <c r="M25" s="136"/>
      <c r="N25" s="136"/>
      <c r="O25" s="136"/>
      <c r="P25" s="136"/>
      <c r="Q25" s="136"/>
      <c r="R25" s="136"/>
      <c r="S25" s="136"/>
      <c r="T25" s="136"/>
      <c r="U25" s="136"/>
      <c r="V25" s="136"/>
      <c r="W25" s="159"/>
      <c r="X25" s="159"/>
      <c r="Y25" s="136"/>
      <c r="Z25" s="211" t="b">
        <f t="shared" si="0"/>
        <v>0</v>
      </c>
      <c r="AA25" s="211" t="s">
        <v>1616</v>
      </c>
      <c r="AB25" s="211" t="s">
        <v>1009</v>
      </c>
      <c r="AC25" s="4" t="b">
        <v>0</v>
      </c>
      <c r="AD25" s="4" t="b">
        <v>0</v>
      </c>
    </row>
    <row r="26" spans="1:30" x14ac:dyDescent="0.25">
      <c r="A26" s="159"/>
      <c r="B26" s="171"/>
      <c r="C26" s="136" t="s">
        <v>1156</v>
      </c>
      <c r="D26" s="136"/>
      <c r="E26" s="136"/>
      <c r="F26" s="136"/>
      <c r="G26" s="136"/>
      <c r="H26" s="136"/>
      <c r="I26" s="136"/>
      <c r="J26" s="136"/>
      <c r="K26" s="136"/>
      <c r="L26" s="136"/>
      <c r="M26" s="136"/>
      <c r="N26" s="136"/>
      <c r="O26" s="136"/>
      <c r="P26" s="136"/>
      <c r="Q26" s="136"/>
      <c r="R26" s="136"/>
      <c r="S26" s="136"/>
      <c r="T26" s="136"/>
      <c r="U26" s="136"/>
      <c r="V26" s="136"/>
      <c r="W26" s="159"/>
      <c r="X26" s="159"/>
      <c r="Y26" s="136"/>
      <c r="Z26" s="211" t="b">
        <f t="shared" si="0"/>
        <v>0</v>
      </c>
      <c r="AA26" s="211" t="s">
        <v>1616</v>
      </c>
      <c r="AB26" s="211" t="s">
        <v>1010</v>
      </c>
      <c r="AC26" s="4" t="b">
        <v>0</v>
      </c>
      <c r="AD26" s="4" t="b">
        <v>0</v>
      </c>
    </row>
    <row r="27" spans="1:30" x14ac:dyDescent="0.25">
      <c r="A27" s="159"/>
      <c r="B27" s="171"/>
      <c r="C27" s="136" t="s">
        <v>1157</v>
      </c>
      <c r="D27" s="136"/>
      <c r="E27" s="136"/>
      <c r="F27" s="136"/>
      <c r="G27" s="136"/>
      <c r="H27" s="136"/>
      <c r="I27" s="136"/>
      <c r="J27" s="136"/>
      <c r="K27" s="136"/>
      <c r="L27" s="136"/>
      <c r="M27" s="136"/>
      <c r="N27" s="136"/>
      <c r="O27" s="136"/>
      <c r="P27" s="136"/>
      <c r="Q27" s="136"/>
      <c r="R27" s="136"/>
      <c r="S27" s="136"/>
      <c r="T27" s="136"/>
      <c r="U27" s="136"/>
      <c r="V27" s="136"/>
      <c r="W27" s="159"/>
      <c r="X27" s="159"/>
      <c r="Y27" s="136"/>
      <c r="Z27" s="211" t="b">
        <f t="shared" si="0"/>
        <v>0</v>
      </c>
      <c r="AA27" s="211" t="s">
        <v>1616</v>
      </c>
      <c r="AB27" s="211" t="s">
        <v>1011</v>
      </c>
      <c r="AC27" s="4" t="b">
        <v>0</v>
      </c>
      <c r="AD27" s="4" t="b">
        <v>0</v>
      </c>
    </row>
    <row r="28" spans="1:30" x14ac:dyDescent="0.25">
      <c r="A28" s="159"/>
      <c r="B28" s="171"/>
      <c r="C28" s="136" t="s">
        <v>1158</v>
      </c>
      <c r="D28" s="136"/>
      <c r="E28" s="136"/>
      <c r="F28" s="136"/>
      <c r="G28" s="136"/>
      <c r="H28" s="136"/>
      <c r="I28" s="136"/>
      <c r="J28" s="136"/>
      <c r="K28" s="136"/>
      <c r="L28" s="136"/>
      <c r="M28" s="136"/>
      <c r="N28" s="136"/>
      <c r="O28" s="136"/>
      <c r="P28" s="136"/>
      <c r="Q28" s="136"/>
      <c r="R28" s="136"/>
      <c r="S28" s="136"/>
      <c r="T28" s="136"/>
      <c r="U28" s="136"/>
      <c r="V28" s="136"/>
      <c r="W28" s="159"/>
      <c r="X28" s="159"/>
      <c r="Y28" s="136"/>
      <c r="Z28" s="211" t="b">
        <f t="shared" si="0"/>
        <v>0</v>
      </c>
      <c r="AA28" s="211" t="s">
        <v>1616</v>
      </c>
      <c r="AB28" s="211" t="s">
        <v>1012</v>
      </c>
      <c r="AC28" s="4" t="b">
        <v>0</v>
      </c>
      <c r="AD28" s="4" t="b">
        <v>0</v>
      </c>
    </row>
    <row r="29" spans="1:30" x14ac:dyDescent="0.25">
      <c r="A29" s="159"/>
      <c r="B29" s="171"/>
      <c r="C29" s="136" t="s">
        <v>1159</v>
      </c>
      <c r="D29" s="136"/>
      <c r="E29" s="136"/>
      <c r="F29" s="136"/>
      <c r="G29" s="136"/>
      <c r="H29" s="136"/>
      <c r="I29" s="136"/>
      <c r="J29" s="136"/>
      <c r="K29" s="136"/>
      <c r="L29" s="136"/>
      <c r="M29" s="136"/>
      <c r="N29" s="136"/>
      <c r="O29" s="136"/>
      <c r="P29" s="136"/>
      <c r="Q29" s="136"/>
      <c r="R29" s="136"/>
      <c r="S29" s="136"/>
      <c r="T29" s="136"/>
      <c r="U29" s="136"/>
      <c r="V29" s="136"/>
      <c r="W29" s="159"/>
      <c r="X29" s="159"/>
      <c r="Y29" s="136"/>
      <c r="Z29" s="211" t="b">
        <f t="shared" si="0"/>
        <v>0</v>
      </c>
      <c r="AA29" s="211" t="s">
        <v>1616</v>
      </c>
      <c r="AB29" s="211" t="s">
        <v>1013</v>
      </c>
      <c r="AC29" s="4" t="b">
        <v>0</v>
      </c>
      <c r="AD29" s="4" t="b">
        <v>0</v>
      </c>
    </row>
    <row r="30" spans="1:30" x14ac:dyDescent="0.25">
      <c r="A30" s="159"/>
      <c r="B30" s="171"/>
      <c r="C30" s="136" t="s">
        <v>1160</v>
      </c>
      <c r="D30" s="136"/>
      <c r="E30" s="136"/>
      <c r="F30" s="136"/>
      <c r="G30" s="136"/>
      <c r="H30" s="136"/>
      <c r="I30" s="136"/>
      <c r="J30" s="136"/>
      <c r="K30" s="136"/>
      <c r="L30" s="136"/>
      <c r="M30" s="136"/>
      <c r="N30" s="136"/>
      <c r="O30" s="136"/>
      <c r="P30" s="136"/>
      <c r="Q30" s="136"/>
      <c r="R30" s="136"/>
      <c r="S30" s="136"/>
      <c r="T30" s="136"/>
      <c r="U30" s="136"/>
      <c r="V30" s="136"/>
      <c r="W30" s="159"/>
      <c r="X30" s="159"/>
      <c r="Y30" s="136"/>
      <c r="Z30" s="211" t="b">
        <f t="shared" si="0"/>
        <v>0</v>
      </c>
      <c r="AA30" s="211" t="s">
        <v>1616</v>
      </c>
      <c r="AB30" s="211" t="s">
        <v>1014</v>
      </c>
      <c r="AC30" s="4" t="b">
        <v>0</v>
      </c>
      <c r="AD30" s="4" t="b">
        <v>0</v>
      </c>
    </row>
    <row r="31" spans="1:30" x14ac:dyDescent="0.25">
      <c r="A31" s="159"/>
      <c r="B31" s="171"/>
      <c r="C31" s="136" t="s">
        <v>1161</v>
      </c>
      <c r="D31" s="136"/>
      <c r="E31" s="136"/>
      <c r="F31" s="136"/>
      <c r="G31" s="136"/>
      <c r="H31" s="136"/>
      <c r="I31" s="136"/>
      <c r="J31" s="136"/>
      <c r="K31" s="136"/>
      <c r="L31" s="136"/>
      <c r="M31" s="136"/>
      <c r="N31" s="136"/>
      <c r="O31" s="136"/>
      <c r="P31" s="136"/>
      <c r="Q31" s="136"/>
      <c r="R31" s="136"/>
      <c r="S31" s="136"/>
      <c r="T31" s="136"/>
      <c r="U31" s="136"/>
      <c r="V31" s="136"/>
      <c r="W31" s="159"/>
      <c r="X31" s="159"/>
      <c r="Y31" s="136"/>
      <c r="Z31" s="211" t="b">
        <f t="shared" si="0"/>
        <v>0</v>
      </c>
      <c r="AA31" s="211" t="s">
        <v>1616</v>
      </c>
      <c r="AB31" s="211" t="s">
        <v>1015</v>
      </c>
      <c r="AC31" s="4" t="b">
        <v>0</v>
      </c>
      <c r="AD31" s="4" t="b">
        <v>0</v>
      </c>
    </row>
    <row r="32" spans="1:30" x14ac:dyDescent="0.25">
      <c r="A32" s="159"/>
      <c r="B32" s="171"/>
      <c r="C32" s="136" t="s">
        <v>1162</v>
      </c>
      <c r="D32" s="136"/>
      <c r="E32" s="136"/>
      <c r="F32" s="136"/>
      <c r="G32" s="136"/>
      <c r="H32" s="136"/>
      <c r="I32" s="136"/>
      <c r="J32" s="136"/>
      <c r="K32" s="136"/>
      <c r="L32" s="136"/>
      <c r="M32" s="136"/>
      <c r="N32" s="136"/>
      <c r="O32" s="136"/>
      <c r="P32" s="136"/>
      <c r="Q32" s="136"/>
      <c r="R32" s="136"/>
      <c r="S32" s="136"/>
      <c r="T32" s="136"/>
      <c r="U32" s="136"/>
      <c r="V32" s="136"/>
      <c r="W32" s="159"/>
      <c r="X32" s="159"/>
      <c r="Y32" s="136"/>
      <c r="Z32" s="211" t="b">
        <f t="shared" si="0"/>
        <v>0</v>
      </c>
      <c r="AA32" s="211" t="s">
        <v>1616</v>
      </c>
      <c r="AB32" s="211" t="s">
        <v>1094</v>
      </c>
      <c r="AC32" s="4" t="b">
        <v>0</v>
      </c>
      <c r="AD32" s="4" t="b">
        <v>0</v>
      </c>
    </row>
    <row r="33" spans="1:30" hidden="1" x14ac:dyDescent="0.25">
      <c r="A33" s="159"/>
      <c r="B33" s="136"/>
      <c r="C33" s="136" t="s">
        <v>8</v>
      </c>
      <c r="D33" s="295"/>
      <c r="E33" s="298"/>
      <c r="F33" s="298"/>
      <c r="G33" s="298"/>
      <c r="H33" s="298"/>
      <c r="I33" s="296"/>
      <c r="J33" s="296"/>
      <c r="K33" s="296"/>
      <c r="L33" s="296"/>
      <c r="M33" s="296"/>
      <c r="N33" s="296"/>
      <c r="O33" s="296"/>
      <c r="P33" s="296"/>
      <c r="Q33" s="296"/>
      <c r="R33" s="296"/>
      <c r="S33" s="297"/>
      <c r="T33" s="136"/>
      <c r="U33" s="136"/>
      <c r="V33" s="136"/>
      <c r="W33" s="159"/>
      <c r="X33" s="159"/>
      <c r="Y33" s="136"/>
      <c r="Z33" s="211" t="b">
        <f>AND(B32="P",Z32)</f>
        <v>0</v>
      </c>
      <c r="AA33" s="211" t="s">
        <v>1616</v>
      </c>
      <c r="AB33" s="211" t="s">
        <v>1093</v>
      </c>
      <c r="AD33" s="209" t="b">
        <v>1</v>
      </c>
    </row>
    <row r="34" spans="1:30" x14ac:dyDescent="0.25">
      <c r="A34" s="159"/>
      <c r="B34" s="136"/>
      <c r="C34" s="136"/>
      <c r="D34" s="136"/>
      <c r="E34" s="136"/>
      <c r="F34" s="136"/>
      <c r="G34" s="136"/>
      <c r="H34" s="136"/>
      <c r="I34" s="136"/>
      <c r="J34" s="136"/>
      <c r="K34" s="136"/>
      <c r="L34" s="136"/>
      <c r="M34" s="136"/>
      <c r="N34" s="136"/>
      <c r="O34" s="136"/>
      <c r="P34" s="136"/>
      <c r="Q34" s="136"/>
      <c r="R34" s="136"/>
      <c r="S34" s="136"/>
      <c r="T34" s="136"/>
      <c r="U34" s="136"/>
      <c r="V34" s="136"/>
      <c r="W34" s="159"/>
      <c r="X34" s="159"/>
      <c r="Y34" s="136"/>
      <c r="Z34" s="211" t="b">
        <f t="shared" si="0"/>
        <v>0</v>
      </c>
      <c r="AA34" s="211" t="s">
        <v>1616</v>
      </c>
      <c r="AB34" s="211"/>
    </row>
    <row r="35" spans="1:30" x14ac:dyDescent="0.25">
      <c r="A35" s="159"/>
      <c r="B35" s="139" t="s">
        <v>180</v>
      </c>
      <c r="C35" s="136"/>
      <c r="D35" s="136"/>
      <c r="E35" s="136"/>
      <c r="F35" s="136"/>
      <c r="G35" s="136"/>
      <c r="H35" s="136"/>
      <c r="I35" s="136"/>
      <c r="J35" s="136"/>
      <c r="K35" s="136"/>
      <c r="L35" s="136"/>
      <c r="M35" s="136"/>
      <c r="N35" s="136"/>
      <c r="O35" s="136"/>
      <c r="P35" s="136"/>
      <c r="Q35" s="136"/>
      <c r="R35" s="136"/>
      <c r="S35" s="136"/>
      <c r="T35" s="136"/>
      <c r="U35" s="136"/>
      <c r="V35" s="136"/>
      <c r="W35" s="159"/>
      <c r="X35" s="159"/>
      <c r="Y35" s="136"/>
      <c r="Z35" s="4" t="b">
        <f t="shared" si="0"/>
        <v>0</v>
      </c>
      <c r="AA35" s="4" t="s">
        <v>1617</v>
      </c>
    </row>
    <row r="36" spans="1:30" x14ac:dyDescent="0.25">
      <c r="A36" s="159"/>
      <c r="B36" s="139"/>
      <c r="C36" s="136"/>
      <c r="D36" s="136"/>
      <c r="E36" s="136"/>
      <c r="F36" s="136"/>
      <c r="G36" s="136"/>
      <c r="H36" s="136"/>
      <c r="I36" s="136"/>
      <c r="J36" s="136"/>
      <c r="K36" s="136"/>
      <c r="L36" s="136"/>
      <c r="M36" s="136"/>
      <c r="N36" s="136"/>
      <c r="O36" s="136"/>
      <c r="P36" s="136"/>
      <c r="Q36" s="136"/>
      <c r="R36" s="136"/>
      <c r="S36" s="136"/>
      <c r="T36" s="136"/>
      <c r="U36" s="136"/>
      <c r="V36" s="136"/>
      <c r="W36" s="159"/>
      <c r="X36" s="159"/>
      <c r="Y36" s="136"/>
      <c r="Z36" s="4" t="b">
        <f t="shared" si="0"/>
        <v>0</v>
      </c>
      <c r="AA36" s="4" t="s">
        <v>1617</v>
      </c>
    </row>
    <row r="37" spans="1:30" x14ac:dyDescent="0.25">
      <c r="A37" s="159"/>
      <c r="B37" s="171"/>
      <c r="C37" s="136" t="s">
        <v>1163</v>
      </c>
      <c r="D37" s="136"/>
      <c r="E37" s="136"/>
      <c r="F37" s="136"/>
      <c r="G37" s="136"/>
      <c r="H37" s="136"/>
      <c r="I37" s="136"/>
      <c r="J37" s="136"/>
      <c r="K37" s="136"/>
      <c r="L37" s="136"/>
      <c r="M37" s="136"/>
      <c r="N37" s="136"/>
      <c r="O37" s="136"/>
      <c r="P37" s="136"/>
      <c r="Q37" s="136"/>
      <c r="R37" s="136"/>
      <c r="S37" s="136"/>
      <c r="T37" s="136"/>
      <c r="U37" s="136"/>
      <c r="V37" s="136"/>
      <c r="W37" s="159"/>
      <c r="X37" s="159"/>
      <c r="Y37" s="136"/>
      <c r="Z37" s="4" t="b">
        <f t="shared" si="0"/>
        <v>0</v>
      </c>
      <c r="AA37" s="4" t="s">
        <v>1617</v>
      </c>
      <c r="AB37" s="4" t="s">
        <v>1016</v>
      </c>
      <c r="AC37" s="4" t="b">
        <v>0</v>
      </c>
      <c r="AD37" s="4" t="b">
        <v>0</v>
      </c>
    </row>
    <row r="38" spans="1:30" x14ac:dyDescent="0.25">
      <c r="A38" s="159"/>
      <c r="B38" s="171"/>
      <c r="C38" s="136" t="s">
        <v>1164</v>
      </c>
      <c r="D38" s="136"/>
      <c r="E38" s="136"/>
      <c r="F38" s="136"/>
      <c r="G38" s="136"/>
      <c r="H38" s="136"/>
      <c r="I38" s="136"/>
      <c r="J38" s="136"/>
      <c r="K38" s="136"/>
      <c r="L38" s="136"/>
      <c r="M38" s="136"/>
      <c r="N38" s="136"/>
      <c r="O38" s="136"/>
      <c r="P38" s="136"/>
      <c r="Q38" s="136"/>
      <c r="R38" s="136"/>
      <c r="S38" s="136"/>
      <c r="T38" s="136"/>
      <c r="U38" s="136"/>
      <c r="V38" s="136"/>
      <c r="W38" s="159"/>
      <c r="X38" s="159"/>
      <c r="Y38" s="136"/>
      <c r="Z38" s="4" t="b">
        <f t="shared" si="0"/>
        <v>0</v>
      </c>
      <c r="AA38" s="4" t="s">
        <v>1617</v>
      </c>
      <c r="AB38" s="4" t="s">
        <v>1017</v>
      </c>
      <c r="AC38" s="4" t="b">
        <v>0</v>
      </c>
      <c r="AD38" s="4" t="b">
        <v>0</v>
      </c>
    </row>
    <row r="39" spans="1:30" x14ac:dyDescent="0.25">
      <c r="A39" s="159"/>
      <c r="B39" s="171"/>
      <c r="C39" s="136" t="s">
        <v>1165</v>
      </c>
      <c r="D39" s="136"/>
      <c r="E39" s="136"/>
      <c r="F39" s="136"/>
      <c r="G39" s="136"/>
      <c r="H39" s="136"/>
      <c r="I39" s="136"/>
      <c r="J39" s="136"/>
      <c r="K39" s="136"/>
      <c r="L39" s="136"/>
      <c r="M39" s="136"/>
      <c r="N39" s="136"/>
      <c r="O39" s="136"/>
      <c r="P39" s="136"/>
      <c r="Q39" s="136"/>
      <c r="R39" s="136"/>
      <c r="S39" s="136"/>
      <c r="T39" s="136"/>
      <c r="U39" s="136"/>
      <c r="V39" s="136"/>
      <c r="W39" s="159"/>
      <c r="X39" s="159"/>
      <c r="Y39" s="136"/>
      <c r="Z39" s="4" t="b">
        <f t="shared" si="0"/>
        <v>0</v>
      </c>
      <c r="AA39" s="4" t="s">
        <v>1617</v>
      </c>
      <c r="AB39" s="4" t="s">
        <v>1018</v>
      </c>
      <c r="AC39" s="4" t="b">
        <v>0</v>
      </c>
      <c r="AD39" s="4" t="b">
        <v>0</v>
      </c>
    </row>
    <row r="40" spans="1:30" x14ac:dyDescent="0.25">
      <c r="A40" s="159"/>
      <c r="B40" s="171"/>
      <c r="C40" s="136" t="s">
        <v>1166</v>
      </c>
      <c r="D40" s="136"/>
      <c r="E40" s="136"/>
      <c r="F40" s="136"/>
      <c r="G40" s="136"/>
      <c r="H40" s="136"/>
      <c r="I40" s="136"/>
      <c r="J40" s="136"/>
      <c r="K40" s="136"/>
      <c r="L40" s="136"/>
      <c r="M40" s="136"/>
      <c r="N40" s="136"/>
      <c r="O40" s="136"/>
      <c r="P40" s="136"/>
      <c r="Q40" s="136"/>
      <c r="R40" s="136"/>
      <c r="S40" s="136"/>
      <c r="T40" s="136"/>
      <c r="U40" s="136"/>
      <c r="V40" s="136"/>
      <c r="W40" s="159"/>
      <c r="X40" s="159"/>
      <c r="Y40" s="136"/>
      <c r="Z40" s="4" t="b">
        <f t="shared" si="0"/>
        <v>0</v>
      </c>
      <c r="AA40" s="4" t="s">
        <v>1617</v>
      </c>
      <c r="AB40" s="4" t="s">
        <v>1019</v>
      </c>
      <c r="AC40" s="4" t="b">
        <v>0</v>
      </c>
      <c r="AD40" s="4" t="b">
        <v>0</v>
      </c>
    </row>
    <row r="41" spans="1:30" x14ac:dyDescent="0.25">
      <c r="A41" s="159"/>
      <c r="B41" s="171"/>
      <c r="C41" s="136" t="s">
        <v>1167</v>
      </c>
      <c r="D41" s="136"/>
      <c r="E41" s="136"/>
      <c r="F41" s="136"/>
      <c r="G41" s="136"/>
      <c r="H41" s="136"/>
      <c r="I41" s="136"/>
      <c r="J41" s="136"/>
      <c r="K41" s="136"/>
      <c r="L41" s="136"/>
      <c r="M41" s="136"/>
      <c r="N41" s="136"/>
      <c r="O41" s="136"/>
      <c r="P41" s="136"/>
      <c r="Q41" s="136"/>
      <c r="R41" s="136"/>
      <c r="S41" s="136"/>
      <c r="T41" s="136"/>
      <c r="U41" s="136"/>
      <c r="V41" s="136"/>
      <c r="W41" s="159"/>
      <c r="X41" s="159"/>
      <c r="Y41" s="136"/>
      <c r="Z41" s="4" t="b">
        <f t="shared" si="0"/>
        <v>0</v>
      </c>
      <c r="AA41" s="4" t="s">
        <v>1617</v>
      </c>
      <c r="AB41" s="4" t="s">
        <v>1020</v>
      </c>
      <c r="AC41" s="4" t="b">
        <v>0</v>
      </c>
      <c r="AD41" s="4" t="b">
        <v>0</v>
      </c>
    </row>
    <row r="42" spans="1:30" x14ac:dyDescent="0.25">
      <c r="A42" s="159"/>
      <c r="B42" s="171"/>
      <c r="C42" s="136" t="s">
        <v>1168</v>
      </c>
      <c r="D42" s="136"/>
      <c r="E42" s="136"/>
      <c r="F42" s="136"/>
      <c r="G42" s="136"/>
      <c r="H42" s="136"/>
      <c r="I42" s="136"/>
      <c r="J42" s="136"/>
      <c r="K42" s="136"/>
      <c r="L42" s="136"/>
      <c r="M42" s="136"/>
      <c r="N42" s="136"/>
      <c r="O42" s="136"/>
      <c r="P42" s="136"/>
      <c r="Q42" s="136"/>
      <c r="R42" s="136"/>
      <c r="S42" s="136"/>
      <c r="T42" s="136"/>
      <c r="U42" s="136"/>
      <c r="V42" s="136"/>
      <c r="W42" s="159"/>
      <c r="X42" s="159"/>
      <c r="Y42" s="136"/>
      <c r="Z42" s="4" t="b">
        <f t="shared" si="0"/>
        <v>0</v>
      </c>
      <c r="AA42" s="4" t="s">
        <v>1617</v>
      </c>
      <c r="AB42" s="4" t="s">
        <v>1021</v>
      </c>
      <c r="AC42" s="4" t="b">
        <v>0</v>
      </c>
      <c r="AD42" s="4" t="b">
        <v>0</v>
      </c>
    </row>
    <row r="43" spans="1:30" x14ac:dyDescent="0.25">
      <c r="A43" s="159"/>
      <c r="B43" s="171"/>
      <c r="C43" s="136" t="s">
        <v>1169</v>
      </c>
      <c r="D43" s="136"/>
      <c r="E43" s="136"/>
      <c r="F43" s="136"/>
      <c r="G43" s="136"/>
      <c r="H43" s="136"/>
      <c r="I43" s="136"/>
      <c r="J43" s="136"/>
      <c r="K43" s="136"/>
      <c r="L43" s="136"/>
      <c r="M43" s="136"/>
      <c r="N43" s="136"/>
      <c r="O43" s="136"/>
      <c r="P43" s="136"/>
      <c r="Q43" s="136"/>
      <c r="R43" s="136"/>
      <c r="S43" s="136"/>
      <c r="T43" s="136"/>
      <c r="U43" s="136"/>
      <c r="V43" s="136"/>
      <c r="W43" s="159"/>
      <c r="X43" s="159"/>
      <c r="Y43" s="136"/>
      <c r="Z43" s="4" t="b">
        <f t="shared" ref="Z43:Z81" si="1">AND(_xlfn.XLOOKUP(AA43,cmdTable,cmdSetting,"Off")="On",NOT(_xlfn.XLOOKUP(AA43,cmdTable,cmdDisabled,FALSE)))</f>
        <v>0</v>
      </c>
      <c r="AA43" s="4" t="s">
        <v>1617</v>
      </c>
      <c r="AB43" s="4" t="s">
        <v>1022</v>
      </c>
      <c r="AC43" s="4" t="b">
        <v>0</v>
      </c>
      <c r="AD43" s="4" t="b">
        <v>0</v>
      </c>
    </row>
    <row r="44" spans="1:30" x14ac:dyDescent="0.25">
      <c r="A44" s="159"/>
      <c r="B44" s="171"/>
      <c r="C44" s="136" t="s">
        <v>1533</v>
      </c>
      <c r="D44" s="136"/>
      <c r="E44" s="136"/>
      <c r="F44" s="136"/>
      <c r="G44" s="136"/>
      <c r="H44" s="136"/>
      <c r="I44" s="136"/>
      <c r="J44" s="136"/>
      <c r="K44" s="136"/>
      <c r="L44" s="136"/>
      <c r="M44" s="136"/>
      <c r="N44" s="136"/>
      <c r="O44" s="136"/>
      <c r="P44" s="136"/>
      <c r="Q44" s="136"/>
      <c r="R44" s="136"/>
      <c r="S44" s="136"/>
      <c r="T44" s="136"/>
      <c r="U44" s="136"/>
      <c r="V44" s="136"/>
      <c r="W44" s="159"/>
      <c r="X44" s="159"/>
      <c r="Y44" s="136"/>
      <c r="Z44" s="4" t="b">
        <f t="shared" si="1"/>
        <v>0</v>
      </c>
      <c r="AA44" s="4" t="s">
        <v>1617</v>
      </c>
      <c r="AB44" s="4" t="s">
        <v>1023</v>
      </c>
      <c r="AC44" s="4" t="b">
        <v>0</v>
      </c>
      <c r="AD44" s="4" t="b">
        <v>0</v>
      </c>
    </row>
    <row r="45" spans="1:30" x14ac:dyDescent="0.25">
      <c r="A45" s="159"/>
      <c r="B45" s="171"/>
      <c r="C45" s="136" t="s">
        <v>1170</v>
      </c>
      <c r="D45" s="136"/>
      <c r="E45" s="136"/>
      <c r="F45" s="136"/>
      <c r="G45" s="136"/>
      <c r="H45" s="136"/>
      <c r="I45" s="136"/>
      <c r="J45" s="136"/>
      <c r="K45" s="136"/>
      <c r="L45" s="136"/>
      <c r="M45" s="136"/>
      <c r="N45" s="136"/>
      <c r="O45" s="136"/>
      <c r="P45" s="136"/>
      <c r="Q45" s="136"/>
      <c r="R45" s="136"/>
      <c r="S45" s="136"/>
      <c r="T45" s="136"/>
      <c r="U45" s="136"/>
      <c r="V45" s="136"/>
      <c r="W45" s="159"/>
      <c r="X45" s="159"/>
      <c r="Y45" s="136"/>
      <c r="Z45" s="4" t="b">
        <f t="shared" si="1"/>
        <v>0</v>
      </c>
      <c r="AA45" s="4" t="s">
        <v>1617</v>
      </c>
      <c r="AB45" s="4" t="s">
        <v>1024</v>
      </c>
      <c r="AC45" s="4" t="b">
        <v>0</v>
      </c>
      <c r="AD45" s="4" t="b">
        <v>0</v>
      </c>
    </row>
    <row r="46" spans="1:30" x14ac:dyDescent="0.25">
      <c r="A46" s="159"/>
      <c r="B46" s="171"/>
      <c r="C46" s="136" t="s">
        <v>1171</v>
      </c>
      <c r="D46" s="136"/>
      <c r="E46" s="136"/>
      <c r="F46" s="136"/>
      <c r="G46" s="136"/>
      <c r="H46" s="136"/>
      <c r="I46" s="136"/>
      <c r="J46" s="136"/>
      <c r="K46" s="136"/>
      <c r="L46" s="136"/>
      <c r="M46" s="136"/>
      <c r="N46" s="136"/>
      <c r="O46" s="136"/>
      <c r="P46" s="136"/>
      <c r="Q46" s="136"/>
      <c r="R46" s="136"/>
      <c r="S46" s="136"/>
      <c r="T46" s="136"/>
      <c r="U46" s="136"/>
      <c r="V46" s="136"/>
      <c r="W46" s="159"/>
      <c r="X46" s="159"/>
      <c r="Y46" s="136"/>
      <c r="Z46" s="4" t="b">
        <f t="shared" si="1"/>
        <v>0</v>
      </c>
      <c r="AA46" s="4" t="s">
        <v>1617</v>
      </c>
      <c r="AB46" s="4" t="s">
        <v>1025</v>
      </c>
      <c r="AC46" s="4" t="b">
        <v>0</v>
      </c>
      <c r="AD46" s="4" t="b">
        <v>0</v>
      </c>
    </row>
    <row r="47" spans="1:30" x14ac:dyDescent="0.25">
      <c r="A47" s="159"/>
      <c r="B47" s="171"/>
      <c r="C47" s="136" t="s">
        <v>1172</v>
      </c>
      <c r="D47" s="136"/>
      <c r="E47" s="136"/>
      <c r="F47" s="136"/>
      <c r="G47" s="136"/>
      <c r="H47" s="136"/>
      <c r="I47" s="136"/>
      <c r="J47" s="136"/>
      <c r="K47" s="136"/>
      <c r="L47" s="136"/>
      <c r="M47" s="136"/>
      <c r="N47" s="136"/>
      <c r="O47" s="136"/>
      <c r="P47" s="136"/>
      <c r="Q47" s="136"/>
      <c r="R47" s="136"/>
      <c r="S47" s="136"/>
      <c r="T47" s="136"/>
      <c r="U47" s="136"/>
      <c r="V47" s="136"/>
      <c r="W47" s="159"/>
      <c r="X47" s="159"/>
      <c r="Y47" s="136"/>
      <c r="Z47" s="4" t="b">
        <f t="shared" si="1"/>
        <v>0</v>
      </c>
      <c r="AA47" s="4" t="s">
        <v>1617</v>
      </c>
      <c r="AB47" s="4" t="s">
        <v>1026</v>
      </c>
      <c r="AC47" s="4" t="b">
        <v>0</v>
      </c>
      <c r="AD47" s="4" t="b">
        <v>0</v>
      </c>
    </row>
    <row r="48" spans="1:30" x14ac:dyDescent="0.25">
      <c r="A48" s="159"/>
      <c r="B48" s="171"/>
      <c r="C48" s="136" t="s">
        <v>1173</v>
      </c>
      <c r="D48" s="136"/>
      <c r="E48" s="136"/>
      <c r="F48" s="136"/>
      <c r="G48" s="136"/>
      <c r="H48" s="136"/>
      <c r="I48" s="136"/>
      <c r="J48" s="136"/>
      <c r="K48" s="136"/>
      <c r="L48" s="136"/>
      <c r="M48" s="136"/>
      <c r="N48" s="136"/>
      <c r="O48" s="136"/>
      <c r="P48" s="136"/>
      <c r="Q48" s="136"/>
      <c r="R48" s="136"/>
      <c r="S48" s="136"/>
      <c r="T48" s="136"/>
      <c r="U48" s="136"/>
      <c r="V48" s="136"/>
      <c r="W48" s="159"/>
      <c r="X48" s="159"/>
      <c r="Y48" s="136"/>
      <c r="Z48" s="4" t="b">
        <f t="shared" si="1"/>
        <v>0</v>
      </c>
      <c r="AA48" s="4" t="s">
        <v>1617</v>
      </c>
      <c r="AB48" s="4" t="s">
        <v>1027</v>
      </c>
      <c r="AC48" s="4" t="b">
        <v>0</v>
      </c>
      <c r="AD48" s="4" t="b">
        <v>0</v>
      </c>
    </row>
    <row r="49" spans="1:30" x14ac:dyDescent="0.25">
      <c r="A49" s="159"/>
      <c r="B49" s="171"/>
      <c r="C49" s="136" t="s">
        <v>1174</v>
      </c>
      <c r="D49" s="136"/>
      <c r="E49" s="136"/>
      <c r="F49" s="136"/>
      <c r="G49" s="136"/>
      <c r="H49" s="136"/>
      <c r="I49" s="136"/>
      <c r="J49" s="136"/>
      <c r="K49" s="136"/>
      <c r="L49" s="136"/>
      <c r="M49" s="136"/>
      <c r="N49" s="136"/>
      <c r="O49" s="136"/>
      <c r="P49" s="136"/>
      <c r="Q49" s="136"/>
      <c r="R49" s="136"/>
      <c r="S49" s="136"/>
      <c r="T49" s="136"/>
      <c r="U49" s="136"/>
      <c r="V49" s="136"/>
      <c r="W49" s="159"/>
      <c r="X49" s="159"/>
      <c r="Y49" s="136"/>
      <c r="Z49" s="4" t="b">
        <f t="shared" si="1"/>
        <v>0</v>
      </c>
      <c r="AA49" s="4" t="s">
        <v>1617</v>
      </c>
      <c r="AB49" s="4" t="s">
        <v>1028</v>
      </c>
      <c r="AC49" s="4" t="b">
        <v>0</v>
      </c>
      <c r="AD49" s="4" t="b">
        <v>0</v>
      </c>
    </row>
    <row r="50" spans="1:30" x14ac:dyDescent="0.25">
      <c r="A50" s="159"/>
      <c r="B50" s="171"/>
      <c r="C50" s="136" t="s">
        <v>1175</v>
      </c>
      <c r="D50" s="136"/>
      <c r="E50" s="136"/>
      <c r="F50" s="136"/>
      <c r="G50" s="136"/>
      <c r="H50" s="136"/>
      <c r="I50" s="136"/>
      <c r="J50" s="136"/>
      <c r="K50" s="136"/>
      <c r="L50" s="136"/>
      <c r="M50" s="136"/>
      <c r="N50" s="136"/>
      <c r="O50" s="136"/>
      <c r="P50" s="136"/>
      <c r="Q50" s="136"/>
      <c r="R50" s="136"/>
      <c r="S50" s="136"/>
      <c r="T50" s="136"/>
      <c r="U50" s="136"/>
      <c r="V50" s="136"/>
      <c r="W50" s="159"/>
      <c r="X50" s="159"/>
      <c r="Y50" s="136"/>
      <c r="Z50" s="4" t="b">
        <f t="shared" si="1"/>
        <v>0</v>
      </c>
      <c r="AA50" s="4" t="s">
        <v>1617</v>
      </c>
      <c r="AB50" s="4" t="s">
        <v>1029</v>
      </c>
      <c r="AC50" s="4" t="b">
        <v>0</v>
      </c>
      <c r="AD50" s="4" t="b">
        <v>0</v>
      </c>
    </row>
    <row r="51" spans="1:30" x14ac:dyDescent="0.25">
      <c r="A51" s="159"/>
      <c r="B51" s="171"/>
      <c r="C51" s="136" t="s">
        <v>1176</v>
      </c>
      <c r="D51" s="136"/>
      <c r="E51" s="136"/>
      <c r="F51" s="136"/>
      <c r="G51" s="136"/>
      <c r="H51" s="136"/>
      <c r="I51" s="136"/>
      <c r="J51" s="136"/>
      <c r="K51" s="136"/>
      <c r="L51" s="136"/>
      <c r="M51" s="136"/>
      <c r="N51" s="136"/>
      <c r="O51" s="136"/>
      <c r="P51" s="136"/>
      <c r="Q51" s="136"/>
      <c r="R51" s="136"/>
      <c r="S51" s="136"/>
      <c r="T51" s="136"/>
      <c r="U51" s="136"/>
      <c r="V51" s="136"/>
      <c r="W51" s="159"/>
      <c r="X51" s="159"/>
      <c r="Y51" s="136"/>
      <c r="Z51" s="4" t="b">
        <f t="shared" si="1"/>
        <v>0</v>
      </c>
      <c r="AA51" s="4" t="s">
        <v>1617</v>
      </c>
      <c r="AB51" s="4" t="s">
        <v>1030</v>
      </c>
      <c r="AC51" s="4" t="b">
        <v>0</v>
      </c>
      <c r="AD51" s="4" t="b">
        <v>0</v>
      </c>
    </row>
    <row r="52" spans="1:30" x14ac:dyDescent="0.25">
      <c r="A52" s="159"/>
      <c r="B52" s="171"/>
      <c r="C52" s="136" t="s">
        <v>1177</v>
      </c>
      <c r="D52" s="136"/>
      <c r="E52" s="136"/>
      <c r="F52" s="136"/>
      <c r="G52" s="136"/>
      <c r="H52" s="136"/>
      <c r="I52" s="136"/>
      <c r="J52" s="136"/>
      <c r="K52" s="136"/>
      <c r="L52" s="136"/>
      <c r="M52" s="136"/>
      <c r="N52" s="136"/>
      <c r="O52" s="136"/>
      <c r="P52" s="136"/>
      <c r="Q52" s="136"/>
      <c r="R52" s="136"/>
      <c r="S52" s="136"/>
      <c r="T52" s="136"/>
      <c r="U52" s="136"/>
      <c r="V52" s="136"/>
      <c r="W52" s="159"/>
      <c r="X52" s="159"/>
      <c r="Y52" s="136"/>
      <c r="Z52" s="4" t="b">
        <f t="shared" si="1"/>
        <v>0</v>
      </c>
      <c r="AA52" s="4" t="s">
        <v>1617</v>
      </c>
      <c r="AB52" s="4" t="s">
        <v>1031</v>
      </c>
      <c r="AC52" s="4" t="b">
        <v>0</v>
      </c>
      <c r="AD52" s="4" t="b">
        <v>0</v>
      </c>
    </row>
    <row r="53" spans="1:30" x14ac:dyDescent="0.25">
      <c r="A53" s="159"/>
      <c r="B53" s="171"/>
      <c r="C53" s="136" t="s">
        <v>1178</v>
      </c>
      <c r="D53" s="136"/>
      <c r="E53" s="136"/>
      <c r="F53" s="136"/>
      <c r="G53" s="136"/>
      <c r="H53" s="136"/>
      <c r="I53" s="136"/>
      <c r="J53" s="136"/>
      <c r="K53" s="136"/>
      <c r="L53" s="136"/>
      <c r="M53" s="136"/>
      <c r="N53" s="136"/>
      <c r="O53" s="136"/>
      <c r="P53" s="136"/>
      <c r="Q53" s="136"/>
      <c r="R53" s="136"/>
      <c r="S53" s="136"/>
      <c r="T53" s="136"/>
      <c r="U53" s="136"/>
      <c r="V53" s="136"/>
      <c r="W53" s="159"/>
      <c r="X53" s="159"/>
      <c r="Y53" s="136"/>
      <c r="Z53" s="4" t="b">
        <f t="shared" si="1"/>
        <v>0</v>
      </c>
      <c r="AA53" s="4" t="s">
        <v>1617</v>
      </c>
      <c r="AB53" s="4" t="s">
        <v>1032</v>
      </c>
      <c r="AC53" s="4" t="b">
        <v>0</v>
      </c>
      <c r="AD53" s="4" t="b">
        <v>0</v>
      </c>
    </row>
    <row r="54" spans="1:30" x14ac:dyDescent="0.25">
      <c r="A54" s="159"/>
      <c r="B54" s="171"/>
      <c r="C54" s="136" t="s">
        <v>1179</v>
      </c>
      <c r="D54" s="136"/>
      <c r="E54" s="136"/>
      <c r="F54" s="136"/>
      <c r="G54" s="136"/>
      <c r="H54" s="136"/>
      <c r="I54" s="136"/>
      <c r="J54" s="136"/>
      <c r="K54" s="136"/>
      <c r="L54" s="136"/>
      <c r="M54" s="136"/>
      <c r="N54" s="136"/>
      <c r="O54" s="136"/>
      <c r="P54" s="136"/>
      <c r="Q54" s="136"/>
      <c r="R54" s="136"/>
      <c r="S54" s="136"/>
      <c r="T54" s="136"/>
      <c r="U54" s="136"/>
      <c r="V54" s="136"/>
      <c r="W54" s="159"/>
      <c r="X54" s="159"/>
      <c r="Y54" s="136"/>
      <c r="Z54" s="4" t="b">
        <f t="shared" si="1"/>
        <v>0</v>
      </c>
      <c r="AA54" s="4" t="s">
        <v>1617</v>
      </c>
      <c r="AB54" s="4" t="s">
        <v>1033</v>
      </c>
      <c r="AC54" s="4" t="b">
        <v>0</v>
      </c>
      <c r="AD54" s="4" t="b">
        <v>0</v>
      </c>
    </row>
    <row r="55" spans="1:30" x14ac:dyDescent="0.25">
      <c r="A55" s="159"/>
      <c r="B55" s="171"/>
      <c r="C55" s="136" t="s">
        <v>1180</v>
      </c>
      <c r="D55" s="136"/>
      <c r="E55" s="136"/>
      <c r="F55" s="136"/>
      <c r="G55" s="136"/>
      <c r="H55" s="136"/>
      <c r="I55" s="136"/>
      <c r="J55" s="136"/>
      <c r="K55" s="136"/>
      <c r="L55" s="136"/>
      <c r="M55" s="136"/>
      <c r="N55" s="136"/>
      <c r="O55" s="136"/>
      <c r="P55" s="136"/>
      <c r="Q55" s="136"/>
      <c r="R55" s="136"/>
      <c r="S55" s="136"/>
      <c r="T55" s="136"/>
      <c r="U55" s="136"/>
      <c r="V55" s="136"/>
      <c r="W55" s="159"/>
      <c r="X55" s="159"/>
      <c r="Y55" s="136"/>
      <c r="Z55" s="4" t="b">
        <f t="shared" si="1"/>
        <v>0</v>
      </c>
      <c r="AA55" s="4" t="s">
        <v>1617</v>
      </c>
      <c r="AB55" s="4" t="s">
        <v>1096</v>
      </c>
      <c r="AC55" s="4" t="b">
        <v>0</v>
      </c>
      <c r="AD55" s="4" t="b">
        <v>0</v>
      </c>
    </row>
    <row r="56" spans="1:30" hidden="1" x14ac:dyDescent="0.25">
      <c r="A56" s="159"/>
      <c r="B56" s="136"/>
      <c r="C56" s="136" t="s">
        <v>8</v>
      </c>
      <c r="D56" s="295"/>
      <c r="E56" s="298"/>
      <c r="F56" s="298"/>
      <c r="G56" s="298"/>
      <c r="H56" s="298"/>
      <c r="I56" s="296"/>
      <c r="J56" s="296"/>
      <c r="K56" s="296"/>
      <c r="L56" s="296"/>
      <c r="M56" s="296"/>
      <c r="N56" s="296"/>
      <c r="O56" s="296"/>
      <c r="P56" s="296"/>
      <c r="Q56" s="296"/>
      <c r="R56" s="296"/>
      <c r="S56" s="297"/>
      <c r="T56" s="136"/>
      <c r="U56" s="136"/>
      <c r="V56" s="136"/>
      <c r="W56" s="159"/>
      <c r="X56" s="159"/>
      <c r="Y56" s="136"/>
      <c r="Z56" s="209" t="b">
        <f>AND(B55="P",Z55)</f>
        <v>0</v>
      </c>
      <c r="AA56" s="4" t="s">
        <v>1617</v>
      </c>
      <c r="AB56" s="4" t="s">
        <v>1095</v>
      </c>
      <c r="AD56" s="209" t="b">
        <v>1</v>
      </c>
    </row>
    <row r="57" spans="1:30" x14ac:dyDescent="0.25">
      <c r="A57" s="159"/>
      <c r="B57" s="136"/>
      <c r="C57" s="136"/>
      <c r="D57" s="136"/>
      <c r="E57" s="136"/>
      <c r="F57" s="136"/>
      <c r="G57" s="136"/>
      <c r="H57" s="136"/>
      <c r="I57" s="136"/>
      <c r="J57" s="136"/>
      <c r="K57" s="136"/>
      <c r="L57" s="136"/>
      <c r="M57" s="136"/>
      <c r="N57" s="136"/>
      <c r="O57" s="136"/>
      <c r="P57" s="136"/>
      <c r="Q57" s="136"/>
      <c r="R57" s="136"/>
      <c r="S57" s="136"/>
      <c r="T57" s="136"/>
      <c r="U57" s="136"/>
      <c r="V57" s="136"/>
      <c r="W57" s="159"/>
      <c r="X57" s="159"/>
      <c r="Y57" s="136"/>
      <c r="Z57" s="4" t="b">
        <f t="shared" si="1"/>
        <v>0</v>
      </c>
      <c r="AA57" s="4" t="s">
        <v>1617</v>
      </c>
    </row>
    <row r="58" spans="1:30" x14ac:dyDescent="0.25">
      <c r="A58" s="159"/>
      <c r="B58" s="139" t="s">
        <v>200</v>
      </c>
      <c r="C58" s="136"/>
      <c r="D58" s="136"/>
      <c r="E58" s="136"/>
      <c r="F58" s="136"/>
      <c r="G58" s="136"/>
      <c r="H58" s="136"/>
      <c r="I58" s="136"/>
      <c r="J58" s="136"/>
      <c r="K58" s="136"/>
      <c r="L58" s="136"/>
      <c r="M58" s="136"/>
      <c r="N58" s="136"/>
      <c r="O58" s="136"/>
      <c r="P58" s="136"/>
      <c r="Q58" s="136"/>
      <c r="R58" s="136"/>
      <c r="S58" s="136"/>
      <c r="T58" s="136"/>
      <c r="U58" s="136"/>
      <c r="V58" s="136"/>
      <c r="W58" s="159"/>
      <c r="X58" s="159"/>
      <c r="Y58" s="136"/>
      <c r="Z58" s="211" t="b">
        <f t="shared" ref="Z58:Z66" si="2">AND(_xlfn.XLOOKUP(AA58,cmdTable,cmdSetting,"Off")="On",NOT(_xlfn.XLOOKUP(AA58,cmdTable,cmdDisabled,FALSE)))</f>
        <v>0</v>
      </c>
      <c r="AA58" s="211" t="s">
        <v>1618</v>
      </c>
      <c r="AB58" s="211"/>
    </row>
    <row r="59" spans="1:30" x14ac:dyDescent="0.25">
      <c r="A59" s="159"/>
      <c r="B59" s="139"/>
      <c r="C59" s="136"/>
      <c r="D59" s="136"/>
      <c r="E59" s="136"/>
      <c r="F59" s="136"/>
      <c r="G59" s="136"/>
      <c r="H59" s="136"/>
      <c r="I59" s="136"/>
      <c r="J59" s="136"/>
      <c r="K59" s="136"/>
      <c r="L59" s="136"/>
      <c r="M59" s="136"/>
      <c r="N59" s="136"/>
      <c r="O59" s="136"/>
      <c r="P59" s="136"/>
      <c r="Q59" s="136"/>
      <c r="R59" s="136"/>
      <c r="S59" s="136"/>
      <c r="T59" s="136"/>
      <c r="U59" s="136"/>
      <c r="V59" s="136"/>
      <c r="W59" s="159"/>
      <c r="X59" s="159"/>
      <c r="Y59" s="136"/>
      <c r="Z59" s="211" t="b">
        <f t="shared" si="2"/>
        <v>0</v>
      </c>
      <c r="AA59" s="211" t="s">
        <v>1618</v>
      </c>
      <c r="AB59" s="211"/>
    </row>
    <row r="60" spans="1:30" x14ac:dyDescent="0.25">
      <c r="A60" s="159"/>
      <c r="B60" s="171"/>
      <c r="C60" s="136" t="s">
        <v>1181</v>
      </c>
      <c r="D60" s="136"/>
      <c r="E60" s="136"/>
      <c r="F60" s="136"/>
      <c r="G60" s="136"/>
      <c r="H60" s="136"/>
      <c r="I60" s="136"/>
      <c r="J60" s="136"/>
      <c r="K60" s="136"/>
      <c r="L60" s="136"/>
      <c r="M60" s="136"/>
      <c r="N60" s="136"/>
      <c r="O60" s="136"/>
      <c r="P60" s="136"/>
      <c r="Q60" s="136"/>
      <c r="R60" s="136"/>
      <c r="S60" s="136"/>
      <c r="T60" s="136"/>
      <c r="U60" s="136"/>
      <c r="V60" s="136"/>
      <c r="W60" s="159"/>
      <c r="X60" s="159"/>
      <c r="Y60" s="136"/>
      <c r="Z60" s="211" t="b">
        <f t="shared" si="2"/>
        <v>0</v>
      </c>
      <c r="AA60" s="211" t="s">
        <v>1618</v>
      </c>
      <c r="AB60" s="211" t="s">
        <v>1034</v>
      </c>
      <c r="AC60" s="4" t="b">
        <v>0</v>
      </c>
      <c r="AD60" s="4" t="b">
        <v>0</v>
      </c>
    </row>
    <row r="61" spans="1:30" x14ac:dyDescent="0.25">
      <c r="A61" s="159"/>
      <c r="B61" s="171"/>
      <c r="C61" s="136" t="s">
        <v>1182</v>
      </c>
      <c r="D61" s="136"/>
      <c r="E61" s="136"/>
      <c r="F61" s="136"/>
      <c r="G61" s="136"/>
      <c r="H61" s="136"/>
      <c r="I61" s="136"/>
      <c r="J61" s="136"/>
      <c r="K61" s="136"/>
      <c r="L61" s="136"/>
      <c r="M61" s="136"/>
      <c r="N61" s="136"/>
      <c r="O61" s="136"/>
      <c r="P61" s="136"/>
      <c r="Q61" s="136"/>
      <c r="R61" s="136"/>
      <c r="S61" s="136"/>
      <c r="T61" s="136"/>
      <c r="U61" s="136"/>
      <c r="V61" s="136"/>
      <c r="W61" s="159"/>
      <c r="X61" s="159"/>
      <c r="Y61" s="136"/>
      <c r="Z61" s="211" t="b">
        <f t="shared" si="2"/>
        <v>0</v>
      </c>
      <c r="AA61" s="211" t="s">
        <v>1618</v>
      </c>
      <c r="AB61" s="211" t="s">
        <v>1035</v>
      </c>
      <c r="AC61" s="4" t="b">
        <v>0</v>
      </c>
      <c r="AD61" s="4" t="b">
        <v>0</v>
      </c>
    </row>
    <row r="62" spans="1:30" x14ac:dyDescent="0.25">
      <c r="A62" s="159"/>
      <c r="B62" s="171"/>
      <c r="C62" s="136" t="s">
        <v>1534</v>
      </c>
      <c r="D62" s="136"/>
      <c r="E62" s="136"/>
      <c r="F62" s="136"/>
      <c r="G62" s="136"/>
      <c r="H62" s="136"/>
      <c r="I62" s="136"/>
      <c r="J62" s="136"/>
      <c r="K62" s="136"/>
      <c r="L62" s="136"/>
      <c r="M62" s="136"/>
      <c r="N62" s="136"/>
      <c r="O62" s="136"/>
      <c r="P62" s="136"/>
      <c r="Q62" s="136"/>
      <c r="R62" s="136"/>
      <c r="S62" s="136"/>
      <c r="T62" s="136"/>
      <c r="U62" s="136"/>
      <c r="V62" s="136"/>
      <c r="W62" s="159"/>
      <c r="X62" s="159"/>
      <c r="Y62" s="136"/>
      <c r="Z62" s="211" t="b">
        <f t="shared" si="2"/>
        <v>0</v>
      </c>
      <c r="AA62" s="211" t="s">
        <v>1618</v>
      </c>
      <c r="AB62" s="211" t="s">
        <v>1036</v>
      </c>
      <c r="AC62" s="4" t="b">
        <v>0</v>
      </c>
      <c r="AD62" s="4" t="b">
        <v>0</v>
      </c>
    </row>
    <row r="63" spans="1:30" x14ac:dyDescent="0.25">
      <c r="A63" s="159"/>
      <c r="B63" s="171"/>
      <c r="C63" s="136" t="s">
        <v>1183</v>
      </c>
      <c r="D63" s="136"/>
      <c r="E63" s="136"/>
      <c r="F63" s="136"/>
      <c r="G63" s="136"/>
      <c r="H63" s="136"/>
      <c r="I63" s="136"/>
      <c r="J63" s="136"/>
      <c r="K63" s="136"/>
      <c r="L63" s="136"/>
      <c r="M63" s="136"/>
      <c r="N63" s="136"/>
      <c r="O63" s="136"/>
      <c r="P63" s="136"/>
      <c r="Q63" s="136"/>
      <c r="R63" s="136"/>
      <c r="S63" s="136"/>
      <c r="T63" s="136"/>
      <c r="U63" s="136"/>
      <c r="V63" s="136"/>
      <c r="W63" s="159"/>
      <c r="X63" s="159"/>
      <c r="Y63" s="136"/>
      <c r="Z63" s="211" t="b">
        <f t="shared" si="2"/>
        <v>0</v>
      </c>
      <c r="AA63" s="211" t="s">
        <v>1618</v>
      </c>
      <c r="AB63" s="211" t="s">
        <v>1037</v>
      </c>
      <c r="AC63" s="4" t="b">
        <v>0</v>
      </c>
      <c r="AD63" s="4" t="b">
        <v>0</v>
      </c>
    </row>
    <row r="64" spans="1:30" x14ac:dyDescent="0.25">
      <c r="A64" s="159"/>
      <c r="B64" s="171"/>
      <c r="C64" s="136" t="s">
        <v>1184</v>
      </c>
      <c r="D64" s="136"/>
      <c r="E64" s="136"/>
      <c r="F64" s="136"/>
      <c r="G64" s="136"/>
      <c r="H64" s="136"/>
      <c r="I64" s="136"/>
      <c r="J64" s="136"/>
      <c r="K64" s="136"/>
      <c r="L64" s="136"/>
      <c r="M64" s="136"/>
      <c r="N64" s="136"/>
      <c r="O64" s="136"/>
      <c r="P64" s="136"/>
      <c r="Q64" s="136"/>
      <c r="R64" s="136"/>
      <c r="S64" s="136"/>
      <c r="T64" s="136"/>
      <c r="U64" s="136"/>
      <c r="V64" s="136"/>
      <c r="W64" s="159"/>
      <c r="X64" s="159"/>
      <c r="Y64" s="136"/>
      <c r="Z64" s="211" t="b">
        <f t="shared" si="2"/>
        <v>0</v>
      </c>
      <c r="AA64" s="211" t="s">
        <v>1618</v>
      </c>
      <c r="AB64" s="211" t="s">
        <v>1038</v>
      </c>
      <c r="AC64" s="4" t="b">
        <v>0</v>
      </c>
      <c r="AD64" s="4" t="b">
        <v>0</v>
      </c>
    </row>
    <row r="65" spans="1:30" x14ac:dyDescent="0.25">
      <c r="A65" s="159"/>
      <c r="B65" s="171"/>
      <c r="C65" s="136" t="s">
        <v>1185</v>
      </c>
      <c r="D65" s="136"/>
      <c r="E65" s="136"/>
      <c r="F65" s="136"/>
      <c r="G65" s="136"/>
      <c r="H65" s="136"/>
      <c r="I65" s="136"/>
      <c r="J65" s="136"/>
      <c r="K65" s="136"/>
      <c r="L65" s="136"/>
      <c r="M65" s="136"/>
      <c r="N65" s="136"/>
      <c r="O65" s="136"/>
      <c r="P65" s="136"/>
      <c r="Q65" s="136"/>
      <c r="R65" s="136"/>
      <c r="S65" s="136"/>
      <c r="T65" s="136"/>
      <c r="U65" s="136"/>
      <c r="V65" s="136"/>
      <c r="W65" s="159"/>
      <c r="X65" s="159"/>
      <c r="Y65" s="136"/>
      <c r="Z65" s="211" t="b">
        <f t="shared" si="2"/>
        <v>0</v>
      </c>
      <c r="AA65" s="211" t="s">
        <v>1618</v>
      </c>
      <c r="AB65" s="211" t="s">
        <v>1039</v>
      </c>
      <c r="AC65" s="4" t="b">
        <v>0</v>
      </c>
      <c r="AD65" s="4" t="b">
        <v>0</v>
      </c>
    </row>
    <row r="66" spans="1:30" x14ac:dyDescent="0.25">
      <c r="A66" s="159"/>
      <c r="B66" s="171"/>
      <c r="C66" s="136" t="s">
        <v>1186</v>
      </c>
      <c r="D66" s="136"/>
      <c r="E66" s="136"/>
      <c r="F66" s="136"/>
      <c r="G66" s="136"/>
      <c r="H66" s="136"/>
      <c r="I66" s="136"/>
      <c r="J66" s="136"/>
      <c r="K66" s="136"/>
      <c r="L66" s="136"/>
      <c r="M66" s="136"/>
      <c r="N66" s="136"/>
      <c r="O66" s="136"/>
      <c r="P66" s="136"/>
      <c r="Q66" s="136"/>
      <c r="R66" s="136"/>
      <c r="S66" s="136"/>
      <c r="T66" s="136"/>
      <c r="U66" s="136"/>
      <c r="V66" s="136"/>
      <c r="W66" s="159"/>
      <c r="X66" s="159"/>
      <c r="Y66" s="136"/>
      <c r="Z66" s="211" t="b">
        <f t="shared" si="2"/>
        <v>0</v>
      </c>
      <c r="AA66" s="211" t="s">
        <v>1618</v>
      </c>
      <c r="AB66" s="211" t="s">
        <v>1040</v>
      </c>
      <c r="AC66" s="4" t="b">
        <v>0</v>
      </c>
      <c r="AD66" s="4" t="b">
        <v>0</v>
      </c>
    </row>
    <row r="67" spans="1:30" x14ac:dyDescent="0.25">
      <c r="A67" s="159"/>
      <c r="B67" s="171"/>
      <c r="C67" s="136" t="s">
        <v>1187</v>
      </c>
      <c r="D67" s="136"/>
      <c r="E67" s="136"/>
      <c r="F67" s="136"/>
      <c r="G67" s="136"/>
      <c r="H67" s="136"/>
      <c r="I67" s="136"/>
      <c r="J67" s="136"/>
      <c r="K67" s="136"/>
      <c r="L67" s="136"/>
      <c r="M67" s="136"/>
      <c r="N67" s="136"/>
      <c r="O67" s="136"/>
      <c r="P67" s="136"/>
      <c r="Q67" s="136"/>
      <c r="R67" s="136"/>
      <c r="S67" s="136"/>
      <c r="T67" s="136"/>
      <c r="U67" s="136"/>
      <c r="V67" s="136"/>
      <c r="W67" s="159"/>
      <c r="X67" s="159"/>
      <c r="Y67" s="136"/>
      <c r="Z67" s="211" t="b">
        <f t="shared" si="1"/>
        <v>0</v>
      </c>
      <c r="AA67" s="211" t="s">
        <v>1618</v>
      </c>
      <c r="AB67" s="211" t="s">
        <v>1041</v>
      </c>
      <c r="AC67" s="4" t="b">
        <v>0</v>
      </c>
      <c r="AD67" s="4" t="b">
        <v>0</v>
      </c>
    </row>
    <row r="68" spans="1:30" x14ac:dyDescent="0.25">
      <c r="A68" s="159"/>
      <c r="B68" s="171"/>
      <c r="C68" s="136" t="s">
        <v>1188</v>
      </c>
      <c r="D68" s="136"/>
      <c r="E68" s="136"/>
      <c r="F68" s="136"/>
      <c r="G68" s="136"/>
      <c r="H68" s="136"/>
      <c r="I68" s="136"/>
      <c r="J68" s="136"/>
      <c r="K68" s="136"/>
      <c r="L68" s="136"/>
      <c r="M68" s="136"/>
      <c r="N68" s="136"/>
      <c r="O68" s="136"/>
      <c r="P68" s="136"/>
      <c r="Q68" s="136"/>
      <c r="R68" s="136"/>
      <c r="S68" s="136"/>
      <c r="T68" s="136"/>
      <c r="U68" s="136"/>
      <c r="V68" s="136"/>
      <c r="W68" s="159"/>
      <c r="X68" s="159"/>
      <c r="Y68" s="136"/>
      <c r="Z68" s="211" t="b">
        <f t="shared" si="1"/>
        <v>0</v>
      </c>
      <c r="AA68" s="211" t="s">
        <v>1618</v>
      </c>
      <c r="AB68" s="211" t="s">
        <v>1042</v>
      </c>
      <c r="AC68" s="4" t="b">
        <v>0</v>
      </c>
      <c r="AD68" s="4" t="b">
        <v>0</v>
      </c>
    </row>
    <row r="69" spans="1:30" x14ac:dyDescent="0.25">
      <c r="A69" s="159"/>
      <c r="B69" s="171"/>
      <c r="C69" s="136" t="s">
        <v>1189</v>
      </c>
      <c r="D69" s="136"/>
      <c r="E69" s="136"/>
      <c r="F69" s="136"/>
      <c r="G69" s="136"/>
      <c r="H69" s="136"/>
      <c r="I69" s="136"/>
      <c r="J69" s="136"/>
      <c r="K69" s="136"/>
      <c r="L69" s="136"/>
      <c r="M69" s="136"/>
      <c r="N69" s="136"/>
      <c r="O69" s="136"/>
      <c r="P69" s="136"/>
      <c r="Q69" s="136"/>
      <c r="R69" s="136"/>
      <c r="S69" s="136"/>
      <c r="T69" s="136"/>
      <c r="U69" s="136"/>
      <c r="V69" s="136"/>
      <c r="W69" s="159"/>
      <c r="X69" s="159"/>
      <c r="Y69" s="136"/>
      <c r="Z69" s="211" t="b">
        <f t="shared" si="1"/>
        <v>0</v>
      </c>
      <c r="AA69" s="211" t="s">
        <v>1618</v>
      </c>
      <c r="AB69" s="211" t="s">
        <v>1098</v>
      </c>
      <c r="AC69" s="4" t="b">
        <v>0</v>
      </c>
      <c r="AD69" s="4" t="b">
        <v>0</v>
      </c>
    </row>
    <row r="70" spans="1:30" hidden="1" x14ac:dyDescent="0.25">
      <c r="A70" s="159"/>
      <c r="B70" s="136"/>
      <c r="C70" s="136" t="s">
        <v>8</v>
      </c>
      <c r="D70" s="295"/>
      <c r="E70" s="298"/>
      <c r="F70" s="298"/>
      <c r="G70" s="298"/>
      <c r="H70" s="298"/>
      <c r="I70" s="296"/>
      <c r="J70" s="296"/>
      <c r="K70" s="296"/>
      <c r="L70" s="296"/>
      <c r="M70" s="296"/>
      <c r="N70" s="296"/>
      <c r="O70" s="296"/>
      <c r="P70" s="296"/>
      <c r="Q70" s="296"/>
      <c r="R70" s="296"/>
      <c r="S70" s="297"/>
      <c r="T70" s="136"/>
      <c r="U70" s="136"/>
      <c r="V70" s="136"/>
      <c r="W70" s="159"/>
      <c r="X70" s="159"/>
      <c r="Y70" s="136"/>
      <c r="Z70" s="212" t="b">
        <f>AND(B69="P",Z69)</f>
        <v>0</v>
      </c>
      <c r="AA70" s="211" t="s">
        <v>1618</v>
      </c>
      <c r="AB70" s="211" t="s">
        <v>1097</v>
      </c>
      <c r="AD70" s="209" t="b">
        <v>1</v>
      </c>
    </row>
    <row r="71" spans="1:30" x14ac:dyDescent="0.25">
      <c r="A71" s="159"/>
      <c r="B71" s="136"/>
      <c r="C71" s="136"/>
      <c r="D71" s="136"/>
      <c r="E71" s="136"/>
      <c r="F71" s="136"/>
      <c r="G71" s="136"/>
      <c r="H71" s="136"/>
      <c r="I71" s="136"/>
      <c r="J71" s="136"/>
      <c r="K71" s="136"/>
      <c r="L71" s="136"/>
      <c r="M71" s="136"/>
      <c r="N71" s="136"/>
      <c r="O71" s="136"/>
      <c r="P71" s="136"/>
      <c r="Q71" s="136"/>
      <c r="R71" s="136"/>
      <c r="S71" s="136"/>
      <c r="T71" s="136"/>
      <c r="U71" s="136"/>
      <c r="V71" s="136"/>
      <c r="W71" s="159"/>
      <c r="X71" s="159"/>
      <c r="Y71" s="136"/>
      <c r="Z71" s="211" t="b">
        <f t="shared" si="1"/>
        <v>0</v>
      </c>
      <c r="AA71" s="211" t="s">
        <v>1618</v>
      </c>
      <c r="AB71" s="211"/>
    </row>
    <row r="72" spans="1:30" x14ac:dyDescent="0.25">
      <c r="A72" s="159"/>
      <c r="B72" s="139" t="s">
        <v>211</v>
      </c>
      <c r="C72" s="136"/>
      <c r="D72" s="136"/>
      <c r="E72" s="136"/>
      <c r="F72" s="136"/>
      <c r="G72" s="136"/>
      <c r="H72" s="136"/>
      <c r="I72" s="136"/>
      <c r="J72" s="136"/>
      <c r="K72" s="136"/>
      <c r="L72" s="136"/>
      <c r="M72" s="136"/>
      <c r="N72" s="136"/>
      <c r="O72" s="136"/>
      <c r="P72" s="136"/>
      <c r="Q72" s="136"/>
      <c r="R72" s="136"/>
      <c r="S72" s="136"/>
      <c r="T72" s="136"/>
      <c r="U72" s="136"/>
      <c r="V72" s="136"/>
      <c r="W72" s="159"/>
      <c r="X72" s="159"/>
      <c r="Y72" s="136"/>
      <c r="Z72" s="4" t="b">
        <f t="shared" si="1"/>
        <v>0</v>
      </c>
      <c r="AA72" s="4" t="s">
        <v>1619</v>
      </c>
    </row>
    <row r="73" spans="1:30" x14ac:dyDescent="0.25">
      <c r="A73" s="159"/>
      <c r="B73" s="139"/>
      <c r="C73" s="136"/>
      <c r="D73" s="136"/>
      <c r="E73" s="136"/>
      <c r="F73" s="136"/>
      <c r="G73" s="136"/>
      <c r="H73" s="136"/>
      <c r="I73" s="136"/>
      <c r="J73" s="136"/>
      <c r="K73" s="136"/>
      <c r="L73" s="136"/>
      <c r="M73" s="136"/>
      <c r="N73" s="136"/>
      <c r="O73" s="136"/>
      <c r="P73" s="136"/>
      <c r="Q73" s="136"/>
      <c r="R73" s="136"/>
      <c r="S73" s="136"/>
      <c r="T73" s="136"/>
      <c r="U73" s="136"/>
      <c r="V73" s="136"/>
      <c r="W73" s="159"/>
      <c r="X73" s="159"/>
      <c r="Y73" s="136"/>
      <c r="Z73" s="4" t="b">
        <f t="shared" si="1"/>
        <v>0</v>
      </c>
      <c r="AA73" s="4" t="s">
        <v>1619</v>
      </c>
    </row>
    <row r="74" spans="1:30" x14ac:dyDescent="0.25">
      <c r="A74" s="159"/>
      <c r="B74" s="171"/>
      <c r="C74" s="136" t="s">
        <v>1190</v>
      </c>
      <c r="D74" s="136"/>
      <c r="E74" s="136"/>
      <c r="F74" s="136"/>
      <c r="G74" s="136"/>
      <c r="H74" s="136"/>
      <c r="I74" s="136"/>
      <c r="J74" s="136"/>
      <c r="K74" s="136"/>
      <c r="L74" s="136"/>
      <c r="M74" s="136"/>
      <c r="N74" s="136"/>
      <c r="O74" s="136"/>
      <c r="P74" s="136"/>
      <c r="Q74" s="136"/>
      <c r="R74" s="136"/>
      <c r="S74" s="136"/>
      <c r="T74" s="136"/>
      <c r="U74" s="136"/>
      <c r="V74" s="136"/>
      <c r="W74" s="159"/>
      <c r="X74" s="159"/>
      <c r="Y74" s="136"/>
      <c r="Z74" s="4" t="b">
        <f t="shared" si="1"/>
        <v>0</v>
      </c>
      <c r="AA74" s="4" t="s">
        <v>1619</v>
      </c>
      <c r="AB74" s="4" t="s">
        <v>1043</v>
      </c>
      <c r="AC74" s="4" t="b">
        <v>0</v>
      </c>
      <c r="AD74" s="4" t="b">
        <v>0</v>
      </c>
    </row>
    <row r="75" spans="1:30" x14ac:dyDescent="0.25">
      <c r="A75" s="159"/>
      <c r="B75" s="171"/>
      <c r="C75" s="136" t="s">
        <v>1535</v>
      </c>
      <c r="D75" s="136"/>
      <c r="E75" s="136"/>
      <c r="F75" s="136"/>
      <c r="G75" s="136"/>
      <c r="H75" s="136"/>
      <c r="I75" s="136"/>
      <c r="J75" s="136"/>
      <c r="K75" s="136"/>
      <c r="L75" s="136"/>
      <c r="M75" s="136"/>
      <c r="N75" s="136"/>
      <c r="O75" s="136"/>
      <c r="P75" s="136"/>
      <c r="Q75" s="136"/>
      <c r="R75" s="136"/>
      <c r="S75" s="136"/>
      <c r="T75" s="136"/>
      <c r="U75" s="136"/>
      <c r="V75" s="136"/>
      <c r="W75" s="159"/>
      <c r="X75" s="159"/>
      <c r="Y75" s="136"/>
      <c r="Z75" s="4" t="b">
        <f t="shared" si="1"/>
        <v>0</v>
      </c>
      <c r="AA75" s="4" t="s">
        <v>1619</v>
      </c>
      <c r="AB75" s="4" t="s">
        <v>1044</v>
      </c>
      <c r="AC75" s="4" t="b">
        <v>0</v>
      </c>
      <c r="AD75" s="4" t="b">
        <v>0</v>
      </c>
    </row>
    <row r="76" spans="1:30" x14ac:dyDescent="0.25">
      <c r="A76" s="159"/>
      <c r="B76" s="171"/>
      <c r="C76" s="136" t="s">
        <v>1191</v>
      </c>
      <c r="D76" s="136"/>
      <c r="E76" s="136"/>
      <c r="F76" s="136"/>
      <c r="G76" s="136"/>
      <c r="H76" s="136"/>
      <c r="I76" s="136"/>
      <c r="J76" s="136"/>
      <c r="K76" s="136"/>
      <c r="L76" s="136"/>
      <c r="M76" s="136"/>
      <c r="N76" s="136"/>
      <c r="O76" s="136"/>
      <c r="P76" s="136"/>
      <c r="Q76" s="136"/>
      <c r="R76" s="136"/>
      <c r="S76" s="136"/>
      <c r="T76" s="136"/>
      <c r="U76" s="136"/>
      <c r="V76" s="136"/>
      <c r="W76" s="159"/>
      <c r="X76" s="159"/>
      <c r="Y76" s="136"/>
      <c r="Z76" s="4" t="b">
        <f t="shared" si="1"/>
        <v>0</v>
      </c>
      <c r="AA76" s="4" t="s">
        <v>1619</v>
      </c>
      <c r="AB76" s="4" t="s">
        <v>1045</v>
      </c>
      <c r="AC76" s="4" t="b">
        <v>0</v>
      </c>
      <c r="AD76" s="4" t="b">
        <v>0</v>
      </c>
    </row>
    <row r="77" spans="1:30" x14ac:dyDescent="0.25">
      <c r="A77" s="159"/>
      <c r="B77" s="171"/>
      <c r="C77" s="136" t="s">
        <v>1192</v>
      </c>
      <c r="D77" s="136"/>
      <c r="E77" s="136"/>
      <c r="F77" s="136"/>
      <c r="G77" s="136"/>
      <c r="H77" s="136"/>
      <c r="I77" s="136"/>
      <c r="J77" s="136"/>
      <c r="K77" s="136"/>
      <c r="L77" s="136"/>
      <c r="M77" s="136"/>
      <c r="N77" s="136"/>
      <c r="O77" s="136"/>
      <c r="P77" s="136"/>
      <c r="Q77" s="136"/>
      <c r="R77" s="136"/>
      <c r="S77" s="136"/>
      <c r="T77" s="136"/>
      <c r="U77" s="136"/>
      <c r="V77" s="136"/>
      <c r="W77" s="159"/>
      <c r="X77" s="159"/>
      <c r="Y77" s="136"/>
      <c r="Z77" s="4" t="b">
        <f t="shared" si="1"/>
        <v>0</v>
      </c>
      <c r="AA77" s="4" t="s">
        <v>1619</v>
      </c>
      <c r="AB77" s="4" t="s">
        <v>1046</v>
      </c>
      <c r="AC77" s="4" t="b">
        <v>0</v>
      </c>
      <c r="AD77" s="4" t="b">
        <v>0</v>
      </c>
    </row>
    <row r="78" spans="1:30" x14ac:dyDescent="0.25">
      <c r="A78" s="159"/>
      <c r="B78" s="171"/>
      <c r="C78" s="136" t="s">
        <v>1193</v>
      </c>
      <c r="D78" s="136"/>
      <c r="E78" s="136"/>
      <c r="F78" s="136"/>
      <c r="G78" s="136"/>
      <c r="H78" s="136"/>
      <c r="I78" s="136"/>
      <c r="J78" s="136"/>
      <c r="K78" s="136"/>
      <c r="L78" s="136"/>
      <c r="M78" s="136"/>
      <c r="N78" s="136"/>
      <c r="O78" s="136"/>
      <c r="P78" s="136"/>
      <c r="Q78" s="136"/>
      <c r="R78" s="136"/>
      <c r="S78" s="136"/>
      <c r="T78" s="136"/>
      <c r="U78" s="136"/>
      <c r="V78" s="136"/>
      <c r="W78" s="159"/>
      <c r="X78" s="159"/>
      <c r="Y78" s="136"/>
      <c r="Z78" s="4" t="b">
        <f t="shared" si="1"/>
        <v>0</v>
      </c>
      <c r="AA78" s="4" t="s">
        <v>1619</v>
      </c>
      <c r="AB78" s="4" t="s">
        <v>1047</v>
      </c>
      <c r="AC78" s="4" t="b">
        <v>0</v>
      </c>
      <c r="AD78" s="4" t="b">
        <v>0</v>
      </c>
    </row>
    <row r="79" spans="1:30" x14ac:dyDescent="0.25">
      <c r="A79" s="159"/>
      <c r="B79" s="171"/>
      <c r="C79" s="136" t="s">
        <v>1194</v>
      </c>
      <c r="D79" s="136"/>
      <c r="E79" s="136"/>
      <c r="F79" s="136"/>
      <c r="G79" s="136"/>
      <c r="H79" s="136"/>
      <c r="I79" s="136"/>
      <c r="J79" s="136"/>
      <c r="K79" s="136"/>
      <c r="L79" s="136"/>
      <c r="M79" s="136"/>
      <c r="N79" s="136"/>
      <c r="O79" s="136"/>
      <c r="P79" s="136"/>
      <c r="Q79" s="136"/>
      <c r="R79" s="136"/>
      <c r="S79" s="136"/>
      <c r="T79" s="136"/>
      <c r="U79" s="136"/>
      <c r="V79" s="136"/>
      <c r="W79" s="159"/>
      <c r="X79" s="159"/>
      <c r="Y79" s="136"/>
      <c r="Z79" s="4" t="b">
        <f t="shared" si="1"/>
        <v>0</v>
      </c>
      <c r="AA79" s="4" t="s">
        <v>1619</v>
      </c>
      <c r="AB79" s="4" t="s">
        <v>1048</v>
      </c>
      <c r="AC79" s="4" t="b">
        <v>0</v>
      </c>
      <c r="AD79" s="4" t="b">
        <v>0</v>
      </c>
    </row>
    <row r="80" spans="1:30" x14ac:dyDescent="0.25">
      <c r="A80" s="159"/>
      <c r="B80" s="171"/>
      <c r="C80" s="136" t="s">
        <v>1195</v>
      </c>
      <c r="D80" s="136"/>
      <c r="E80" s="136"/>
      <c r="F80" s="136"/>
      <c r="G80" s="136"/>
      <c r="H80" s="136"/>
      <c r="I80" s="136"/>
      <c r="J80" s="136"/>
      <c r="K80" s="136"/>
      <c r="L80" s="136"/>
      <c r="M80" s="136"/>
      <c r="N80" s="136"/>
      <c r="O80" s="136"/>
      <c r="P80" s="136"/>
      <c r="Q80" s="136"/>
      <c r="R80" s="136"/>
      <c r="S80" s="136"/>
      <c r="T80" s="136"/>
      <c r="U80" s="136"/>
      <c r="V80" s="136"/>
      <c r="W80" s="159"/>
      <c r="X80" s="159"/>
      <c r="Y80" s="136"/>
      <c r="Z80" s="4" t="b">
        <f t="shared" si="1"/>
        <v>0</v>
      </c>
      <c r="AA80" s="4" t="s">
        <v>1619</v>
      </c>
      <c r="AB80" s="4" t="s">
        <v>1049</v>
      </c>
      <c r="AC80" s="4" t="b">
        <v>0</v>
      </c>
      <c r="AD80" s="4" t="b">
        <v>0</v>
      </c>
    </row>
    <row r="81" spans="1:30" x14ac:dyDescent="0.25">
      <c r="A81" s="159"/>
      <c r="B81" s="171"/>
      <c r="C81" s="136" t="s">
        <v>1196</v>
      </c>
      <c r="D81" s="136"/>
      <c r="E81" s="136"/>
      <c r="F81" s="136"/>
      <c r="G81" s="136"/>
      <c r="H81" s="136"/>
      <c r="I81" s="136"/>
      <c r="J81" s="136"/>
      <c r="K81" s="136"/>
      <c r="L81" s="136"/>
      <c r="M81" s="136"/>
      <c r="N81" s="136"/>
      <c r="O81" s="136"/>
      <c r="P81" s="136"/>
      <c r="Q81" s="136"/>
      <c r="R81" s="136"/>
      <c r="S81" s="136"/>
      <c r="T81" s="136"/>
      <c r="U81" s="136"/>
      <c r="V81" s="136"/>
      <c r="W81" s="159"/>
      <c r="X81" s="159"/>
      <c r="Y81" s="136"/>
      <c r="Z81" s="4" t="b">
        <f t="shared" si="1"/>
        <v>0</v>
      </c>
      <c r="AA81" s="4" t="s">
        <v>1619</v>
      </c>
      <c r="AB81" s="4" t="s">
        <v>1050</v>
      </c>
      <c r="AC81" s="4" t="b">
        <v>0</v>
      </c>
      <c r="AD81" s="4" t="b">
        <v>0</v>
      </c>
    </row>
    <row r="82" spans="1:30" x14ac:dyDescent="0.25">
      <c r="A82" s="159"/>
      <c r="B82" s="171"/>
      <c r="C82" s="136" t="s">
        <v>1197</v>
      </c>
      <c r="D82" s="136"/>
      <c r="E82" s="136"/>
      <c r="F82" s="136"/>
      <c r="G82" s="136"/>
      <c r="H82" s="136"/>
      <c r="I82" s="136"/>
      <c r="J82" s="136"/>
      <c r="K82" s="136"/>
      <c r="L82" s="136"/>
      <c r="M82" s="136"/>
      <c r="N82" s="136"/>
      <c r="O82" s="136"/>
      <c r="P82" s="136"/>
      <c r="Q82" s="136"/>
      <c r="R82" s="136"/>
      <c r="S82" s="136"/>
      <c r="T82" s="136"/>
      <c r="U82" s="136"/>
      <c r="V82" s="136"/>
      <c r="W82" s="159"/>
      <c r="X82" s="159"/>
      <c r="Y82" s="136"/>
      <c r="Z82" s="4" t="b">
        <f t="shared" ref="Z82:Z111" si="3">AND(_xlfn.XLOOKUP(AA82,cmdTable,cmdSetting,"Off")="On",NOT(_xlfn.XLOOKUP(AA82,cmdTable,cmdDisabled,FALSE)))</f>
        <v>0</v>
      </c>
      <c r="AA82" s="4" t="s">
        <v>1619</v>
      </c>
      <c r="AB82" s="4" t="s">
        <v>1051</v>
      </c>
      <c r="AC82" s="4" t="b">
        <v>0</v>
      </c>
      <c r="AD82" s="4" t="b">
        <v>0</v>
      </c>
    </row>
    <row r="83" spans="1:30" x14ac:dyDescent="0.25">
      <c r="A83" s="159"/>
      <c r="B83" s="171"/>
      <c r="C83" s="136" t="s">
        <v>1198</v>
      </c>
      <c r="D83" s="136"/>
      <c r="E83" s="136"/>
      <c r="F83" s="136"/>
      <c r="G83" s="136"/>
      <c r="H83" s="136"/>
      <c r="I83" s="136"/>
      <c r="J83" s="136"/>
      <c r="K83" s="136"/>
      <c r="L83" s="136"/>
      <c r="M83" s="136"/>
      <c r="N83" s="136"/>
      <c r="O83" s="136"/>
      <c r="P83" s="136"/>
      <c r="Q83" s="136"/>
      <c r="R83" s="136"/>
      <c r="S83" s="136"/>
      <c r="T83" s="136"/>
      <c r="U83" s="136"/>
      <c r="V83" s="136"/>
      <c r="W83" s="159"/>
      <c r="X83" s="159"/>
      <c r="Y83" s="136"/>
      <c r="Z83" s="4" t="b">
        <f t="shared" si="3"/>
        <v>0</v>
      </c>
      <c r="AA83" s="4" t="s">
        <v>1619</v>
      </c>
      <c r="AB83" s="4" t="s">
        <v>1052</v>
      </c>
      <c r="AC83" s="4" t="b">
        <v>0</v>
      </c>
      <c r="AD83" s="4" t="b">
        <v>0</v>
      </c>
    </row>
    <row r="84" spans="1:30" x14ac:dyDescent="0.25">
      <c r="A84" s="159"/>
      <c r="B84" s="171"/>
      <c r="C84" s="136" t="s">
        <v>1199</v>
      </c>
      <c r="D84" s="136"/>
      <c r="E84" s="136"/>
      <c r="F84" s="136"/>
      <c r="G84" s="136"/>
      <c r="H84" s="136"/>
      <c r="I84" s="136"/>
      <c r="J84" s="136"/>
      <c r="K84" s="136"/>
      <c r="L84" s="136"/>
      <c r="M84" s="136"/>
      <c r="N84" s="136"/>
      <c r="O84" s="136"/>
      <c r="P84" s="136"/>
      <c r="Q84" s="136"/>
      <c r="R84" s="136"/>
      <c r="S84" s="136"/>
      <c r="T84" s="136"/>
      <c r="U84" s="136"/>
      <c r="V84" s="136"/>
      <c r="W84" s="159"/>
      <c r="X84" s="159"/>
      <c r="Y84" s="136"/>
      <c r="Z84" s="4" t="b">
        <f t="shared" si="3"/>
        <v>0</v>
      </c>
      <c r="AA84" s="4" t="s">
        <v>1619</v>
      </c>
      <c r="AB84" s="4" t="s">
        <v>1053</v>
      </c>
      <c r="AC84" s="4" t="b">
        <v>0</v>
      </c>
      <c r="AD84" s="4" t="b">
        <v>0</v>
      </c>
    </row>
    <row r="85" spans="1:30" x14ac:dyDescent="0.25">
      <c r="A85" s="159"/>
      <c r="B85" s="171"/>
      <c r="C85" s="136" t="s">
        <v>1200</v>
      </c>
      <c r="D85" s="136"/>
      <c r="E85" s="136"/>
      <c r="F85" s="136"/>
      <c r="G85" s="136"/>
      <c r="H85" s="136"/>
      <c r="I85" s="136"/>
      <c r="J85" s="136"/>
      <c r="K85" s="136"/>
      <c r="L85" s="136"/>
      <c r="M85" s="136"/>
      <c r="N85" s="136"/>
      <c r="O85" s="136"/>
      <c r="P85" s="136"/>
      <c r="Q85" s="136"/>
      <c r="R85" s="136"/>
      <c r="S85" s="136"/>
      <c r="T85" s="136"/>
      <c r="U85" s="136"/>
      <c r="V85" s="136"/>
      <c r="W85" s="159"/>
      <c r="X85" s="159"/>
      <c r="Y85" s="136"/>
      <c r="Z85" s="4" t="b">
        <f t="shared" si="3"/>
        <v>0</v>
      </c>
      <c r="AA85" s="4" t="s">
        <v>1619</v>
      </c>
      <c r="AB85" s="4" t="s">
        <v>1054</v>
      </c>
      <c r="AC85" s="4" t="b">
        <v>0</v>
      </c>
      <c r="AD85" s="4" t="b">
        <v>0</v>
      </c>
    </row>
    <row r="86" spans="1:30" x14ac:dyDescent="0.25">
      <c r="A86" s="159"/>
      <c r="B86" s="171"/>
      <c r="C86" s="136" t="s">
        <v>1201</v>
      </c>
      <c r="D86" s="136"/>
      <c r="E86" s="136"/>
      <c r="F86" s="136"/>
      <c r="G86" s="136"/>
      <c r="H86" s="136"/>
      <c r="I86" s="136"/>
      <c r="J86" s="136"/>
      <c r="K86" s="136"/>
      <c r="L86" s="136"/>
      <c r="M86" s="136"/>
      <c r="N86" s="136"/>
      <c r="O86" s="136"/>
      <c r="P86" s="136"/>
      <c r="Q86" s="136"/>
      <c r="R86" s="136"/>
      <c r="S86" s="136"/>
      <c r="T86" s="136"/>
      <c r="U86" s="136"/>
      <c r="V86" s="136"/>
      <c r="W86" s="159"/>
      <c r="X86" s="159"/>
      <c r="Y86" s="136"/>
      <c r="Z86" s="4" t="b">
        <f t="shared" si="3"/>
        <v>0</v>
      </c>
      <c r="AA86" s="4" t="s">
        <v>1619</v>
      </c>
      <c r="AB86" s="4" t="s">
        <v>1055</v>
      </c>
      <c r="AC86" s="4" t="b">
        <v>0</v>
      </c>
      <c r="AD86" s="4" t="b">
        <v>0</v>
      </c>
    </row>
    <row r="87" spans="1:30" x14ac:dyDescent="0.25">
      <c r="A87" s="159"/>
      <c r="B87" s="171"/>
      <c r="C87" s="136" t="s">
        <v>1202</v>
      </c>
      <c r="D87" s="136"/>
      <c r="E87" s="136"/>
      <c r="F87" s="136"/>
      <c r="G87" s="136"/>
      <c r="H87" s="136"/>
      <c r="I87" s="136"/>
      <c r="J87" s="136"/>
      <c r="K87" s="136"/>
      <c r="L87" s="136"/>
      <c r="M87" s="136"/>
      <c r="N87" s="136"/>
      <c r="O87" s="136"/>
      <c r="P87" s="136"/>
      <c r="Q87" s="136"/>
      <c r="R87" s="136"/>
      <c r="S87" s="136"/>
      <c r="T87" s="136"/>
      <c r="U87" s="136"/>
      <c r="V87" s="136"/>
      <c r="W87" s="159"/>
      <c r="X87" s="159"/>
      <c r="Y87" s="136"/>
      <c r="Z87" s="4" t="b">
        <f t="shared" si="3"/>
        <v>0</v>
      </c>
      <c r="AA87" s="4" t="s">
        <v>1619</v>
      </c>
      <c r="AB87" s="4" t="s">
        <v>1099</v>
      </c>
      <c r="AC87" s="4" t="b">
        <v>0</v>
      </c>
      <c r="AD87" s="4" t="b">
        <v>0</v>
      </c>
    </row>
    <row r="88" spans="1:30" hidden="1" x14ac:dyDescent="0.25">
      <c r="A88" s="159"/>
      <c r="B88" s="136"/>
      <c r="C88" s="136" t="s">
        <v>8</v>
      </c>
      <c r="D88" s="295"/>
      <c r="E88" s="298"/>
      <c r="F88" s="298"/>
      <c r="G88" s="298"/>
      <c r="H88" s="298"/>
      <c r="I88" s="296"/>
      <c r="J88" s="296"/>
      <c r="K88" s="296"/>
      <c r="L88" s="296"/>
      <c r="M88" s="296"/>
      <c r="N88" s="296"/>
      <c r="O88" s="296"/>
      <c r="P88" s="296"/>
      <c r="Q88" s="296"/>
      <c r="R88" s="296"/>
      <c r="S88" s="297"/>
      <c r="T88" s="136"/>
      <c r="U88" s="136"/>
      <c r="V88" s="136"/>
      <c r="W88" s="159"/>
      <c r="X88" s="159"/>
      <c r="Y88" s="136"/>
      <c r="Z88" s="209" t="b">
        <f>AND(B87="P",Z87)</f>
        <v>0</v>
      </c>
      <c r="AA88" s="4" t="s">
        <v>1619</v>
      </c>
      <c r="AB88" s="4" t="s">
        <v>1100</v>
      </c>
      <c r="AD88" s="209" t="b">
        <v>1</v>
      </c>
    </row>
    <row r="89" spans="1:30" x14ac:dyDescent="0.25">
      <c r="A89" s="159"/>
      <c r="B89" s="136"/>
      <c r="C89" s="136"/>
      <c r="D89" s="136"/>
      <c r="E89" s="136"/>
      <c r="F89" s="136"/>
      <c r="G89" s="136"/>
      <c r="H89" s="136"/>
      <c r="I89" s="136"/>
      <c r="J89" s="136"/>
      <c r="K89" s="136"/>
      <c r="L89" s="136"/>
      <c r="M89" s="136"/>
      <c r="N89" s="136"/>
      <c r="O89" s="136"/>
      <c r="P89" s="136"/>
      <c r="Q89" s="136"/>
      <c r="R89" s="136"/>
      <c r="S89" s="136"/>
      <c r="T89" s="136"/>
      <c r="U89" s="136"/>
      <c r="V89" s="136"/>
      <c r="W89" s="159"/>
      <c r="X89" s="159"/>
      <c r="Y89" s="136"/>
      <c r="Z89" s="4" t="b">
        <f t="shared" si="3"/>
        <v>0</v>
      </c>
      <c r="AA89" s="4" t="s">
        <v>1619</v>
      </c>
    </row>
    <row r="90" spans="1:30" x14ac:dyDescent="0.25">
      <c r="A90" s="159"/>
      <c r="B90" s="139" t="s">
        <v>232</v>
      </c>
      <c r="C90" s="136"/>
      <c r="D90" s="136"/>
      <c r="E90" s="136"/>
      <c r="F90" s="136"/>
      <c r="G90" s="136"/>
      <c r="H90" s="136"/>
      <c r="I90" s="136"/>
      <c r="J90" s="136"/>
      <c r="K90" s="136"/>
      <c r="L90" s="136"/>
      <c r="M90" s="136"/>
      <c r="N90" s="136"/>
      <c r="O90" s="136"/>
      <c r="P90" s="136"/>
      <c r="Q90" s="136"/>
      <c r="R90" s="136"/>
      <c r="S90" s="136"/>
      <c r="T90" s="136"/>
      <c r="U90" s="136"/>
      <c r="V90" s="136"/>
      <c r="W90" s="159"/>
      <c r="X90" s="159"/>
      <c r="Y90" s="136"/>
      <c r="Z90" s="211" t="b">
        <f t="shared" si="3"/>
        <v>0</v>
      </c>
      <c r="AA90" s="211" t="s">
        <v>1634</v>
      </c>
      <c r="AB90" s="211"/>
    </row>
    <row r="91" spans="1:30" x14ac:dyDescent="0.25">
      <c r="A91" s="159"/>
      <c r="B91" s="139"/>
      <c r="C91" s="136"/>
      <c r="D91" s="136"/>
      <c r="E91" s="136"/>
      <c r="F91" s="136"/>
      <c r="G91" s="136"/>
      <c r="H91" s="136"/>
      <c r="I91" s="136"/>
      <c r="J91" s="136"/>
      <c r="K91" s="136"/>
      <c r="L91" s="136"/>
      <c r="M91" s="136"/>
      <c r="N91" s="136"/>
      <c r="O91" s="136"/>
      <c r="P91" s="136"/>
      <c r="Q91" s="136"/>
      <c r="R91" s="136"/>
      <c r="S91" s="136"/>
      <c r="T91" s="136"/>
      <c r="U91" s="136"/>
      <c r="V91" s="136"/>
      <c r="W91" s="159"/>
      <c r="X91" s="159"/>
      <c r="Y91" s="136"/>
      <c r="Z91" s="211" t="b">
        <f t="shared" si="3"/>
        <v>0</v>
      </c>
      <c r="AA91" s="211" t="s">
        <v>1634</v>
      </c>
      <c r="AB91" s="211"/>
    </row>
    <row r="92" spans="1:30" x14ac:dyDescent="0.25">
      <c r="A92" s="159"/>
      <c r="B92" s="171"/>
      <c r="C92" s="136" t="s">
        <v>1203</v>
      </c>
      <c r="D92" s="136"/>
      <c r="E92" s="136"/>
      <c r="F92" s="136"/>
      <c r="G92" s="136"/>
      <c r="H92" s="136"/>
      <c r="I92" s="136"/>
      <c r="J92" s="136"/>
      <c r="K92" s="136"/>
      <c r="L92" s="136"/>
      <c r="M92" s="136"/>
      <c r="N92" s="136"/>
      <c r="O92" s="136"/>
      <c r="P92" s="136"/>
      <c r="Q92" s="136"/>
      <c r="R92" s="136"/>
      <c r="S92" s="136"/>
      <c r="T92" s="136"/>
      <c r="U92" s="136"/>
      <c r="V92" s="136"/>
      <c r="W92" s="159"/>
      <c r="X92" s="159"/>
      <c r="Y92" s="136"/>
      <c r="Z92" s="211" t="b">
        <f t="shared" si="3"/>
        <v>0</v>
      </c>
      <c r="AA92" s="211" t="s">
        <v>1634</v>
      </c>
      <c r="AB92" s="211" t="s">
        <v>1056</v>
      </c>
      <c r="AC92" s="4" t="b">
        <v>0</v>
      </c>
      <c r="AD92" s="4" t="b">
        <v>0</v>
      </c>
    </row>
    <row r="93" spans="1:30" x14ac:dyDescent="0.25">
      <c r="A93" s="159"/>
      <c r="B93" s="171"/>
      <c r="C93" s="136" t="s">
        <v>1204</v>
      </c>
      <c r="D93" s="136"/>
      <c r="E93" s="136"/>
      <c r="F93" s="136"/>
      <c r="G93" s="136"/>
      <c r="H93" s="136"/>
      <c r="I93" s="136"/>
      <c r="J93" s="136"/>
      <c r="K93" s="136"/>
      <c r="L93" s="136"/>
      <c r="M93" s="136"/>
      <c r="N93" s="136"/>
      <c r="O93" s="136"/>
      <c r="P93" s="136"/>
      <c r="Q93" s="136"/>
      <c r="R93" s="136"/>
      <c r="S93" s="136"/>
      <c r="T93" s="136"/>
      <c r="U93" s="136"/>
      <c r="V93" s="136"/>
      <c r="W93" s="159"/>
      <c r="X93" s="159"/>
      <c r="Y93" s="136"/>
      <c r="Z93" s="211" t="b">
        <f t="shared" si="3"/>
        <v>0</v>
      </c>
      <c r="AA93" s="211" t="s">
        <v>1634</v>
      </c>
      <c r="AB93" s="211" t="s">
        <v>1057</v>
      </c>
      <c r="AC93" s="4" t="b">
        <v>0</v>
      </c>
      <c r="AD93" s="4" t="b">
        <v>0</v>
      </c>
    </row>
    <row r="94" spans="1:30" x14ac:dyDescent="0.25">
      <c r="A94" s="159"/>
      <c r="B94" s="171"/>
      <c r="C94" s="136" t="s">
        <v>1205</v>
      </c>
      <c r="D94" s="136"/>
      <c r="E94" s="136"/>
      <c r="F94" s="136"/>
      <c r="G94" s="136"/>
      <c r="H94" s="136"/>
      <c r="I94" s="136"/>
      <c r="J94" s="136"/>
      <c r="K94" s="136"/>
      <c r="L94" s="136"/>
      <c r="M94" s="136"/>
      <c r="N94" s="136"/>
      <c r="O94" s="136"/>
      <c r="P94" s="136"/>
      <c r="Q94" s="136"/>
      <c r="R94" s="136"/>
      <c r="S94" s="136"/>
      <c r="T94" s="136"/>
      <c r="U94" s="136"/>
      <c r="V94" s="136"/>
      <c r="W94" s="159"/>
      <c r="X94" s="159"/>
      <c r="Y94" s="136"/>
      <c r="Z94" s="211" t="b">
        <f t="shared" si="3"/>
        <v>0</v>
      </c>
      <c r="AA94" s="211" t="s">
        <v>1634</v>
      </c>
      <c r="AB94" s="211" t="s">
        <v>1058</v>
      </c>
      <c r="AC94" s="4" t="b">
        <v>0</v>
      </c>
      <c r="AD94" s="4" t="b">
        <v>0</v>
      </c>
    </row>
    <row r="95" spans="1:30" x14ac:dyDescent="0.25">
      <c r="A95" s="159"/>
      <c r="B95" s="171"/>
      <c r="C95" s="136" t="s">
        <v>1206</v>
      </c>
      <c r="D95" s="136"/>
      <c r="E95" s="136"/>
      <c r="F95" s="136"/>
      <c r="G95" s="136"/>
      <c r="H95" s="136"/>
      <c r="I95" s="136"/>
      <c r="J95" s="136"/>
      <c r="K95" s="136"/>
      <c r="L95" s="136"/>
      <c r="M95" s="136"/>
      <c r="N95" s="136"/>
      <c r="O95" s="136"/>
      <c r="P95" s="136"/>
      <c r="Q95" s="136"/>
      <c r="R95" s="136"/>
      <c r="S95" s="136"/>
      <c r="T95" s="136"/>
      <c r="U95" s="136"/>
      <c r="V95" s="136"/>
      <c r="W95" s="159"/>
      <c r="X95" s="159"/>
      <c r="Y95" s="136"/>
      <c r="Z95" s="211" t="b">
        <f t="shared" si="3"/>
        <v>0</v>
      </c>
      <c r="AA95" s="211" t="s">
        <v>1634</v>
      </c>
      <c r="AB95" s="211" t="s">
        <v>1059</v>
      </c>
      <c r="AC95" s="4" t="b">
        <v>0</v>
      </c>
      <c r="AD95" s="4" t="b">
        <v>0</v>
      </c>
    </row>
    <row r="96" spans="1:30" x14ac:dyDescent="0.25">
      <c r="A96" s="159"/>
      <c r="B96" s="171"/>
      <c r="C96" s="136" t="s">
        <v>1207</v>
      </c>
      <c r="D96" s="136"/>
      <c r="E96" s="136"/>
      <c r="F96" s="136"/>
      <c r="G96" s="136"/>
      <c r="H96" s="136"/>
      <c r="I96" s="136"/>
      <c r="J96" s="136"/>
      <c r="K96" s="136"/>
      <c r="L96" s="136"/>
      <c r="M96" s="136"/>
      <c r="N96" s="136"/>
      <c r="O96" s="136"/>
      <c r="P96" s="136"/>
      <c r="Q96" s="136"/>
      <c r="R96" s="136"/>
      <c r="S96" s="136"/>
      <c r="T96" s="136"/>
      <c r="U96" s="136"/>
      <c r="V96" s="136"/>
      <c r="W96" s="159"/>
      <c r="X96" s="159"/>
      <c r="Y96" s="136"/>
      <c r="Z96" s="211" t="b">
        <f t="shared" si="3"/>
        <v>0</v>
      </c>
      <c r="AA96" s="211" t="s">
        <v>1634</v>
      </c>
      <c r="AB96" s="211" t="s">
        <v>1060</v>
      </c>
      <c r="AC96" s="4" t="b">
        <v>0</v>
      </c>
      <c r="AD96" s="4" t="b">
        <v>0</v>
      </c>
    </row>
    <row r="97" spans="1:30" x14ac:dyDescent="0.25">
      <c r="A97" s="159"/>
      <c r="B97" s="171"/>
      <c r="C97" s="136" t="s">
        <v>1208</v>
      </c>
      <c r="D97" s="136"/>
      <c r="E97" s="136"/>
      <c r="F97" s="136"/>
      <c r="G97" s="136"/>
      <c r="H97" s="136"/>
      <c r="I97" s="136"/>
      <c r="J97" s="136"/>
      <c r="K97" s="136"/>
      <c r="L97" s="136"/>
      <c r="M97" s="136"/>
      <c r="N97" s="136"/>
      <c r="O97" s="136"/>
      <c r="P97" s="136"/>
      <c r="Q97" s="136"/>
      <c r="R97" s="136"/>
      <c r="S97" s="136"/>
      <c r="T97" s="136"/>
      <c r="U97" s="136"/>
      <c r="V97" s="136"/>
      <c r="W97" s="159"/>
      <c r="X97" s="159"/>
      <c r="Y97" s="136"/>
      <c r="Z97" s="211" t="b">
        <f t="shared" si="3"/>
        <v>0</v>
      </c>
      <c r="AA97" s="211" t="s">
        <v>1634</v>
      </c>
      <c r="AB97" s="211" t="s">
        <v>1061</v>
      </c>
      <c r="AC97" s="4" t="b">
        <v>0</v>
      </c>
      <c r="AD97" s="4" t="b">
        <v>0</v>
      </c>
    </row>
    <row r="98" spans="1:30" x14ac:dyDescent="0.25">
      <c r="A98" s="159"/>
      <c r="B98" s="171"/>
      <c r="C98" s="136" t="s">
        <v>1609</v>
      </c>
      <c r="D98" s="136"/>
      <c r="E98" s="136"/>
      <c r="F98" s="136"/>
      <c r="G98" s="136"/>
      <c r="H98" s="136"/>
      <c r="I98" s="136"/>
      <c r="J98" s="136"/>
      <c r="K98" s="136"/>
      <c r="L98" s="136"/>
      <c r="M98" s="136"/>
      <c r="N98" s="136"/>
      <c r="O98" s="136"/>
      <c r="P98" s="136"/>
      <c r="Q98" s="136"/>
      <c r="R98" s="136"/>
      <c r="S98" s="136"/>
      <c r="T98" s="136"/>
      <c r="U98" s="136"/>
      <c r="V98" s="136"/>
      <c r="W98" s="159"/>
      <c r="X98" s="159"/>
      <c r="Y98" s="136"/>
      <c r="Z98" s="211" t="b">
        <f t="shared" si="3"/>
        <v>0</v>
      </c>
      <c r="AA98" s="211" t="s">
        <v>1634</v>
      </c>
      <c r="AB98" s="211" t="s">
        <v>1062</v>
      </c>
      <c r="AC98" s="4" t="b">
        <v>0</v>
      </c>
      <c r="AD98" s="4" t="b">
        <v>0</v>
      </c>
    </row>
    <row r="99" spans="1:30" x14ac:dyDescent="0.25">
      <c r="A99" s="159"/>
      <c r="B99" s="171"/>
      <c r="C99" s="136" t="s">
        <v>1610</v>
      </c>
      <c r="D99" s="136"/>
      <c r="E99" s="136"/>
      <c r="F99" s="136"/>
      <c r="G99" s="136"/>
      <c r="H99" s="136"/>
      <c r="I99" s="136"/>
      <c r="J99" s="136"/>
      <c r="K99" s="136"/>
      <c r="L99" s="136"/>
      <c r="M99" s="136"/>
      <c r="N99" s="136"/>
      <c r="O99" s="136"/>
      <c r="P99" s="136"/>
      <c r="Q99" s="136"/>
      <c r="R99" s="136"/>
      <c r="S99" s="136"/>
      <c r="T99" s="136"/>
      <c r="U99" s="136"/>
      <c r="V99" s="136"/>
      <c r="W99" s="159"/>
      <c r="X99" s="159"/>
      <c r="Y99" s="136"/>
      <c r="Z99" s="211" t="b">
        <f t="shared" si="3"/>
        <v>0</v>
      </c>
      <c r="AA99" s="211" t="s">
        <v>1634</v>
      </c>
      <c r="AB99" s="211" t="s">
        <v>1063</v>
      </c>
      <c r="AC99" s="4" t="b">
        <v>0</v>
      </c>
      <c r="AD99" s="4" t="b">
        <v>0</v>
      </c>
    </row>
    <row r="100" spans="1:30" x14ac:dyDescent="0.25">
      <c r="A100" s="159"/>
      <c r="B100" s="171"/>
      <c r="C100" s="136" t="s">
        <v>1611</v>
      </c>
      <c r="D100" s="136"/>
      <c r="E100" s="136"/>
      <c r="F100" s="136"/>
      <c r="G100" s="136"/>
      <c r="H100" s="136"/>
      <c r="I100" s="136"/>
      <c r="J100" s="136"/>
      <c r="K100" s="136"/>
      <c r="L100" s="136"/>
      <c r="M100" s="136"/>
      <c r="N100" s="136"/>
      <c r="O100" s="136"/>
      <c r="P100" s="136"/>
      <c r="Q100" s="136"/>
      <c r="R100" s="136"/>
      <c r="S100" s="136"/>
      <c r="T100" s="136"/>
      <c r="U100" s="136"/>
      <c r="V100" s="136"/>
      <c r="W100" s="159"/>
      <c r="X100" s="159"/>
      <c r="Y100" s="136"/>
      <c r="Z100" s="211" t="b">
        <f t="shared" si="3"/>
        <v>0</v>
      </c>
      <c r="AA100" s="211" t="s">
        <v>1634</v>
      </c>
      <c r="AB100" s="211" t="s">
        <v>1064</v>
      </c>
      <c r="AC100" s="4" t="b">
        <v>0</v>
      </c>
      <c r="AD100" s="4" t="b">
        <v>0</v>
      </c>
    </row>
    <row r="101" spans="1:30" x14ac:dyDescent="0.25">
      <c r="A101" s="159"/>
      <c r="B101" s="171"/>
      <c r="C101" s="136" t="s">
        <v>1612</v>
      </c>
      <c r="D101" s="136"/>
      <c r="E101" s="136"/>
      <c r="F101" s="136"/>
      <c r="G101" s="136"/>
      <c r="H101" s="136"/>
      <c r="I101" s="136"/>
      <c r="J101" s="136"/>
      <c r="K101" s="136"/>
      <c r="L101" s="136"/>
      <c r="M101" s="136"/>
      <c r="N101" s="136"/>
      <c r="O101" s="136"/>
      <c r="P101" s="136"/>
      <c r="Q101" s="136"/>
      <c r="R101" s="136"/>
      <c r="S101" s="136"/>
      <c r="T101" s="136"/>
      <c r="U101" s="136"/>
      <c r="V101" s="136"/>
      <c r="W101" s="159"/>
      <c r="X101" s="159"/>
      <c r="Y101" s="136"/>
      <c r="Z101" s="211" t="b">
        <f t="shared" si="3"/>
        <v>0</v>
      </c>
      <c r="AA101" s="211" t="s">
        <v>1634</v>
      </c>
      <c r="AB101" s="211" t="s">
        <v>1065</v>
      </c>
      <c r="AC101" s="4" t="b">
        <v>0</v>
      </c>
      <c r="AD101" s="4" t="b">
        <v>0</v>
      </c>
    </row>
    <row r="102" spans="1:30" x14ac:dyDescent="0.25">
      <c r="A102" s="159"/>
      <c r="B102" s="171"/>
      <c r="C102" s="136" t="s">
        <v>1613</v>
      </c>
      <c r="D102" s="136"/>
      <c r="E102" s="136"/>
      <c r="F102" s="136"/>
      <c r="G102" s="136"/>
      <c r="H102" s="136"/>
      <c r="I102" s="136"/>
      <c r="J102" s="136"/>
      <c r="K102" s="136"/>
      <c r="L102" s="136"/>
      <c r="M102" s="136"/>
      <c r="N102" s="136"/>
      <c r="O102" s="136"/>
      <c r="P102" s="136"/>
      <c r="Q102" s="136"/>
      <c r="R102" s="136"/>
      <c r="S102" s="136"/>
      <c r="T102" s="136"/>
      <c r="U102" s="136"/>
      <c r="V102" s="136"/>
      <c r="W102" s="159"/>
      <c r="X102" s="159"/>
      <c r="Y102" s="136"/>
      <c r="Z102" s="211" t="b">
        <f t="shared" si="3"/>
        <v>0</v>
      </c>
      <c r="AA102" s="211" t="s">
        <v>1634</v>
      </c>
      <c r="AB102" s="211" t="s">
        <v>1101</v>
      </c>
      <c r="AC102" s="4" t="b">
        <v>0</v>
      </c>
      <c r="AD102" s="4" t="b">
        <v>0</v>
      </c>
    </row>
    <row r="103" spans="1:30" hidden="1" x14ac:dyDescent="0.25">
      <c r="A103" s="159"/>
      <c r="B103" s="136"/>
      <c r="C103" s="136" t="s">
        <v>8</v>
      </c>
      <c r="D103" s="295"/>
      <c r="E103" s="298"/>
      <c r="F103" s="298"/>
      <c r="G103" s="298"/>
      <c r="H103" s="298"/>
      <c r="I103" s="296"/>
      <c r="J103" s="296"/>
      <c r="K103" s="296"/>
      <c r="L103" s="296"/>
      <c r="M103" s="296"/>
      <c r="N103" s="296"/>
      <c r="O103" s="296"/>
      <c r="P103" s="296"/>
      <c r="Q103" s="296"/>
      <c r="R103" s="296"/>
      <c r="S103" s="297"/>
      <c r="T103" s="136"/>
      <c r="U103" s="136"/>
      <c r="V103" s="136"/>
      <c r="W103" s="159"/>
      <c r="X103" s="159"/>
      <c r="Y103" s="136"/>
      <c r="Z103" s="212" t="b">
        <f>AND(B102="P",Z102)</f>
        <v>0</v>
      </c>
      <c r="AA103" s="211" t="s">
        <v>1634</v>
      </c>
      <c r="AB103" s="211" t="s">
        <v>1102</v>
      </c>
      <c r="AD103" s="209" t="b">
        <v>1</v>
      </c>
    </row>
    <row r="104" spans="1:30" x14ac:dyDescent="0.25">
      <c r="A104" s="159"/>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59"/>
      <c r="X104" s="159"/>
      <c r="Y104" s="136"/>
      <c r="Z104" s="211" t="b">
        <f t="shared" si="3"/>
        <v>0</v>
      </c>
      <c r="AA104" s="211" t="s">
        <v>1634</v>
      </c>
      <c r="AB104" s="211"/>
    </row>
    <row r="105" spans="1:30" x14ac:dyDescent="0.25">
      <c r="A105" s="159"/>
      <c r="B105" s="139" t="s">
        <v>236</v>
      </c>
      <c r="C105" s="136"/>
      <c r="D105" s="136"/>
      <c r="E105" s="136"/>
      <c r="F105" s="136"/>
      <c r="G105" s="136"/>
      <c r="H105" s="136"/>
      <c r="I105" s="136"/>
      <c r="J105" s="136"/>
      <c r="K105" s="136"/>
      <c r="L105" s="136"/>
      <c r="M105" s="136"/>
      <c r="N105" s="136"/>
      <c r="O105" s="136"/>
      <c r="P105" s="136"/>
      <c r="Q105" s="136"/>
      <c r="R105" s="136"/>
      <c r="S105" s="136"/>
      <c r="T105" s="136"/>
      <c r="U105" s="136"/>
      <c r="V105" s="136"/>
      <c r="W105" s="159"/>
      <c r="X105" s="159"/>
      <c r="Y105" s="136"/>
      <c r="Z105" s="4" t="b">
        <f t="shared" si="3"/>
        <v>0</v>
      </c>
      <c r="AA105" s="4" t="s">
        <v>1634</v>
      </c>
    </row>
    <row r="106" spans="1:30" x14ac:dyDescent="0.25">
      <c r="A106" s="159"/>
      <c r="B106" s="139"/>
      <c r="C106" s="136"/>
      <c r="D106" s="136"/>
      <c r="E106" s="136"/>
      <c r="F106" s="136"/>
      <c r="G106" s="136"/>
      <c r="H106" s="136"/>
      <c r="I106" s="136"/>
      <c r="J106" s="136"/>
      <c r="K106" s="136"/>
      <c r="L106" s="136"/>
      <c r="M106" s="136"/>
      <c r="N106" s="136"/>
      <c r="O106" s="136"/>
      <c r="P106" s="136"/>
      <c r="Q106" s="136"/>
      <c r="R106" s="136"/>
      <c r="S106" s="136"/>
      <c r="T106" s="136"/>
      <c r="U106" s="136"/>
      <c r="V106" s="136"/>
      <c r="W106" s="159"/>
      <c r="X106" s="159"/>
      <c r="Y106" s="136"/>
      <c r="Z106" s="4" t="b">
        <f>AND(_xlfn.XLOOKUP(AA106,cmdTable,cmdSetting,"Off")="On",NOT(_xlfn.XLOOKUP(AA106,cmdTable,cmdDisabled,FALSE)))</f>
        <v>0</v>
      </c>
      <c r="AA106" s="4" t="s">
        <v>1634</v>
      </c>
    </row>
    <row r="107" spans="1:30" x14ac:dyDescent="0.25">
      <c r="A107" s="159"/>
      <c r="B107" s="171"/>
      <c r="C107" s="136" t="s">
        <v>1536</v>
      </c>
      <c r="D107" s="136"/>
      <c r="E107" s="136"/>
      <c r="F107" s="136"/>
      <c r="G107" s="136"/>
      <c r="H107" s="136"/>
      <c r="I107" s="136"/>
      <c r="J107" s="136"/>
      <c r="K107" s="136"/>
      <c r="L107" s="136"/>
      <c r="M107" s="136"/>
      <c r="N107" s="136"/>
      <c r="O107" s="136"/>
      <c r="P107" s="136"/>
      <c r="Q107" s="136"/>
      <c r="R107" s="136"/>
      <c r="S107" s="136"/>
      <c r="T107" s="136"/>
      <c r="U107" s="136"/>
      <c r="V107" s="136"/>
      <c r="W107" s="159"/>
      <c r="X107" s="159"/>
      <c r="Y107" s="136"/>
      <c r="Z107" s="4" t="b">
        <f t="shared" si="3"/>
        <v>0</v>
      </c>
      <c r="AA107" s="4" t="s">
        <v>1634</v>
      </c>
      <c r="AB107" s="4" t="s">
        <v>1066</v>
      </c>
      <c r="AC107" s="4" t="b">
        <v>0</v>
      </c>
      <c r="AD107" s="4" t="b">
        <v>0</v>
      </c>
    </row>
    <row r="108" spans="1:30" x14ac:dyDescent="0.25">
      <c r="A108" s="159"/>
      <c r="B108" s="171"/>
      <c r="C108" s="136" t="s">
        <v>1537</v>
      </c>
      <c r="D108" s="136"/>
      <c r="E108" s="136"/>
      <c r="F108" s="136"/>
      <c r="G108" s="136"/>
      <c r="H108" s="136"/>
      <c r="I108" s="136"/>
      <c r="J108" s="136"/>
      <c r="K108" s="136"/>
      <c r="L108" s="136"/>
      <c r="M108" s="136"/>
      <c r="N108" s="136"/>
      <c r="O108" s="136"/>
      <c r="P108" s="136"/>
      <c r="Q108" s="136"/>
      <c r="R108" s="136"/>
      <c r="S108" s="136"/>
      <c r="T108" s="136"/>
      <c r="U108" s="136"/>
      <c r="V108" s="136"/>
      <c r="W108" s="159"/>
      <c r="X108" s="159"/>
      <c r="Y108" s="136"/>
      <c r="Z108" s="4" t="b">
        <f t="shared" si="3"/>
        <v>0</v>
      </c>
      <c r="AA108" s="4" t="s">
        <v>1634</v>
      </c>
      <c r="AB108" s="4" t="s">
        <v>1067</v>
      </c>
      <c r="AC108" s="4" t="b">
        <v>0</v>
      </c>
      <c r="AD108" s="4" t="b">
        <v>0</v>
      </c>
    </row>
    <row r="109" spans="1:30" x14ac:dyDescent="0.25">
      <c r="A109" s="159"/>
      <c r="B109" s="171"/>
      <c r="C109" s="136" t="s">
        <v>1538</v>
      </c>
      <c r="D109" s="136"/>
      <c r="E109" s="136"/>
      <c r="F109" s="136"/>
      <c r="G109" s="136"/>
      <c r="H109" s="136"/>
      <c r="I109" s="136"/>
      <c r="J109" s="136"/>
      <c r="K109" s="136"/>
      <c r="L109" s="136"/>
      <c r="M109" s="136"/>
      <c r="N109" s="136"/>
      <c r="O109" s="136"/>
      <c r="P109" s="136"/>
      <c r="Q109" s="136"/>
      <c r="R109" s="136"/>
      <c r="S109" s="136"/>
      <c r="T109" s="136"/>
      <c r="U109" s="136"/>
      <c r="V109" s="136"/>
      <c r="W109" s="159"/>
      <c r="X109" s="159"/>
      <c r="Y109" s="136"/>
      <c r="Z109" s="4" t="b">
        <f t="shared" si="3"/>
        <v>0</v>
      </c>
      <c r="AA109" s="4" t="s">
        <v>1634</v>
      </c>
      <c r="AB109" s="4" t="s">
        <v>1068</v>
      </c>
      <c r="AC109" s="4" t="b">
        <v>0</v>
      </c>
      <c r="AD109" s="4" t="b">
        <v>0</v>
      </c>
    </row>
    <row r="110" spans="1:30" x14ac:dyDescent="0.25">
      <c r="A110" s="159"/>
      <c r="B110" s="171"/>
      <c r="C110" s="136" t="s">
        <v>1209</v>
      </c>
      <c r="D110" s="136"/>
      <c r="E110" s="136"/>
      <c r="F110" s="136"/>
      <c r="G110" s="136"/>
      <c r="H110" s="136"/>
      <c r="I110" s="136"/>
      <c r="J110" s="136"/>
      <c r="K110" s="136"/>
      <c r="L110" s="136"/>
      <c r="M110" s="136"/>
      <c r="N110" s="136"/>
      <c r="O110" s="136"/>
      <c r="P110" s="136"/>
      <c r="Q110" s="136"/>
      <c r="R110" s="136"/>
      <c r="S110" s="136"/>
      <c r="T110" s="136"/>
      <c r="U110" s="136"/>
      <c r="V110" s="136"/>
      <c r="W110" s="159"/>
      <c r="X110" s="159"/>
      <c r="Y110" s="136"/>
      <c r="Z110" s="4" t="b">
        <f t="shared" si="3"/>
        <v>0</v>
      </c>
      <c r="AA110" s="4" t="s">
        <v>1634</v>
      </c>
      <c r="AB110" s="4" t="s">
        <v>1069</v>
      </c>
      <c r="AC110" s="4" t="b">
        <v>0</v>
      </c>
      <c r="AD110" s="4" t="b">
        <v>0</v>
      </c>
    </row>
    <row r="111" spans="1:30" x14ac:dyDescent="0.25">
      <c r="A111" s="159"/>
      <c r="B111" s="171"/>
      <c r="C111" s="136" t="s">
        <v>1210</v>
      </c>
      <c r="D111" s="136"/>
      <c r="E111" s="136"/>
      <c r="F111" s="136"/>
      <c r="G111" s="136"/>
      <c r="H111" s="136"/>
      <c r="I111" s="136"/>
      <c r="J111" s="136"/>
      <c r="K111" s="136"/>
      <c r="L111" s="136"/>
      <c r="M111" s="136"/>
      <c r="N111" s="136"/>
      <c r="O111" s="136"/>
      <c r="P111" s="136"/>
      <c r="Q111" s="136"/>
      <c r="R111" s="136"/>
      <c r="S111" s="136"/>
      <c r="T111" s="136"/>
      <c r="U111" s="136"/>
      <c r="V111" s="136"/>
      <c r="W111" s="159"/>
      <c r="X111" s="159"/>
      <c r="Y111" s="136"/>
      <c r="Z111" s="4" t="b">
        <f t="shared" si="3"/>
        <v>0</v>
      </c>
      <c r="AA111" s="4" t="s">
        <v>1634</v>
      </c>
      <c r="AB111" s="4" t="s">
        <v>1070</v>
      </c>
      <c r="AC111" s="4" t="b">
        <v>0</v>
      </c>
      <c r="AD111" s="4" t="b">
        <v>0</v>
      </c>
    </row>
    <row r="112" spans="1:30" x14ac:dyDescent="0.25">
      <c r="A112" s="159"/>
      <c r="B112" s="171"/>
      <c r="C112" s="136" t="s">
        <v>1211</v>
      </c>
      <c r="D112" s="136"/>
      <c r="E112" s="136"/>
      <c r="F112" s="136"/>
      <c r="G112" s="136"/>
      <c r="H112" s="136"/>
      <c r="I112" s="136"/>
      <c r="J112" s="136"/>
      <c r="K112" s="136"/>
      <c r="L112" s="136"/>
      <c r="M112" s="136"/>
      <c r="N112" s="136"/>
      <c r="O112" s="136"/>
      <c r="P112" s="136"/>
      <c r="Q112" s="136"/>
      <c r="R112" s="136"/>
      <c r="S112" s="136"/>
      <c r="T112" s="136"/>
      <c r="U112" s="136"/>
      <c r="V112" s="136"/>
      <c r="W112" s="159"/>
      <c r="X112" s="159"/>
      <c r="Y112" s="136"/>
      <c r="Z112" s="4" t="b">
        <f>AND(_xlfn.XLOOKUP(AA112,cmdTable,cmdSetting,"Off")="On",NOT(_xlfn.XLOOKUP(AA112,cmdTable,cmdDisabled,FALSE)))</f>
        <v>0</v>
      </c>
      <c r="AA112" s="4" t="s">
        <v>1634</v>
      </c>
      <c r="AB112" s="4" t="s">
        <v>1071</v>
      </c>
      <c r="AC112" s="4" t="b">
        <v>0</v>
      </c>
      <c r="AD112" s="4" t="b">
        <v>0</v>
      </c>
    </row>
    <row r="113" spans="1:30" x14ac:dyDescent="0.25">
      <c r="A113" s="159"/>
      <c r="B113" s="171"/>
      <c r="C113" s="136" t="s">
        <v>1212</v>
      </c>
      <c r="D113" s="136"/>
      <c r="E113" s="136"/>
      <c r="F113" s="136"/>
      <c r="G113" s="136"/>
      <c r="H113" s="136"/>
      <c r="I113" s="136"/>
      <c r="J113" s="136"/>
      <c r="K113" s="136"/>
      <c r="L113" s="136"/>
      <c r="M113" s="136"/>
      <c r="N113" s="136"/>
      <c r="O113" s="136"/>
      <c r="P113" s="136"/>
      <c r="Q113" s="136"/>
      <c r="R113" s="136"/>
      <c r="S113" s="136"/>
      <c r="T113" s="136"/>
      <c r="U113" s="136"/>
      <c r="V113" s="136"/>
      <c r="W113" s="159"/>
      <c r="X113" s="159"/>
      <c r="Y113" s="136"/>
      <c r="Z113" s="4" t="b">
        <f>AND(_xlfn.XLOOKUP(AA113,cmdTable,cmdSetting,"Off")="On",NOT(_xlfn.XLOOKUP(AA113,cmdTable,cmdDisabled,FALSE)))</f>
        <v>0</v>
      </c>
      <c r="AA113" s="4" t="s">
        <v>1634</v>
      </c>
      <c r="AB113" s="4" t="s">
        <v>1103</v>
      </c>
      <c r="AC113" s="4" t="b">
        <v>0</v>
      </c>
      <c r="AD113" s="4" t="b">
        <v>0</v>
      </c>
    </row>
    <row r="114" spans="1:30" hidden="1" x14ac:dyDescent="0.25">
      <c r="A114" s="159"/>
      <c r="B114" s="136"/>
      <c r="C114" s="136" t="s">
        <v>8</v>
      </c>
      <c r="D114" s="295"/>
      <c r="E114" s="296"/>
      <c r="F114" s="296"/>
      <c r="G114" s="296"/>
      <c r="H114" s="296"/>
      <c r="I114" s="296"/>
      <c r="J114" s="296"/>
      <c r="K114" s="296"/>
      <c r="L114" s="296"/>
      <c r="M114" s="296"/>
      <c r="N114" s="296"/>
      <c r="O114" s="296"/>
      <c r="P114" s="296"/>
      <c r="Q114" s="296"/>
      <c r="R114" s="296"/>
      <c r="S114" s="297"/>
      <c r="T114" s="136"/>
      <c r="U114" s="136"/>
      <c r="V114" s="136"/>
      <c r="W114" s="159"/>
      <c r="X114" s="159"/>
      <c r="Y114" s="136"/>
      <c r="Z114" s="209" t="b">
        <f>AND(B113="P",Z113)</f>
        <v>0</v>
      </c>
      <c r="AA114" s="4" t="s">
        <v>1634</v>
      </c>
      <c r="AB114" s="4" t="s">
        <v>1104</v>
      </c>
      <c r="AD114" s="209" t="b">
        <v>1</v>
      </c>
    </row>
    <row r="115" spans="1:30" x14ac:dyDescent="0.25">
      <c r="A115" s="159"/>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59"/>
      <c r="X115" s="159"/>
      <c r="Y115" s="136"/>
      <c r="Z115" s="4" t="b">
        <f>AND(_xlfn.XLOOKUP(AA115,cmdTable,cmdSetting,"Off")="On",NOT(_xlfn.XLOOKUP(AA115,cmdTable,cmdDisabled,FALSE)))</f>
        <v>0</v>
      </c>
      <c r="AA115" s="4" t="s">
        <v>1634</v>
      </c>
    </row>
    <row r="116" spans="1:30" x14ac:dyDescent="0.25">
      <c r="A116" s="159"/>
      <c r="B116" s="139" t="s">
        <v>244</v>
      </c>
      <c r="C116" s="136"/>
      <c r="D116" s="136"/>
      <c r="E116" s="136"/>
      <c r="F116" s="136"/>
      <c r="G116" s="136"/>
      <c r="H116" s="136"/>
      <c r="I116" s="136"/>
      <c r="J116" s="136"/>
      <c r="K116" s="136"/>
      <c r="L116" s="136"/>
      <c r="M116" s="136"/>
      <c r="N116" s="136"/>
      <c r="O116" s="136"/>
      <c r="P116" s="136"/>
      <c r="Q116" s="136"/>
      <c r="R116" s="136"/>
      <c r="S116" s="136"/>
      <c r="T116" s="136"/>
      <c r="U116" s="136"/>
      <c r="V116" s="136"/>
      <c r="W116" s="159"/>
      <c r="X116" s="159"/>
      <c r="Y116" s="136"/>
      <c r="Z116" s="211" t="b">
        <f>AND(_xlfn.XLOOKUP(AA116,cmdTable,cmdSetting,"Off")="On",NOT(_xlfn.XLOOKUP(AA116,cmdTable,cmdDisabled,FALSE)))</f>
        <v>1</v>
      </c>
      <c r="AA116" s="211" t="s">
        <v>1655</v>
      </c>
      <c r="AB116" s="211"/>
    </row>
    <row r="117" spans="1:30" x14ac:dyDescent="0.25">
      <c r="A117" s="159"/>
      <c r="B117" s="139"/>
      <c r="C117" s="136"/>
      <c r="D117" s="136"/>
      <c r="E117" s="136"/>
      <c r="F117" s="136"/>
      <c r="G117" s="136"/>
      <c r="H117" s="136"/>
      <c r="I117" s="136"/>
      <c r="J117" s="136"/>
      <c r="K117" s="136"/>
      <c r="L117" s="136"/>
      <c r="M117" s="136"/>
      <c r="N117" s="136"/>
      <c r="O117" s="136"/>
      <c r="P117" s="136"/>
      <c r="Q117" s="136"/>
      <c r="R117" s="136"/>
      <c r="S117" s="136"/>
      <c r="T117" s="136"/>
      <c r="U117" s="136"/>
      <c r="V117" s="136"/>
      <c r="W117" s="159"/>
      <c r="X117" s="159"/>
      <c r="Y117" s="136"/>
      <c r="Z117" s="211" t="b">
        <f t="shared" ref="Z117:Z125" si="4">AND(_xlfn.XLOOKUP(AA117,cmdTable,cmdSetting,"Off")="On",NOT(_xlfn.XLOOKUP(AA117,cmdTable,cmdDisabled,FALSE)))</f>
        <v>1</v>
      </c>
      <c r="AA117" s="211" t="s">
        <v>1655</v>
      </c>
      <c r="AB117" s="211"/>
    </row>
    <row r="118" spans="1:30" x14ac:dyDescent="0.25">
      <c r="A118" s="159"/>
      <c r="B118" s="171"/>
      <c r="C118" s="136" t="s">
        <v>1213</v>
      </c>
      <c r="D118" s="136"/>
      <c r="E118" s="136"/>
      <c r="F118" s="136"/>
      <c r="G118" s="136"/>
      <c r="H118" s="136"/>
      <c r="I118" s="136"/>
      <c r="J118" s="136"/>
      <c r="K118" s="136"/>
      <c r="L118" s="136"/>
      <c r="M118" s="136"/>
      <c r="N118" s="136"/>
      <c r="O118" s="136"/>
      <c r="P118" s="136"/>
      <c r="Q118" s="136"/>
      <c r="R118" s="136"/>
      <c r="S118" s="136"/>
      <c r="T118" s="136"/>
      <c r="U118" s="136"/>
      <c r="V118" s="136"/>
      <c r="W118" s="159"/>
      <c r="X118" s="159"/>
      <c r="Y118" s="136"/>
      <c r="Z118" s="211" t="b">
        <f t="shared" si="4"/>
        <v>1</v>
      </c>
      <c r="AA118" s="211" t="s">
        <v>1655</v>
      </c>
      <c r="AB118" s="211" t="s">
        <v>1072</v>
      </c>
      <c r="AC118" s="4" t="b">
        <v>0</v>
      </c>
      <c r="AD118" s="4" t="b">
        <v>0</v>
      </c>
    </row>
    <row r="119" spans="1:30" x14ac:dyDescent="0.25">
      <c r="A119" s="159"/>
      <c r="B119" s="171"/>
      <c r="C119" s="136" t="s">
        <v>1214</v>
      </c>
      <c r="D119" s="136"/>
      <c r="E119" s="136"/>
      <c r="F119" s="136"/>
      <c r="G119" s="136"/>
      <c r="H119" s="136"/>
      <c r="I119" s="136"/>
      <c r="J119" s="136"/>
      <c r="K119" s="136"/>
      <c r="L119" s="136"/>
      <c r="M119" s="136"/>
      <c r="N119" s="136"/>
      <c r="O119" s="136"/>
      <c r="P119" s="136"/>
      <c r="Q119" s="136"/>
      <c r="R119" s="136"/>
      <c r="S119" s="136"/>
      <c r="T119" s="136"/>
      <c r="U119" s="136"/>
      <c r="V119" s="136"/>
      <c r="W119" s="159"/>
      <c r="X119" s="159"/>
      <c r="Y119" s="136"/>
      <c r="Z119" s="211" t="b">
        <f t="shared" si="4"/>
        <v>1</v>
      </c>
      <c r="AA119" s="211" t="s">
        <v>1655</v>
      </c>
      <c r="AB119" s="211" t="s">
        <v>1073</v>
      </c>
      <c r="AC119" s="4" t="b">
        <v>0</v>
      </c>
      <c r="AD119" s="4" t="b">
        <v>0</v>
      </c>
    </row>
    <row r="120" spans="1:30" x14ac:dyDescent="0.25">
      <c r="A120" s="159"/>
      <c r="B120" s="171"/>
      <c r="C120" s="136" t="s">
        <v>1215</v>
      </c>
      <c r="D120" s="136"/>
      <c r="E120" s="136"/>
      <c r="F120" s="136"/>
      <c r="G120" s="136"/>
      <c r="H120" s="136"/>
      <c r="I120" s="136"/>
      <c r="J120" s="136"/>
      <c r="K120" s="136"/>
      <c r="L120" s="136"/>
      <c r="M120" s="136"/>
      <c r="N120" s="136"/>
      <c r="O120" s="136"/>
      <c r="P120" s="136"/>
      <c r="Q120" s="136"/>
      <c r="R120" s="136"/>
      <c r="S120" s="136"/>
      <c r="T120" s="136"/>
      <c r="U120" s="136"/>
      <c r="V120" s="136"/>
      <c r="W120" s="159"/>
      <c r="X120" s="159"/>
      <c r="Y120" s="136"/>
      <c r="Z120" s="211" t="b">
        <f t="shared" si="4"/>
        <v>1</v>
      </c>
      <c r="AA120" s="211" t="s">
        <v>1655</v>
      </c>
      <c r="AB120" s="211" t="s">
        <v>1074</v>
      </c>
      <c r="AC120" s="4" t="b">
        <v>0</v>
      </c>
      <c r="AD120" s="4" t="b">
        <v>0</v>
      </c>
    </row>
    <row r="121" spans="1:30" x14ac:dyDescent="0.25">
      <c r="A121" s="159"/>
      <c r="B121" s="171"/>
      <c r="C121" s="136" t="s">
        <v>1216</v>
      </c>
      <c r="D121" s="136"/>
      <c r="E121" s="136"/>
      <c r="F121" s="136"/>
      <c r="G121" s="136"/>
      <c r="H121" s="136"/>
      <c r="I121" s="136"/>
      <c r="J121" s="136"/>
      <c r="K121" s="136"/>
      <c r="L121" s="136"/>
      <c r="M121" s="136"/>
      <c r="N121" s="136"/>
      <c r="O121" s="136"/>
      <c r="P121" s="136"/>
      <c r="Q121" s="136"/>
      <c r="R121" s="136"/>
      <c r="S121" s="136"/>
      <c r="T121" s="136"/>
      <c r="U121" s="136"/>
      <c r="V121" s="136"/>
      <c r="W121" s="159"/>
      <c r="X121" s="159"/>
      <c r="Y121" s="136"/>
      <c r="Z121" s="211" t="b">
        <f t="shared" si="4"/>
        <v>1</v>
      </c>
      <c r="AA121" s="211" t="s">
        <v>1655</v>
      </c>
      <c r="AB121" s="211" t="s">
        <v>1075</v>
      </c>
      <c r="AC121" s="4" t="b">
        <v>0</v>
      </c>
      <c r="AD121" s="4" t="b">
        <v>0</v>
      </c>
    </row>
    <row r="122" spans="1:30" x14ac:dyDescent="0.25">
      <c r="A122" s="159"/>
      <c r="B122" s="171"/>
      <c r="C122" s="136" t="s">
        <v>1217</v>
      </c>
      <c r="D122" s="136"/>
      <c r="E122" s="136"/>
      <c r="F122" s="136"/>
      <c r="G122" s="136"/>
      <c r="H122" s="136"/>
      <c r="I122" s="136"/>
      <c r="J122" s="136"/>
      <c r="K122" s="136"/>
      <c r="L122" s="136"/>
      <c r="M122" s="136"/>
      <c r="N122" s="136"/>
      <c r="O122" s="136"/>
      <c r="P122" s="136"/>
      <c r="Q122" s="136"/>
      <c r="R122" s="136"/>
      <c r="S122" s="136"/>
      <c r="T122" s="136"/>
      <c r="U122" s="136"/>
      <c r="V122" s="136"/>
      <c r="W122" s="159"/>
      <c r="X122" s="159"/>
      <c r="Y122" s="136"/>
      <c r="Z122" s="211" t="b">
        <f t="shared" si="4"/>
        <v>1</v>
      </c>
      <c r="AA122" s="211" t="s">
        <v>1655</v>
      </c>
      <c r="AB122" s="211" t="s">
        <v>1076</v>
      </c>
      <c r="AC122" s="4" t="b">
        <v>0</v>
      </c>
      <c r="AD122" s="4" t="b">
        <v>0</v>
      </c>
    </row>
    <row r="123" spans="1:30" x14ac:dyDescent="0.25">
      <c r="A123" s="159"/>
      <c r="B123" s="171"/>
      <c r="C123" s="136" t="s">
        <v>1218</v>
      </c>
      <c r="D123" s="136"/>
      <c r="E123" s="136"/>
      <c r="F123" s="136"/>
      <c r="G123" s="136"/>
      <c r="H123" s="136"/>
      <c r="I123" s="136"/>
      <c r="J123" s="136"/>
      <c r="K123" s="136"/>
      <c r="L123" s="136"/>
      <c r="M123" s="136"/>
      <c r="N123" s="136"/>
      <c r="O123" s="136"/>
      <c r="P123" s="136"/>
      <c r="Q123" s="136"/>
      <c r="R123" s="136"/>
      <c r="S123" s="136"/>
      <c r="T123" s="136"/>
      <c r="U123" s="136"/>
      <c r="V123" s="136"/>
      <c r="W123" s="159"/>
      <c r="X123" s="159"/>
      <c r="Y123" s="136"/>
      <c r="Z123" s="211" t="b">
        <f t="shared" si="4"/>
        <v>1</v>
      </c>
      <c r="AA123" s="211" t="s">
        <v>1655</v>
      </c>
      <c r="AB123" s="211" t="s">
        <v>1105</v>
      </c>
      <c r="AC123" s="4" t="b">
        <v>0</v>
      </c>
      <c r="AD123" s="4" t="b">
        <v>0</v>
      </c>
    </row>
    <row r="124" spans="1:30" hidden="1" x14ac:dyDescent="0.25">
      <c r="A124" s="159"/>
      <c r="B124" s="136"/>
      <c r="C124" s="136" t="s">
        <v>8</v>
      </c>
      <c r="D124" s="295"/>
      <c r="E124" s="298"/>
      <c r="F124" s="298"/>
      <c r="G124" s="298"/>
      <c r="H124" s="298"/>
      <c r="I124" s="296"/>
      <c r="J124" s="296"/>
      <c r="K124" s="296"/>
      <c r="L124" s="296"/>
      <c r="M124" s="296"/>
      <c r="N124" s="296"/>
      <c r="O124" s="296"/>
      <c r="P124" s="296"/>
      <c r="Q124" s="296"/>
      <c r="R124" s="296"/>
      <c r="S124" s="297"/>
      <c r="T124" s="136"/>
      <c r="U124" s="136"/>
      <c r="V124" s="136"/>
      <c r="W124" s="159"/>
      <c r="X124" s="159"/>
      <c r="Y124" s="136"/>
      <c r="Z124" s="212" t="b">
        <f>AND(B123="P",Z123)</f>
        <v>0</v>
      </c>
      <c r="AA124" s="211" t="s">
        <v>1655</v>
      </c>
      <c r="AB124" s="211" t="s">
        <v>1106</v>
      </c>
      <c r="AD124" s="209" t="b">
        <v>1</v>
      </c>
    </row>
    <row r="125" spans="1:30" x14ac:dyDescent="0.25">
      <c r="A125" s="159"/>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59"/>
      <c r="X125" s="159"/>
      <c r="Y125" s="136"/>
      <c r="Z125" s="211" t="b">
        <f t="shared" si="4"/>
        <v>1</v>
      </c>
      <c r="AA125" s="211" t="s">
        <v>1655</v>
      </c>
      <c r="AB125" s="211"/>
    </row>
    <row r="126" spans="1:30" x14ac:dyDescent="0.25">
      <c r="A126" s="159"/>
      <c r="B126" s="139" t="s">
        <v>251</v>
      </c>
      <c r="C126" s="136"/>
      <c r="D126" s="136"/>
      <c r="E126" s="136"/>
      <c r="F126" s="136"/>
      <c r="G126" s="136"/>
      <c r="H126" s="136"/>
      <c r="I126" s="136"/>
      <c r="J126" s="136"/>
      <c r="K126" s="136"/>
      <c r="L126" s="136"/>
      <c r="M126" s="136"/>
      <c r="N126" s="136"/>
      <c r="O126" s="136"/>
      <c r="P126" s="136"/>
      <c r="Q126" s="136"/>
      <c r="R126" s="136"/>
      <c r="S126" s="136"/>
      <c r="T126" s="136"/>
      <c r="U126" s="136"/>
      <c r="V126" s="136"/>
      <c r="W126" s="159"/>
      <c r="X126" s="159"/>
      <c r="Y126" s="136"/>
      <c r="Z126" s="4" t="b">
        <f>AND(_xlfn.XLOOKUP(AA126,cmdTable,cmdSetting,"Off")="On",NOT(_xlfn.XLOOKUP(AA126,cmdTable,cmdDisabled,FALSE)))</f>
        <v>1</v>
      </c>
      <c r="AA126" s="4" t="s">
        <v>1656</v>
      </c>
    </row>
    <row r="127" spans="1:30" x14ac:dyDescent="0.25">
      <c r="A127" s="159"/>
      <c r="B127" s="139"/>
      <c r="C127" s="136"/>
      <c r="D127" s="136"/>
      <c r="E127" s="136"/>
      <c r="F127" s="136"/>
      <c r="G127" s="136"/>
      <c r="H127" s="136"/>
      <c r="I127" s="136"/>
      <c r="J127" s="136"/>
      <c r="K127" s="136"/>
      <c r="L127" s="136"/>
      <c r="M127" s="136"/>
      <c r="N127" s="136"/>
      <c r="O127" s="136"/>
      <c r="P127" s="136"/>
      <c r="Q127" s="136"/>
      <c r="R127" s="136"/>
      <c r="S127" s="136"/>
      <c r="T127" s="136"/>
      <c r="U127" s="136"/>
      <c r="V127" s="136"/>
      <c r="W127" s="159"/>
      <c r="X127" s="159"/>
      <c r="Y127" s="136"/>
      <c r="Z127" s="4" t="b">
        <f t="shared" ref="Z127:Z135" si="5">AND(_xlfn.XLOOKUP(AA127,cmdTable,cmdSetting,"Off")="On",NOT(_xlfn.XLOOKUP(AA127,cmdTable,cmdDisabled,FALSE)))</f>
        <v>1</v>
      </c>
      <c r="AA127" s="4" t="s">
        <v>1656</v>
      </c>
    </row>
    <row r="128" spans="1:30" x14ac:dyDescent="0.25">
      <c r="A128" s="159"/>
      <c r="B128" s="171"/>
      <c r="C128" s="136" t="s">
        <v>1219</v>
      </c>
      <c r="D128" s="136"/>
      <c r="E128" s="136"/>
      <c r="F128" s="136"/>
      <c r="G128" s="136"/>
      <c r="H128" s="136"/>
      <c r="I128" s="136"/>
      <c r="J128" s="136"/>
      <c r="K128" s="136"/>
      <c r="L128" s="136"/>
      <c r="M128" s="136"/>
      <c r="N128" s="136"/>
      <c r="O128" s="136"/>
      <c r="P128" s="136"/>
      <c r="Q128" s="136"/>
      <c r="R128" s="136"/>
      <c r="S128" s="136"/>
      <c r="T128" s="136"/>
      <c r="U128" s="136"/>
      <c r="V128" s="136"/>
      <c r="W128" s="159"/>
      <c r="X128" s="159"/>
      <c r="Y128" s="136"/>
      <c r="Z128" s="4" t="b">
        <f t="shared" si="5"/>
        <v>1</v>
      </c>
      <c r="AA128" s="4" t="s">
        <v>1656</v>
      </c>
      <c r="AB128" s="4" t="s">
        <v>1077</v>
      </c>
      <c r="AC128" s="4" t="b">
        <v>0</v>
      </c>
      <c r="AD128" s="4" t="b">
        <v>0</v>
      </c>
    </row>
    <row r="129" spans="1:30" x14ac:dyDescent="0.25">
      <c r="A129" s="159"/>
      <c r="B129" s="171"/>
      <c r="C129" s="136" t="s">
        <v>1539</v>
      </c>
      <c r="D129" s="136"/>
      <c r="E129" s="136"/>
      <c r="F129" s="136"/>
      <c r="G129" s="136"/>
      <c r="H129" s="136"/>
      <c r="I129" s="136"/>
      <c r="J129" s="136"/>
      <c r="K129" s="136"/>
      <c r="L129" s="136"/>
      <c r="M129" s="136"/>
      <c r="N129" s="136"/>
      <c r="O129" s="136"/>
      <c r="P129" s="136"/>
      <c r="Q129" s="136"/>
      <c r="R129" s="136"/>
      <c r="S129" s="136"/>
      <c r="T129" s="136"/>
      <c r="U129" s="136"/>
      <c r="V129" s="136"/>
      <c r="W129" s="159"/>
      <c r="X129" s="159"/>
      <c r="Y129" s="136"/>
      <c r="Z129" s="4" t="b">
        <f t="shared" si="5"/>
        <v>1</v>
      </c>
      <c r="AA129" s="4" t="s">
        <v>1656</v>
      </c>
      <c r="AB129" s="4" t="s">
        <v>1078</v>
      </c>
      <c r="AC129" s="4" t="b">
        <v>0</v>
      </c>
      <c r="AD129" s="4" t="b">
        <v>0</v>
      </c>
    </row>
    <row r="130" spans="1:30" x14ac:dyDescent="0.25">
      <c r="A130" s="159"/>
      <c r="B130" s="171"/>
      <c r="C130" s="136" t="s">
        <v>1220</v>
      </c>
      <c r="D130" s="136"/>
      <c r="E130" s="136"/>
      <c r="F130" s="136"/>
      <c r="G130" s="136"/>
      <c r="H130" s="136"/>
      <c r="I130" s="136"/>
      <c r="J130" s="136"/>
      <c r="K130" s="136"/>
      <c r="L130" s="136"/>
      <c r="M130" s="136"/>
      <c r="N130" s="136"/>
      <c r="O130" s="136"/>
      <c r="P130" s="136"/>
      <c r="Q130" s="136"/>
      <c r="R130" s="136"/>
      <c r="S130" s="136"/>
      <c r="T130" s="136"/>
      <c r="U130" s="136"/>
      <c r="V130" s="136"/>
      <c r="W130" s="159"/>
      <c r="X130" s="159"/>
      <c r="Y130" s="136"/>
      <c r="Z130" s="4" t="b">
        <f t="shared" si="5"/>
        <v>1</v>
      </c>
      <c r="AA130" s="4" t="s">
        <v>1656</v>
      </c>
      <c r="AB130" s="4" t="s">
        <v>1079</v>
      </c>
      <c r="AC130" s="4" t="b">
        <v>0</v>
      </c>
      <c r="AD130" s="4" t="b">
        <v>0</v>
      </c>
    </row>
    <row r="131" spans="1:30" x14ac:dyDescent="0.25">
      <c r="A131" s="159"/>
      <c r="B131" s="171"/>
      <c r="C131" s="136" t="s">
        <v>1221</v>
      </c>
      <c r="D131" s="136"/>
      <c r="E131" s="136"/>
      <c r="F131" s="136"/>
      <c r="G131" s="136"/>
      <c r="H131" s="136"/>
      <c r="I131" s="136"/>
      <c r="J131" s="136"/>
      <c r="K131" s="136"/>
      <c r="L131" s="136"/>
      <c r="M131" s="136"/>
      <c r="N131" s="136"/>
      <c r="O131" s="136"/>
      <c r="P131" s="136"/>
      <c r="Q131" s="136"/>
      <c r="R131" s="136"/>
      <c r="S131" s="136"/>
      <c r="T131" s="136"/>
      <c r="U131" s="136"/>
      <c r="V131" s="136"/>
      <c r="W131" s="159"/>
      <c r="X131" s="159"/>
      <c r="Y131" s="136"/>
      <c r="Z131" s="4" t="b">
        <f t="shared" si="5"/>
        <v>1</v>
      </c>
      <c r="AA131" s="4" t="s">
        <v>1656</v>
      </c>
      <c r="AB131" s="4" t="s">
        <v>1080</v>
      </c>
      <c r="AC131" s="4" t="b">
        <v>0</v>
      </c>
      <c r="AD131" s="4" t="b">
        <v>0</v>
      </c>
    </row>
    <row r="132" spans="1:30" x14ac:dyDescent="0.25">
      <c r="A132" s="159"/>
      <c r="B132" s="171"/>
      <c r="C132" s="136" t="s">
        <v>1222</v>
      </c>
      <c r="D132" s="136"/>
      <c r="E132" s="136"/>
      <c r="F132" s="136"/>
      <c r="G132" s="136"/>
      <c r="H132" s="136"/>
      <c r="I132" s="136"/>
      <c r="J132" s="136"/>
      <c r="K132" s="136"/>
      <c r="L132" s="136"/>
      <c r="M132" s="136"/>
      <c r="N132" s="136"/>
      <c r="O132" s="136"/>
      <c r="P132" s="136"/>
      <c r="Q132" s="136"/>
      <c r="R132" s="136"/>
      <c r="S132" s="136"/>
      <c r="T132" s="136"/>
      <c r="U132" s="136"/>
      <c r="V132" s="136"/>
      <c r="W132" s="159"/>
      <c r="X132" s="159"/>
      <c r="Y132" s="136"/>
      <c r="Z132" s="4" t="b">
        <f t="shared" si="5"/>
        <v>1</v>
      </c>
      <c r="AA132" s="4" t="s">
        <v>1656</v>
      </c>
      <c r="AB132" s="4" t="s">
        <v>1081</v>
      </c>
      <c r="AC132" s="4" t="b">
        <v>1</v>
      </c>
      <c r="AD132" s="4" t="b">
        <v>0</v>
      </c>
    </row>
    <row r="133" spans="1:30" x14ac:dyDescent="0.25">
      <c r="A133" s="159"/>
      <c r="B133" s="171"/>
      <c r="C133" s="136" t="s">
        <v>1223</v>
      </c>
      <c r="D133" s="136"/>
      <c r="E133" s="136"/>
      <c r="F133" s="136"/>
      <c r="G133" s="136"/>
      <c r="H133" s="136"/>
      <c r="I133" s="136"/>
      <c r="J133" s="136"/>
      <c r="K133" s="136"/>
      <c r="L133" s="136"/>
      <c r="M133" s="136"/>
      <c r="N133" s="136"/>
      <c r="O133" s="136"/>
      <c r="P133" s="136"/>
      <c r="Q133" s="136"/>
      <c r="R133" s="136"/>
      <c r="S133" s="136"/>
      <c r="T133" s="136"/>
      <c r="U133" s="136"/>
      <c r="V133" s="136"/>
      <c r="W133" s="159"/>
      <c r="X133" s="159"/>
      <c r="Y133" s="136"/>
      <c r="Z133" s="4" t="b">
        <f t="shared" si="5"/>
        <v>1</v>
      </c>
      <c r="AA133" s="4" t="s">
        <v>1656</v>
      </c>
      <c r="AB133" s="4" t="s">
        <v>1107</v>
      </c>
      <c r="AC133" s="4" t="b">
        <v>1</v>
      </c>
      <c r="AD133" s="4" t="b">
        <v>0</v>
      </c>
    </row>
    <row r="134" spans="1:30" hidden="1" x14ac:dyDescent="0.25">
      <c r="A134" s="159"/>
      <c r="B134" s="136"/>
      <c r="C134" s="136" t="s">
        <v>8</v>
      </c>
      <c r="D134" s="295"/>
      <c r="E134" s="298"/>
      <c r="F134" s="298"/>
      <c r="G134" s="298"/>
      <c r="H134" s="298"/>
      <c r="I134" s="296"/>
      <c r="J134" s="296"/>
      <c r="K134" s="296"/>
      <c r="L134" s="296"/>
      <c r="M134" s="296"/>
      <c r="N134" s="296"/>
      <c r="O134" s="296"/>
      <c r="P134" s="296"/>
      <c r="Q134" s="296"/>
      <c r="R134" s="296"/>
      <c r="S134" s="297"/>
      <c r="T134" s="136"/>
      <c r="U134" s="136"/>
      <c r="V134" s="136"/>
      <c r="W134" s="159"/>
      <c r="X134" s="159"/>
      <c r="Y134" s="136"/>
      <c r="Z134" s="209" t="b">
        <f>AND(B133="P",Z133)</f>
        <v>0</v>
      </c>
      <c r="AA134" s="4" t="s">
        <v>1656</v>
      </c>
      <c r="AB134" s="4" t="s">
        <v>1108</v>
      </c>
      <c r="AD134" s="209" t="b">
        <v>1</v>
      </c>
    </row>
    <row r="135" spans="1:30" x14ac:dyDescent="0.25">
      <c r="A135" s="159"/>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59"/>
      <c r="X135" s="159"/>
      <c r="Y135" s="136"/>
      <c r="Z135" s="4" t="b">
        <f t="shared" si="5"/>
        <v>1</v>
      </c>
      <c r="AA135" s="4" t="s">
        <v>1656</v>
      </c>
    </row>
    <row r="136" spans="1:30" x14ac:dyDescent="0.25">
      <c r="A136" s="159"/>
      <c r="B136" s="159"/>
      <c r="C136" s="159"/>
      <c r="D136" s="159"/>
      <c r="E136" s="159"/>
      <c r="F136" s="159"/>
      <c r="G136" s="159"/>
      <c r="H136" s="159"/>
      <c r="I136" s="159"/>
      <c r="J136" s="159"/>
      <c r="K136" s="159"/>
      <c r="L136" s="159"/>
      <c r="M136" s="159"/>
      <c r="N136" s="159"/>
      <c r="O136" s="159"/>
      <c r="P136" s="159"/>
      <c r="Q136" s="159"/>
      <c r="R136" s="159"/>
      <c r="S136" s="159"/>
      <c r="T136" s="159"/>
      <c r="U136" s="159"/>
      <c r="V136" s="159"/>
      <c r="W136" s="159"/>
      <c r="X136" s="159"/>
      <c r="Y136" s="136"/>
      <c r="Z136" s="213"/>
    </row>
    <row r="137" spans="1:30" x14ac:dyDescent="0.25">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213"/>
    </row>
    <row r="138" spans="1:30" x14ac:dyDescent="0.25">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213"/>
    </row>
    <row r="139" spans="1:30" x14ac:dyDescent="0.25">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213"/>
    </row>
    <row r="140" spans="1:30" x14ac:dyDescent="0.25">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213"/>
    </row>
  </sheetData>
  <sheetProtection algorithmName="SHA-512" hashValue="YsU1Ihjskqb4lLdEcErdT3r5jDdowIE95Hz20iO2v/GAFN2EbA00S9DnH2C1n/NQmf9xWA6ZmPZuTN26K4bIAA==" saltValue="CNiHxRvb3KIYcU8zzgvIdg==" spinCount="100000" sheet="1" objects="1" scenarios="1" formatCells="0"/>
  <mergeCells count="9">
    <mergeCell ref="D114:S114"/>
    <mergeCell ref="D124:S124"/>
    <mergeCell ref="D134:S134"/>
    <mergeCell ref="D33:S33"/>
    <mergeCell ref="D17:S17"/>
    <mergeCell ref="D56:S56"/>
    <mergeCell ref="D70:S70"/>
    <mergeCell ref="D88:S88"/>
    <mergeCell ref="D103:S103"/>
  </mergeCells>
  <dataValidations count="2">
    <dataValidation type="custom" allowBlank="1" showInputMessage="1" showErrorMessage="1" sqref="B21:B32 B107:B113 B37:B55 B60:B69 B74:B87 B92:B102 B118:B123 B128:B133 B8:B16" xr:uid="{48761ACA-9DA3-46CF-ADEB-373D8DDB5D80}">
      <formula1>FALSE</formula1>
    </dataValidation>
    <dataValidation type="textLength" operator="lessThanOrEqual" allowBlank="1" showInputMessage="1" showErrorMessage="1" error="Entry exceeds maximum length (100)." sqref="D33:S33 D103:S103 D70:S70 D88:S88 D56:S56 D114:S114 D17:S17 D124:S124 D134:S134" xr:uid="{59A501A6-4D09-464D-AB7F-833B538D0123}">
      <formula1>100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5BE3F-2B86-42A2-9467-86BCC3E0661D}">
  <sheetPr codeName="Select_NPIs">
    <tabColor theme="9" tint="0.79998168889431442"/>
  </sheetPr>
  <dimension ref="A1:AI142"/>
  <sheetViews>
    <sheetView workbookViewId="0">
      <pane ySplit="4" topLeftCell="A101" activePane="bottomLeft" state="frozen"/>
      <selection pane="bottomLeft" activeCell="B73" sqref="B73"/>
    </sheetView>
  </sheetViews>
  <sheetFormatPr defaultColWidth="0" defaultRowHeight="15" zeroHeight="1" x14ac:dyDescent="0.25"/>
  <cols>
    <col min="1" max="1" width="3.42578125" customWidth="1"/>
    <col min="2" max="2" width="9" style="132" customWidth="1"/>
    <col min="3" max="23" width="9" customWidth="1"/>
    <col min="24" max="24" width="3.85546875" customWidth="1"/>
    <col min="25" max="26" width="9" hidden="1" customWidth="1"/>
    <col min="27" max="27" width="7.7109375" hidden="1" customWidth="1"/>
    <col min="28" max="28" width="27" hidden="1" customWidth="1"/>
    <col min="29" max="29" width="6.85546875" hidden="1" customWidth="1"/>
    <col min="30" max="35" width="0" hidden="1" customWidth="1"/>
    <col min="36" max="16384" width="9" hidden="1"/>
  </cols>
  <sheetData>
    <row r="1" spans="1:35" ht="24" customHeight="1" x14ac:dyDescent="0.25">
      <c r="A1" s="159"/>
      <c r="B1" s="160" t="s">
        <v>1516</v>
      </c>
      <c r="C1" s="159"/>
      <c r="D1" s="159"/>
      <c r="E1" s="159"/>
      <c r="F1" s="159"/>
      <c r="G1" s="159"/>
      <c r="H1" s="159"/>
      <c r="I1" s="159"/>
      <c r="J1" s="159"/>
      <c r="K1" s="159"/>
      <c r="L1" s="159"/>
      <c r="M1" s="159"/>
      <c r="N1" s="159"/>
      <c r="O1" s="159"/>
      <c r="P1" s="159"/>
      <c r="Q1" s="159"/>
      <c r="R1" s="159"/>
      <c r="S1" s="159"/>
      <c r="T1" s="159"/>
      <c r="U1" s="159"/>
      <c r="V1" s="159"/>
      <c r="W1" s="159"/>
      <c r="X1" s="159"/>
      <c r="Z1" s="214" t="s">
        <v>1625</v>
      </c>
      <c r="AA1" s="214" t="s">
        <v>1949</v>
      </c>
      <c r="AB1" s="215" t="s">
        <v>1624</v>
      </c>
      <c r="AC1" s="214" t="s">
        <v>1948</v>
      </c>
      <c r="AG1" t="s">
        <v>1626</v>
      </c>
      <c r="AH1" t="s">
        <v>1627</v>
      </c>
      <c r="AI1" t="s">
        <v>1635</v>
      </c>
    </row>
    <row r="2" spans="1:35" x14ac:dyDescent="0.25">
      <c r="A2" s="159"/>
      <c r="B2" s="161"/>
      <c r="C2" s="159"/>
      <c r="D2" s="159"/>
      <c r="E2" s="159"/>
      <c r="F2" s="159"/>
      <c r="G2" s="159"/>
      <c r="H2" s="159"/>
      <c r="I2" s="159"/>
      <c r="J2" s="159"/>
      <c r="K2" s="159"/>
      <c r="L2" s="159"/>
      <c r="M2" s="159"/>
      <c r="N2" s="159"/>
      <c r="O2" s="159"/>
      <c r="P2" s="159"/>
      <c r="Q2" s="159"/>
      <c r="R2" s="159"/>
      <c r="S2" s="159"/>
      <c r="T2" s="159"/>
      <c r="U2" s="159"/>
      <c r="V2" s="159"/>
      <c r="W2" s="159"/>
      <c r="X2" s="159"/>
      <c r="Z2" s="134" t="b">
        <v>1</v>
      </c>
      <c r="AG2" s="133" t="s">
        <v>1615</v>
      </c>
      <c r="AH2" s="133" t="s">
        <v>1956</v>
      </c>
      <c r="AI2" s="133" t="b">
        <f>NOT(cbEMP)</f>
        <v>1</v>
      </c>
    </row>
    <row r="3" spans="1:35" x14ac:dyDescent="0.25">
      <c r="A3" s="159"/>
      <c r="B3" s="161"/>
      <c r="C3" s="159"/>
      <c r="D3" s="159"/>
      <c r="E3" s="159"/>
      <c r="F3" s="159"/>
      <c r="G3" s="159"/>
      <c r="H3" s="159"/>
      <c r="I3" s="159"/>
      <c r="J3" s="159"/>
      <c r="K3" s="159"/>
      <c r="L3" s="159"/>
      <c r="M3" s="159"/>
      <c r="N3" s="159"/>
      <c r="O3" s="159"/>
      <c r="P3" s="159"/>
      <c r="Q3" s="159"/>
      <c r="R3" s="159"/>
      <c r="S3" s="159"/>
      <c r="T3" s="159"/>
      <c r="U3" s="159"/>
      <c r="V3" s="159"/>
      <c r="W3" s="159"/>
      <c r="X3" s="159"/>
      <c r="Z3" s="134" t="b">
        <v>1</v>
      </c>
      <c r="AG3" s="133" t="s">
        <v>1616</v>
      </c>
      <c r="AH3" s="133" t="s">
        <v>1956</v>
      </c>
      <c r="AI3" s="133" t="b">
        <f>NOT(cbEDU)</f>
        <v>1</v>
      </c>
    </row>
    <row r="4" spans="1:35" x14ac:dyDescent="0.25">
      <c r="A4" s="159"/>
      <c r="B4" s="161"/>
      <c r="C4" s="159"/>
      <c r="D4" s="159"/>
      <c r="E4" s="159"/>
      <c r="F4" s="159"/>
      <c r="G4" s="159"/>
      <c r="H4" s="159"/>
      <c r="I4" s="159"/>
      <c r="J4" s="159"/>
      <c r="K4" s="159"/>
      <c r="L4" s="159"/>
      <c r="M4" s="159"/>
      <c r="N4" s="159"/>
      <c r="O4" s="159"/>
      <c r="P4" s="159"/>
      <c r="Q4" s="159"/>
      <c r="R4" s="159"/>
      <c r="S4" s="159"/>
      <c r="T4" s="159"/>
      <c r="U4" s="159"/>
      <c r="V4" s="159"/>
      <c r="W4" s="159"/>
      <c r="X4" s="159"/>
      <c r="Z4" s="134" t="b">
        <v>1</v>
      </c>
      <c r="AG4" s="133" t="s">
        <v>1617</v>
      </c>
      <c r="AH4" s="133" t="s">
        <v>1956</v>
      </c>
      <c r="AI4" s="133" t="b">
        <f>NOT(cbINF)</f>
        <v>1</v>
      </c>
    </row>
    <row r="5" spans="1:35" x14ac:dyDescent="0.25">
      <c r="A5" s="159"/>
      <c r="B5" s="137"/>
      <c r="C5" s="136"/>
      <c r="D5" s="136"/>
      <c r="E5" s="136"/>
      <c r="F5" s="136"/>
      <c r="G5" s="136"/>
      <c r="H5" s="136"/>
      <c r="I5" s="136"/>
      <c r="J5" s="136"/>
      <c r="K5" s="136"/>
      <c r="L5" s="136"/>
      <c r="M5" s="136"/>
      <c r="N5" s="136"/>
      <c r="O5" s="136"/>
      <c r="P5" s="136"/>
      <c r="Q5" s="136"/>
      <c r="R5" s="136"/>
      <c r="S5" s="136"/>
      <c r="T5" s="136"/>
      <c r="U5" s="136"/>
      <c r="V5" s="136"/>
      <c r="W5" s="136"/>
      <c r="X5" s="159"/>
      <c r="Z5" s="134" t="b">
        <v>1</v>
      </c>
      <c r="AG5" s="133" t="s">
        <v>1618</v>
      </c>
      <c r="AH5" s="133" t="s">
        <v>1956</v>
      </c>
      <c r="AI5" s="133" t="b">
        <f>NOT(cbHOU)</f>
        <v>1</v>
      </c>
    </row>
    <row r="6" spans="1:35" x14ac:dyDescent="0.25">
      <c r="A6" s="159"/>
      <c r="B6" s="138" t="s">
        <v>2</v>
      </c>
      <c r="C6" s="136"/>
      <c r="D6" s="136"/>
      <c r="E6" s="136"/>
      <c r="F6" s="136"/>
      <c r="G6" s="136"/>
      <c r="H6" s="136"/>
      <c r="I6" s="136"/>
      <c r="J6" s="136"/>
      <c r="K6" s="136"/>
      <c r="L6" s="136"/>
      <c r="M6" s="136"/>
      <c r="N6" s="136"/>
      <c r="O6" s="136"/>
      <c r="P6" s="136"/>
      <c r="Q6" s="136"/>
      <c r="R6" s="136"/>
      <c r="S6" s="136"/>
      <c r="T6" s="136"/>
      <c r="U6" s="136"/>
      <c r="V6" s="136"/>
      <c r="W6" s="136"/>
      <c r="X6" s="159"/>
      <c r="Z6" t="b">
        <f t="shared" ref="Z6:Z37" si="0">AND(_xlfn.XLOOKUP(AA6,cmdTable,cmdSetting,"Off")="On",NOT(_xlfn.XLOOKUP(AA6,cmdTable,cmdDisabled,FALSE)))</f>
        <v>0</v>
      </c>
      <c r="AA6" t="s">
        <v>1615</v>
      </c>
      <c r="AG6" s="133" t="s">
        <v>1619</v>
      </c>
      <c r="AH6" s="133" t="s">
        <v>1956</v>
      </c>
      <c r="AI6" s="133" t="b">
        <f>NOT(cbHLTH)</f>
        <v>1</v>
      </c>
    </row>
    <row r="7" spans="1:35" x14ac:dyDescent="0.25">
      <c r="A7" s="159"/>
      <c r="B7" s="137"/>
      <c r="C7" s="136"/>
      <c r="D7" s="136"/>
      <c r="E7" s="136"/>
      <c r="F7" s="136"/>
      <c r="G7" s="136"/>
      <c r="H7" s="136"/>
      <c r="I7" s="136"/>
      <c r="J7" s="136"/>
      <c r="K7" s="136"/>
      <c r="L7" s="136"/>
      <c r="M7" s="136"/>
      <c r="N7" s="136"/>
      <c r="O7" s="136"/>
      <c r="P7" s="136"/>
      <c r="Q7" s="136"/>
      <c r="R7" s="136"/>
      <c r="S7" s="136"/>
      <c r="T7" s="136"/>
      <c r="U7" s="136"/>
      <c r="V7" s="136"/>
      <c r="W7" s="136"/>
      <c r="X7" s="159"/>
      <c r="Z7" t="b">
        <f t="shared" si="0"/>
        <v>0</v>
      </c>
      <c r="AA7" t="s">
        <v>1615</v>
      </c>
      <c r="AG7" s="133" t="s">
        <v>1634</v>
      </c>
      <c r="AH7" s="133" t="s">
        <v>1956</v>
      </c>
      <c r="AI7" s="133" t="b">
        <f>NOT(cbCIVG)</f>
        <v>1</v>
      </c>
    </row>
    <row r="8" spans="1:35" x14ac:dyDescent="0.25">
      <c r="A8" s="159"/>
      <c r="B8" s="171"/>
      <c r="C8" s="136" t="s">
        <v>494</v>
      </c>
      <c r="D8" s="136"/>
      <c r="E8" s="136"/>
      <c r="F8" s="136"/>
      <c r="G8" s="136"/>
      <c r="H8" s="136"/>
      <c r="I8" s="136"/>
      <c r="J8" s="136"/>
      <c r="K8" s="136"/>
      <c r="L8" s="136"/>
      <c r="M8" s="136"/>
      <c r="N8" s="136"/>
      <c r="O8" s="136"/>
      <c r="P8" s="136"/>
      <c r="Q8" s="136"/>
      <c r="R8" s="136"/>
      <c r="S8" s="136"/>
      <c r="T8" s="136"/>
      <c r="U8" s="136"/>
      <c r="V8" s="136"/>
      <c r="W8" s="136"/>
      <c r="X8" s="159"/>
      <c r="Z8" t="b">
        <f t="shared" si="0"/>
        <v>0</v>
      </c>
      <c r="AA8" t="s">
        <v>1615</v>
      </c>
      <c r="AB8" t="s">
        <v>921</v>
      </c>
      <c r="AC8" t="b">
        <v>1</v>
      </c>
    </row>
    <row r="9" spans="1:35" x14ac:dyDescent="0.25">
      <c r="A9" s="159"/>
      <c r="B9" s="171"/>
      <c r="C9" s="136" t="s">
        <v>495</v>
      </c>
      <c r="D9" s="136"/>
      <c r="E9" s="136"/>
      <c r="F9" s="136"/>
      <c r="G9" s="136"/>
      <c r="H9" s="136"/>
      <c r="I9" s="136"/>
      <c r="J9" s="136"/>
      <c r="K9" s="136"/>
      <c r="L9" s="136"/>
      <c r="M9" s="136"/>
      <c r="N9" s="136"/>
      <c r="O9" s="136"/>
      <c r="P9" s="136"/>
      <c r="Q9" s="136"/>
      <c r="R9" s="136"/>
      <c r="S9" s="136"/>
      <c r="T9" s="136"/>
      <c r="U9" s="136"/>
      <c r="V9" s="136"/>
      <c r="W9" s="136"/>
      <c r="X9" s="159"/>
      <c r="Z9" t="b">
        <f t="shared" si="0"/>
        <v>0</v>
      </c>
      <c r="AA9" t="s">
        <v>1615</v>
      </c>
      <c r="AB9" t="s">
        <v>922</v>
      </c>
      <c r="AC9" t="b">
        <v>1</v>
      </c>
    </row>
    <row r="10" spans="1:35" x14ac:dyDescent="0.25">
      <c r="A10" s="159"/>
      <c r="B10" s="171"/>
      <c r="C10" s="136" t="s">
        <v>620</v>
      </c>
      <c r="D10" s="136"/>
      <c r="E10" s="136"/>
      <c r="F10" s="136"/>
      <c r="G10" s="136"/>
      <c r="H10" s="136"/>
      <c r="I10" s="136"/>
      <c r="J10" s="136"/>
      <c r="K10" s="136"/>
      <c r="L10" s="136"/>
      <c r="M10" s="136"/>
      <c r="N10" s="136"/>
      <c r="O10" s="136"/>
      <c r="P10" s="136"/>
      <c r="Q10" s="136"/>
      <c r="R10" s="136"/>
      <c r="S10" s="136"/>
      <c r="T10" s="136"/>
      <c r="U10" s="136"/>
      <c r="V10" s="136"/>
      <c r="W10" s="136"/>
      <c r="X10" s="159"/>
      <c r="Z10" t="b">
        <f t="shared" si="0"/>
        <v>0</v>
      </c>
      <c r="AA10" t="s">
        <v>1615</v>
      </c>
      <c r="AB10" t="s">
        <v>923</v>
      </c>
      <c r="AC10" t="b">
        <v>0</v>
      </c>
    </row>
    <row r="11" spans="1:35" x14ac:dyDescent="0.25">
      <c r="A11" s="159"/>
      <c r="B11" s="171"/>
      <c r="C11" s="136" t="s">
        <v>1518</v>
      </c>
      <c r="D11" s="136"/>
      <c r="E11" s="136"/>
      <c r="F11" s="136"/>
      <c r="G11" s="136"/>
      <c r="H11" s="136"/>
      <c r="I11" s="136"/>
      <c r="J11" s="136"/>
      <c r="K11" s="136"/>
      <c r="L11" s="136"/>
      <c r="M11" s="136"/>
      <c r="N11" s="136"/>
      <c r="O11" s="136"/>
      <c r="P11" s="136"/>
      <c r="Q11" s="136"/>
      <c r="R11" s="136"/>
      <c r="S11" s="136"/>
      <c r="T11" s="136"/>
      <c r="U11" s="136"/>
      <c r="V11" s="136"/>
      <c r="W11" s="136"/>
      <c r="X11" s="159"/>
      <c r="Z11" t="b">
        <f t="shared" si="0"/>
        <v>0</v>
      </c>
      <c r="AA11" t="s">
        <v>1615</v>
      </c>
      <c r="AB11" t="s">
        <v>924</v>
      </c>
      <c r="AC11" t="b">
        <v>1</v>
      </c>
    </row>
    <row r="12" spans="1:35" x14ac:dyDescent="0.25">
      <c r="A12" s="159"/>
      <c r="B12" s="171"/>
      <c r="C12" s="136" t="s">
        <v>496</v>
      </c>
      <c r="D12" s="136"/>
      <c r="E12" s="136"/>
      <c r="F12" s="136"/>
      <c r="G12" s="136"/>
      <c r="H12" s="136"/>
      <c r="I12" s="136"/>
      <c r="J12" s="136"/>
      <c r="K12" s="136"/>
      <c r="L12" s="136"/>
      <c r="M12" s="136"/>
      <c r="N12" s="136"/>
      <c r="O12" s="136"/>
      <c r="P12" s="136"/>
      <c r="Q12" s="136"/>
      <c r="R12" s="136"/>
      <c r="S12" s="136"/>
      <c r="T12" s="136"/>
      <c r="U12" s="136"/>
      <c r="V12" s="136"/>
      <c r="W12" s="136"/>
      <c r="X12" s="159"/>
      <c r="Z12" t="b">
        <f t="shared" si="0"/>
        <v>0</v>
      </c>
      <c r="AA12" t="s">
        <v>1615</v>
      </c>
      <c r="AB12" t="s">
        <v>925</v>
      </c>
      <c r="AC12" t="b">
        <v>0</v>
      </c>
    </row>
    <row r="13" spans="1:35" x14ac:dyDescent="0.25">
      <c r="A13" s="159"/>
      <c r="B13" s="171"/>
      <c r="C13" s="136" t="s">
        <v>497</v>
      </c>
      <c r="D13" s="136"/>
      <c r="E13" s="136"/>
      <c r="F13" s="136"/>
      <c r="G13" s="136"/>
      <c r="H13" s="136"/>
      <c r="I13" s="136"/>
      <c r="J13" s="136"/>
      <c r="K13" s="136"/>
      <c r="L13" s="136"/>
      <c r="M13" s="136"/>
      <c r="N13" s="136"/>
      <c r="O13" s="136"/>
      <c r="P13" s="136"/>
      <c r="Q13" s="136"/>
      <c r="R13" s="136"/>
      <c r="S13" s="136"/>
      <c r="T13" s="136"/>
      <c r="U13" s="136"/>
      <c r="V13" s="136"/>
      <c r="W13" s="136"/>
      <c r="X13" s="159"/>
      <c r="Z13" t="b">
        <f t="shared" si="0"/>
        <v>0</v>
      </c>
      <c r="AA13" t="s">
        <v>1615</v>
      </c>
      <c r="AB13" t="s">
        <v>1957</v>
      </c>
      <c r="AC13" t="b">
        <v>1</v>
      </c>
    </row>
    <row r="14" spans="1:35" x14ac:dyDescent="0.25">
      <c r="A14" s="159"/>
      <c r="B14" s="171"/>
      <c r="C14" s="136" t="s">
        <v>498</v>
      </c>
      <c r="D14" s="136"/>
      <c r="E14" s="136"/>
      <c r="F14" s="136"/>
      <c r="G14" s="136"/>
      <c r="H14" s="136"/>
      <c r="I14" s="136"/>
      <c r="J14" s="136"/>
      <c r="K14" s="136"/>
      <c r="L14" s="136"/>
      <c r="M14" s="136"/>
      <c r="N14" s="136"/>
      <c r="O14" s="136"/>
      <c r="P14" s="136"/>
      <c r="Q14" s="136"/>
      <c r="R14" s="136"/>
      <c r="S14" s="136"/>
      <c r="T14" s="136"/>
      <c r="U14" s="136"/>
      <c r="V14" s="136"/>
      <c r="W14" s="136"/>
      <c r="X14" s="159"/>
      <c r="Z14" t="b">
        <f t="shared" si="0"/>
        <v>0</v>
      </c>
      <c r="AA14" t="s">
        <v>1615</v>
      </c>
      <c r="AB14" t="s">
        <v>926</v>
      </c>
      <c r="AC14" t="b">
        <v>1</v>
      </c>
    </row>
    <row r="15" spans="1:35" x14ac:dyDescent="0.25">
      <c r="A15" s="159"/>
      <c r="B15" s="171"/>
      <c r="C15" s="136" t="s">
        <v>499</v>
      </c>
      <c r="D15" s="136"/>
      <c r="E15" s="136"/>
      <c r="F15" s="136"/>
      <c r="G15" s="136"/>
      <c r="H15" s="136"/>
      <c r="I15" s="136"/>
      <c r="J15" s="136"/>
      <c r="K15" s="136"/>
      <c r="L15" s="136"/>
      <c r="M15" s="136"/>
      <c r="N15" s="136"/>
      <c r="O15" s="136"/>
      <c r="P15" s="136"/>
      <c r="Q15" s="136"/>
      <c r="R15" s="136"/>
      <c r="S15" s="136"/>
      <c r="T15" s="136"/>
      <c r="U15" s="136"/>
      <c r="V15" s="136"/>
      <c r="W15" s="136"/>
      <c r="X15" s="159"/>
      <c r="Z15" t="b">
        <f t="shared" si="0"/>
        <v>0</v>
      </c>
      <c r="AA15" t="s">
        <v>1615</v>
      </c>
      <c r="AB15" t="s">
        <v>927</v>
      </c>
      <c r="AC15" t="b">
        <v>1</v>
      </c>
    </row>
    <row r="16" spans="1:35" x14ac:dyDescent="0.25">
      <c r="A16" s="159"/>
      <c r="B16" s="171"/>
      <c r="C16" s="136" t="s">
        <v>500</v>
      </c>
      <c r="D16" s="136"/>
      <c r="E16" s="136"/>
      <c r="F16" s="136"/>
      <c r="G16" s="136"/>
      <c r="H16" s="136"/>
      <c r="I16" s="136"/>
      <c r="J16" s="136"/>
      <c r="K16" s="136"/>
      <c r="L16" s="136"/>
      <c r="M16" s="136"/>
      <c r="N16" s="136"/>
      <c r="O16" s="136"/>
      <c r="P16" s="136"/>
      <c r="Q16" s="136"/>
      <c r="R16" s="136"/>
      <c r="S16" s="136"/>
      <c r="T16" s="136"/>
      <c r="U16" s="136"/>
      <c r="V16" s="136"/>
      <c r="W16" s="136"/>
      <c r="X16" s="159"/>
      <c r="Z16" t="b">
        <f t="shared" si="0"/>
        <v>0</v>
      </c>
      <c r="AA16" t="s">
        <v>1615</v>
      </c>
      <c r="AB16" t="s">
        <v>928</v>
      </c>
      <c r="AC16" t="b">
        <v>0</v>
      </c>
    </row>
    <row r="17" spans="1:29" x14ac:dyDescent="0.25">
      <c r="A17" s="159"/>
      <c r="B17" s="171"/>
      <c r="C17" s="136" t="s">
        <v>501</v>
      </c>
      <c r="D17" s="136"/>
      <c r="E17" s="136"/>
      <c r="F17" s="136"/>
      <c r="G17" s="136"/>
      <c r="H17" s="136"/>
      <c r="I17" s="136"/>
      <c r="J17" s="136"/>
      <c r="K17" s="136"/>
      <c r="L17" s="136"/>
      <c r="M17" s="136"/>
      <c r="N17" s="136"/>
      <c r="O17" s="136"/>
      <c r="P17" s="136"/>
      <c r="Q17" s="136"/>
      <c r="R17" s="136"/>
      <c r="S17" s="136"/>
      <c r="T17" s="136"/>
      <c r="U17" s="136"/>
      <c r="V17" s="136"/>
      <c r="W17" s="136"/>
      <c r="X17" s="159"/>
      <c r="Z17" t="b">
        <f t="shared" si="0"/>
        <v>0</v>
      </c>
      <c r="AA17" t="s">
        <v>1615</v>
      </c>
      <c r="AB17" t="s">
        <v>1958</v>
      </c>
      <c r="AC17" t="b">
        <v>1</v>
      </c>
    </row>
    <row r="18" spans="1:29" x14ac:dyDescent="0.25">
      <c r="A18" s="159"/>
      <c r="B18" s="137"/>
      <c r="C18" s="136"/>
      <c r="D18" s="136"/>
      <c r="E18" s="136"/>
      <c r="F18" s="136"/>
      <c r="G18" s="136"/>
      <c r="H18" s="136"/>
      <c r="I18" s="136"/>
      <c r="J18" s="136"/>
      <c r="K18" s="136"/>
      <c r="L18" s="136"/>
      <c r="M18" s="136"/>
      <c r="N18" s="136"/>
      <c r="O18" s="136"/>
      <c r="P18" s="136"/>
      <c r="Q18" s="136"/>
      <c r="R18" s="136"/>
      <c r="S18" s="136"/>
      <c r="T18" s="136"/>
      <c r="U18" s="136"/>
      <c r="V18" s="136"/>
      <c r="W18" s="136"/>
      <c r="X18" s="159"/>
      <c r="Z18" t="b">
        <f t="shared" si="0"/>
        <v>0</v>
      </c>
      <c r="AA18" t="s">
        <v>1615</v>
      </c>
    </row>
    <row r="19" spans="1:29" x14ac:dyDescent="0.25">
      <c r="A19" s="159"/>
      <c r="B19" s="139" t="s">
        <v>1614</v>
      </c>
      <c r="C19" s="136"/>
      <c r="D19" s="136"/>
      <c r="E19" s="136"/>
      <c r="F19" s="136"/>
      <c r="G19" s="136"/>
      <c r="H19" s="136"/>
      <c r="I19" s="136"/>
      <c r="J19" s="136"/>
      <c r="K19" s="136"/>
      <c r="L19" s="136"/>
      <c r="M19" s="136"/>
      <c r="N19" s="136"/>
      <c r="O19" s="136"/>
      <c r="P19" s="136"/>
      <c r="Q19" s="136"/>
      <c r="R19" s="136"/>
      <c r="S19" s="136"/>
      <c r="T19" s="136"/>
      <c r="U19" s="136"/>
      <c r="V19" s="136"/>
      <c r="W19" s="136"/>
      <c r="X19" s="159"/>
      <c r="Z19" t="b">
        <f t="shared" si="0"/>
        <v>0</v>
      </c>
      <c r="AA19" t="s">
        <v>1616</v>
      </c>
    </row>
    <row r="20" spans="1:29" x14ac:dyDescent="0.25">
      <c r="A20" s="159"/>
      <c r="B20" s="140"/>
      <c r="C20" s="136"/>
      <c r="D20" s="136"/>
      <c r="E20" s="136"/>
      <c r="F20" s="136"/>
      <c r="G20" s="136"/>
      <c r="H20" s="136"/>
      <c r="I20" s="136"/>
      <c r="J20" s="136"/>
      <c r="K20" s="136"/>
      <c r="L20" s="136"/>
      <c r="M20" s="136"/>
      <c r="N20" s="136"/>
      <c r="O20" s="136"/>
      <c r="P20" s="136"/>
      <c r="Q20" s="136"/>
      <c r="R20" s="136"/>
      <c r="S20" s="136"/>
      <c r="T20" s="136"/>
      <c r="U20" s="136"/>
      <c r="V20" s="136"/>
      <c r="W20" s="136"/>
      <c r="X20" s="159"/>
      <c r="Z20" t="b">
        <f t="shared" si="0"/>
        <v>0</v>
      </c>
      <c r="AA20" t="s">
        <v>1616</v>
      </c>
    </row>
    <row r="21" spans="1:29" x14ac:dyDescent="0.25">
      <c r="A21" s="159"/>
      <c r="B21" s="171"/>
      <c r="C21" s="141" t="s">
        <v>506</v>
      </c>
      <c r="D21" s="136"/>
      <c r="E21" s="136"/>
      <c r="F21" s="136"/>
      <c r="G21" s="136"/>
      <c r="H21" s="136"/>
      <c r="I21" s="136"/>
      <c r="J21" s="136"/>
      <c r="K21" s="136"/>
      <c r="L21" s="136"/>
      <c r="M21" s="136"/>
      <c r="N21" s="136"/>
      <c r="O21" s="136"/>
      <c r="P21" s="136"/>
      <c r="Q21" s="136"/>
      <c r="R21" s="136"/>
      <c r="S21" s="136"/>
      <c r="T21" s="136"/>
      <c r="U21" s="136"/>
      <c r="V21" s="136"/>
      <c r="W21" s="136"/>
      <c r="X21" s="159"/>
      <c r="Z21" t="b">
        <f t="shared" si="0"/>
        <v>0</v>
      </c>
      <c r="AA21" t="s">
        <v>1616</v>
      </c>
      <c r="AB21" t="s">
        <v>929</v>
      </c>
      <c r="AC21" t="b">
        <v>1</v>
      </c>
    </row>
    <row r="22" spans="1:29" x14ac:dyDescent="0.25">
      <c r="A22" s="159"/>
      <c r="B22" s="171"/>
      <c r="C22" s="141" t="s">
        <v>507</v>
      </c>
      <c r="D22" s="136"/>
      <c r="E22" s="136"/>
      <c r="F22" s="136"/>
      <c r="G22" s="136"/>
      <c r="H22" s="136"/>
      <c r="I22" s="136"/>
      <c r="J22" s="136"/>
      <c r="K22" s="136"/>
      <c r="L22" s="136"/>
      <c r="M22" s="136"/>
      <c r="N22" s="136"/>
      <c r="O22" s="136"/>
      <c r="P22" s="136"/>
      <c r="Q22" s="136"/>
      <c r="R22" s="136"/>
      <c r="S22" s="136"/>
      <c r="T22" s="136"/>
      <c r="U22" s="136"/>
      <c r="V22" s="136"/>
      <c r="W22" s="136"/>
      <c r="X22" s="159"/>
      <c r="Z22" t="b">
        <f t="shared" si="0"/>
        <v>0</v>
      </c>
      <c r="AA22" t="s">
        <v>1616</v>
      </c>
      <c r="AB22" t="s">
        <v>930</v>
      </c>
      <c r="AC22" t="b">
        <v>1</v>
      </c>
    </row>
    <row r="23" spans="1:29" x14ac:dyDescent="0.25">
      <c r="A23" s="159"/>
      <c r="B23" s="171"/>
      <c r="C23" s="141" t="s">
        <v>508</v>
      </c>
      <c r="D23" s="136"/>
      <c r="E23" s="136"/>
      <c r="F23" s="136"/>
      <c r="G23" s="136"/>
      <c r="H23" s="136"/>
      <c r="I23" s="136"/>
      <c r="J23" s="136"/>
      <c r="K23" s="136"/>
      <c r="L23" s="136"/>
      <c r="M23" s="136"/>
      <c r="N23" s="136"/>
      <c r="O23" s="136"/>
      <c r="P23" s="136"/>
      <c r="Q23" s="136"/>
      <c r="R23" s="136"/>
      <c r="S23" s="136"/>
      <c r="T23" s="136"/>
      <c r="U23" s="136"/>
      <c r="V23" s="136"/>
      <c r="W23" s="136"/>
      <c r="X23" s="159"/>
      <c r="Z23" t="b">
        <f t="shared" si="0"/>
        <v>0</v>
      </c>
      <c r="AA23" t="s">
        <v>1616</v>
      </c>
      <c r="AB23" t="s">
        <v>931</v>
      </c>
      <c r="AC23" t="b">
        <v>1</v>
      </c>
    </row>
    <row r="24" spans="1:29" x14ac:dyDescent="0.25">
      <c r="A24" s="159"/>
      <c r="B24" s="171"/>
      <c r="C24" s="141" t="s">
        <v>509</v>
      </c>
      <c r="D24" s="136"/>
      <c r="E24" s="136"/>
      <c r="F24" s="136"/>
      <c r="G24" s="136"/>
      <c r="H24" s="136"/>
      <c r="I24" s="136"/>
      <c r="J24" s="136"/>
      <c r="K24" s="136"/>
      <c r="L24" s="136"/>
      <c r="M24" s="136"/>
      <c r="N24" s="136"/>
      <c r="O24" s="136"/>
      <c r="P24" s="136"/>
      <c r="Q24" s="136"/>
      <c r="R24" s="136"/>
      <c r="S24" s="136"/>
      <c r="T24" s="136"/>
      <c r="U24" s="136"/>
      <c r="V24" s="136"/>
      <c r="W24" s="136"/>
      <c r="X24" s="159"/>
      <c r="Z24" t="b">
        <f t="shared" si="0"/>
        <v>0</v>
      </c>
      <c r="AA24" t="s">
        <v>1616</v>
      </c>
      <c r="AB24" t="s">
        <v>932</v>
      </c>
      <c r="AC24" t="b">
        <v>1</v>
      </c>
    </row>
    <row r="25" spans="1:29" x14ac:dyDescent="0.25">
      <c r="A25" s="159"/>
      <c r="B25" s="171"/>
      <c r="C25" s="141" t="s">
        <v>510</v>
      </c>
      <c r="D25" s="136"/>
      <c r="E25" s="136"/>
      <c r="F25" s="136"/>
      <c r="G25" s="136"/>
      <c r="H25" s="136"/>
      <c r="I25" s="136"/>
      <c r="J25" s="136"/>
      <c r="K25" s="136"/>
      <c r="L25" s="136"/>
      <c r="M25" s="136"/>
      <c r="N25" s="136"/>
      <c r="O25" s="136"/>
      <c r="P25" s="136"/>
      <c r="Q25" s="136"/>
      <c r="R25" s="136"/>
      <c r="S25" s="136"/>
      <c r="T25" s="136"/>
      <c r="U25" s="136"/>
      <c r="V25" s="136"/>
      <c r="W25" s="136"/>
      <c r="X25" s="159"/>
      <c r="Z25" t="b">
        <f t="shared" si="0"/>
        <v>0</v>
      </c>
      <c r="AA25" t="s">
        <v>1616</v>
      </c>
      <c r="AB25" t="s">
        <v>933</v>
      </c>
      <c r="AC25" t="b">
        <v>1</v>
      </c>
    </row>
    <row r="26" spans="1:29" x14ac:dyDescent="0.25">
      <c r="A26" s="159"/>
      <c r="B26" s="171"/>
      <c r="C26" s="141" t="s">
        <v>511</v>
      </c>
      <c r="D26" s="136"/>
      <c r="E26" s="136"/>
      <c r="F26" s="136"/>
      <c r="G26" s="136"/>
      <c r="H26" s="136"/>
      <c r="I26" s="136"/>
      <c r="J26" s="136"/>
      <c r="K26" s="136"/>
      <c r="L26" s="136"/>
      <c r="M26" s="136"/>
      <c r="N26" s="136"/>
      <c r="O26" s="136"/>
      <c r="P26" s="136"/>
      <c r="Q26" s="136"/>
      <c r="R26" s="136"/>
      <c r="S26" s="136"/>
      <c r="T26" s="136"/>
      <c r="U26" s="136"/>
      <c r="V26" s="136"/>
      <c r="W26" s="136"/>
      <c r="X26" s="159"/>
      <c r="Z26" t="b">
        <f t="shared" si="0"/>
        <v>0</v>
      </c>
      <c r="AA26" t="s">
        <v>1616</v>
      </c>
      <c r="AB26" t="s">
        <v>934</v>
      </c>
      <c r="AC26" t="b">
        <v>1</v>
      </c>
    </row>
    <row r="27" spans="1:29" x14ac:dyDescent="0.25">
      <c r="A27" s="159"/>
      <c r="B27" s="171"/>
      <c r="C27" s="141" t="s">
        <v>517</v>
      </c>
      <c r="D27" s="136"/>
      <c r="E27" s="136"/>
      <c r="F27" s="136"/>
      <c r="G27" s="136"/>
      <c r="H27" s="136"/>
      <c r="I27" s="136"/>
      <c r="J27" s="136"/>
      <c r="K27" s="136"/>
      <c r="L27" s="136"/>
      <c r="M27" s="136"/>
      <c r="N27" s="136"/>
      <c r="O27" s="136"/>
      <c r="P27" s="136"/>
      <c r="Q27" s="136"/>
      <c r="R27" s="136"/>
      <c r="S27" s="136"/>
      <c r="T27" s="136"/>
      <c r="U27" s="136"/>
      <c r="V27" s="136"/>
      <c r="W27" s="136"/>
      <c r="X27" s="159"/>
      <c r="Z27" t="b">
        <f t="shared" si="0"/>
        <v>0</v>
      </c>
      <c r="AA27" t="s">
        <v>1616</v>
      </c>
      <c r="AB27" t="s">
        <v>1083</v>
      </c>
      <c r="AC27" t="b">
        <v>1</v>
      </c>
    </row>
    <row r="28" spans="1:29" x14ac:dyDescent="0.25">
      <c r="A28" s="159"/>
      <c r="B28" s="171"/>
      <c r="C28" s="141" t="s">
        <v>512</v>
      </c>
      <c r="D28" s="136"/>
      <c r="E28" s="136"/>
      <c r="F28" s="136"/>
      <c r="G28" s="136"/>
      <c r="H28" s="136"/>
      <c r="I28" s="136"/>
      <c r="J28" s="136"/>
      <c r="K28" s="136"/>
      <c r="L28" s="136"/>
      <c r="M28" s="136"/>
      <c r="N28" s="136"/>
      <c r="O28" s="136"/>
      <c r="P28" s="136"/>
      <c r="Q28" s="136"/>
      <c r="R28" s="136"/>
      <c r="S28" s="136"/>
      <c r="T28" s="136"/>
      <c r="U28" s="136"/>
      <c r="V28" s="136"/>
      <c r="W28" s="136"/>
      <c r="X28" s="159"/>
      <c r="Z28" t="b">
        <f t="shared" si="0"/>
        <v>0</v>
      </c>
      <c r="AA28" t="s">
        <v>1616</v>
      </c>
      <c r="AB28" t="s">
        <v>935</v>
      </c>
      <c r="AC28" t="b">
        <v>1</v>
      </c>
    </row>
    <row r="29" spans="1:29" x14ac:dyDescent="0.25">
      <c r="A29" s="159"/>
      <c r="B29" s="171"/>
      <c r="C29" s="141" t="s">
        <v>513</v>
      </c>
      <c r="D29" s="136"/>
      <c r="E29" s="136"/>
      <c r="F29" s="136"/>
      <c r="G29" s="136"/>
      <c r="H29" s="136"/>
      <c r="I29" s="136"/>
      <c r="J29" s="136"/>
      <c r="K29" s="136"/>
      <c r="L29" s="136"/>
      <c r="M29" s="136"/>
      <c r="N29" s="136"/>
      <c r="O29" s="136"/>
      <c r="P29" s="136"/>
      <c r="Q29" s="136"/>
      <c r="R29" s="136"/>
      <c r="S29" s="136"/>
      <c r="T29" s="136"/>
      <c r="U29" s="136"/>
      <c r="V29" s="136"/>
      <c r="W29" s="136"/>
      <c r="X29" s="159"/>
      <c r="Z29" t="b">
        <f t="shared" si="0"/>
        <v>0</v>
      </c>
      <c r="AA29" t="s">
        <v>1616</v>
      </c>
      <c r="AB29" t="s">
        <v>936</v>
      </c>
      <c r="AC29" t="b">
        <v>1</v>
      </c>
    </row>
    <row r="30" spans="1:29" x14ac:dyDescent="0.25">
      <c r="A30" s="159"/>
      <c r="B30" s="171"/>
      <c r="C30" s="141" t="s">
        <v>514</v>
      </c>
      <c r="D30" s="136"/>
      <c r="E30" s="136"/>
      <c r="F30" s="136"/>
      <c r="G30" s="136"/>
      <c r="H30" s="136"/>
      <c r="I30" s="136"/>
      <c r="J30" s="136"/>
      <c r="K30" s="136"/>
      <c r="L30" s="136"/>
      <c r="M30" s="136"/>
      <c r="N30" s="136"/>
      <c r="O30" s="136"/>
      <c r="P30" s="136"/>
      <c r="Q30" s="136"/>
      <c r="R30" s="136"/>
      <c r="S30" s="136"/>
      <c r="T30" s="136"/>
      <c r="U30" s="136"/>
      <c r="V30" s="136"/>
      <c r="W30" s="136"/>
      <c r="X30" s="159"/>
      <c r="Z30" t="b">
        <f t="shared" si="0"/>
        <v>0</v>
      </c>
      <c r="AA30" t="s">
        <v>1616</v>
      </c>
      <c r="AB30" t="s">
        <v>937</v>
      </c>
      <c r="AC30" t="b">
        <v>1</v>
      </c>
    </row>
    <row r="31" spans="1:29" x14ac:dyDescent="0.25">
      <c r="A31" s="159"/>
      <c r="B31" s="171"/>
      <c r="C31" s="141" t="s">
        <v>1519</v>
      </c>
      <c r="D31" s="136"/>
      <c r="E31" s="136"/>
      <c r="F31" s="136"/>
      <c r="G31" s="136"/>
      <c r="H31" s="136"/>
      <c r="I31" s="136"/>
      <c r="J31" s="136"/>
      <c r="K31" s="136"/>
      <c r="L31" s="136"/>
      <c r="M31" s="136"/>
      <c r="N31" s="136"/>
      <c r="O31" s="136"/>
      <c r="P31" s="136"/>
      <c r="Q31" s="136"/>
      <c r="R31" s="136"/>
      <c r="S31" s="136"/>
      <c r="T31" s="136"/>
      <c r="U31" s="136"/>
      <c r="V31" s="136"/>
      <c r="W31" s="136"/>
      <c r="X31" s="159"/>
      <c r="Z31" t="b">
        <f t="shared" si="0"/>
        <v>0</v>
      </c>
      <c r="AA31" t="s">
        <v>1616</v>
      </c>
      <c r="AB31" t="s">
        <v>938</v>
      </c>
      <c r="AC31" t="b">
        <v>1</v>
      </c>
    </row>
    <row r="32" spans="1:29" x14ac:dyDescent="0.25">
      <c r="A32" s="159"/>
      <c r="B32" s="171"/>
      <c r="C32" s="141" t="s">
        <v>1520</v>
      </c>
      <c r="D32" s="136"/>
      <c r="E32" s="136"/>
      <c r="F32" s="136"/>
      <c r="G32" s="136"/>
      <c r="H32" s="136"/>
      <c r="I32" s="136"/>
      <c r="J32" s="136"/>
      <c r="K32" s="136"/>
      <c r="L32" s="136"/>
      <c r="M32" s="136"/>
      <c r="N32" s="136"/>
      <c r="O32" s="136"/>
      <c r="P32" s="136"/>
      <c r="Q32" s="136"/>
      <c r="R32" s="136"/>
      <c r="S32" s="136"/>
      <c r="T32" s="136"/>
      <c r="U32" s="136"/>
      <c r="V32" s="136"/>
      <c r="W32" s="136"/>
      <c r="X32" s="159"/>
      <c r="Z32" t="b">
        <f t="shared" si="0"/>
        <v>0</v>
      </c>
      <c r="AA32" t="s">
        <v>1616</v>
      </c>
      <c r="AB32" t="s">
        <v>939</v>
      </c>
      <c r="AC32" t="b">
        <v>1</v>
      </c>
    </row>
    <row r="33" spans="1:29" x14ac:dyDescent="0.25">
      <c r="A33" s="159"/>
      <c r="B33" s="171"/>
      <c r="C33" s="141" t="s">
        <v>515</v>
      </c>
      <c r="D33" s="136"/>
      <c r="E33" s="136"/>
      <c r="F33" s="136"/>
      <c r="G33" s="136"/>
      <c r="H33" s="136"/>
      <c r="I33" s="136"/>
      <c r="J33" s="136"/>
      <c r="K33" s="136"/>
      <c r="L33" s="136"/>
      <c r="M33" s="136"/>
      <c r="N33" s="136"/>
      <c r="O33" s="136"/>
      <c r="P33" s="136"/>
      <c r="Q33" s="136"/>
      <c r="R33" s="136"/>
      <c r="S33" s="136"/>
      <c r="T33" s="136"/>
      <c r="U33" s="136"/>
      <c r="V33" s="136"/>
      <c r="W33" s="136"/>
      <c r="X33" s="159"/>
      <c r="Z33" t="b">
        <f t="shared" si="0"/>
        <v>0</v>
      </c>
      <c r="AA33" t="s">
        <v>1616</v>
      </c>
      <c r="AB33" t="s">
        <v>940</v>
      </c>
      <c r="AC33" t="b">
        <v>1</v>
      </c>
    </row>
    <row r="34" spans="1:29" x14ac:dyDescent="0.25">
      <c r="A34" s="159"/>
      <c r="B34" s="171"/>
      <c r="C34" s="141" t="s">
        <v>516</v>
      </c>
      <c r="D34" s="136"/>
      <c r="E34" s="136"/>
      <c r="F34" s="136"/>
      <c r="G34" s="136"/>
      <c r="H34" s="136"/>
      <c r="I34" s="136"/>
      <c r="J34" s="136"/>
      <c r="K34" s="136"/>
      <c r="L34" s="136"/>
      <c r="M34" s="136"/>
      <c r="N34" s="136"/>
      <c r="O34" s="136"/>
      <c r="P34" s="136"/>
      <c r="Q34" s="136"/>
      <c r="R34" s="136"/>
      <c r="S34" s="136"/>
      <c r="T34" s="136"/>
      <c r="U34" s="136"/>
      <c r="V34" s="136"/>
      <c r="W34" s="136"/>
      <c r="X34" s="159"/>
      <c r="Z34" t="b">
        <f t="shared" si="0"/>
        <v>0</v>
      </c>
      <c r="AA34" t="s">
        <v>1616</v>
      </c>
      <c r="AB34" t="s">
        <v>941</v>
      </c>
      <c r="AC34" t="b">
        <v>1</v>
      </c>
    </row>
    <row r="35" spans="1:29" x14ac:dyDescent="0.25">
      <c r="A35" s="159"/>
      <c r="B35" s="171"/>
      <c r="C35" s="141" t="s">
        <v>1521</v>
      </c>
      <c r="D35" s="136"/>
      <c r="E35" s="136"/>
      <c r="F35" s="136"/>
      <c r="G35" s="136"/>
      <c r="H35" s="136"/>
      <c r="I35" s="136"/>
      <c r="J35" s="136"/>
      <c r="K35" s="136"/>
      <c r="L35" s="136"/>
      <c r="M35" s="136"/>
      <c r="N35" s="136"/>
      <c r="O35" s="136"/>
      <c r="P35" s="136"/>
      <c r="Q35" s="136"/>
      <c r="R35" s="136"/>
      <c r="S35" s="136"/>
      <c r="T35" s="136"/>
      <c r="U35" s="136"/>
      <c r="V35" s="136"/>
      <c r="W35" s="136"/>
      <c r="X35" s="159"/>
      <c r="Z35" t="b">
        <f t="shared" si="0"/>
        <v>0</v>
      </c>
      <c r="AA35" t="s">
        <v>1616</v>
      </c>
      <c r="AB35" t="s">
        <v>942</v>
      </c>
      <c r="AC35" t="b">
        <v>1</v>
      </c>
    </row>
    <row r="36" spans="1:29" x14ac:dyDescent="0.25">
      <c r="A36" s="159"/>
      <c r="B36" s="171"/>
      <c r="C36" s="141" t="s">
        <v>1522</v>
      </c>
      <c r="D36" s="136"/>
      <c r="E36" s="136"/>
      <c r="F36" s="136"/>
      <c r="G36" s="136"/>
      <c r="H36" s="136"/>
      <c r="I36" s="136"/>
      <c r="J36" s="136"/>
      <c r="K36" s="136"/>
      <c r="L36" s="136"/>
      <c r="M36" s="136"/>
      <c r="N36" s="136"/>
      <c r="O36" s="136"/>
      <c r="P36" s="136"/>
      <c r="Q36" s="136"/>
      <c r="R36" s="136"/>
      <c r="S36" s="136"/>
      <c r="T36" s="136"/>
      <c r="U36" s="136"/>
      <c r="V36" s="136"/>
      <c r="W36" s="136"/>
      <c r="X36" s="159"/>
      <c r="Z36" t="b">
        <f t="shared" si="0"/>
        <v>0</v>
      </c>
      <c r="AA36" t="s">
        <v>1616</v>
      </c>
      <c r="AB36" t="s">
        <v>943</v>
      </c>
      <c r="AC36" t="b">
        <v>1</v>
      </c>
    </row>
    <row r="37" spans="1:29" x14ac:dyDescent="0.25">
      <c r="A37" s="159"/>
      <c r="B37" s="171"/>
      <c r="C37" s="141" t="s">
        <v>524</v>
      </c>
      <c r="D37" s="136"/>
      <c r="E37" s="136"/>
      <c r="F37" s="136"/>
      <c r="G37" s="136"/>
      <c r="H37" s="136"/>
      <c r="I37" s="136"/>
      <c r="J37" s="136"/>
      <c r="K37" s="136"/>
      <c r="L37" s="136"/>
      <c r="M37" s="136"/>
      <c r="N37" s="136"/>
      <c r="O37" s="136"/>
      <c r="P37" s="136"/>
      <c r="Q37" s="136"/>
      <c r="R37" s="136"/>
      <c r="S37" s="136"/>
      <c r="T37" s="136"/>
      <c r="U37" s="136"/>
      <c r="V37" s="136"/>
      <c r="W37" s="136"/>
      <c r="X37" s="159"/>
      <c r="Z37" t="b">
        <f t="shared" si="0"/>
        <v>0</v>
      </c>
      <c r="AA37" t="s">
        <v>1616</v>
      </c>
      <c r="AB37" t="s">
        <v>1084</v>
      </c>
      <c r="AC37" t="b">
        <v>1</v>
      </c>
    </row>
    <row r="38" spans="1:29" x14ac:dyDescent="0.25">
      <c r="A38" s="159"/>
      <c r="B38" s="137"/>
      <c r="C38" s="141"/>
      <c r="D38" s="136"/>
      <c r="E38" s="136"/>
      <c r="F38" s="136"/>
      <c r="G38" s="136"/>
      <c r="H38" s="136"/>
      <c r="I38" s="136"/>
      <c r="J38" s="136"/>
      <c r="K38" s="136"/>
      <c r="L38" s="136"/>
      <c r="M38" s="136"/>
      <c r="N38" s="136"/>
      <c r="O38" s="136"/>
      <c r="P38" s="136"/>
      <c r="Q38" s="136"/>
      <c r="R38" s="136"/>
      <c r="S38" s="136"/>
      <c r="T38" s="136"/>
      <c r="U38" s="136"/>
      <c r="V38" s="136"/>
      <c r="W38" s="136"/>
      <c r="X38" s="159"/>
      <c r="Z38" t="b">
        <f t="shared" ref="Z38:Z69" si="1">AND(_xlfn.XLOOKUP(AA38,cmdTable,cmdSetting,"Off")="On",NOT(_xlfn.XLOOKUP(AA38,cmdTable,cmdDisabled,FALSE)))</f>
        <v>0</v>
      </c>
      <c r="AA38" t="s">
        <v>1616</v>
      </c>
    </row>
    <row r="39" spans="1:29" x14ac:dyDescent="0.25">
      <c r="A39" s="159"/>
      <c r="B39" s="139" t="s">
        <v>1620</v>
      </c>
      <c r="C39" s="141"/>
      <c r="D39" s="136"/>
      <c r="E39" s="136"/>
      <c r="F39" s="136"/>
      <c r="G39" s="136"/>
      <c r="H39" s="136"/>
      <c r="I39" s="136"/>
      <c r="J39" s="136"/>
      <c r="K39" s="136"/>
      <c r="L39" s="136"/>
      <c r="M39" s="136"/>
      <c r="N39" s="136"/>
      <c r="O39" s="136"/>
      <c r="P39" s="136"/>
      <c r="Q39" s="136"/>
      <c r="R39" s="136"/>
      <c r="S39" s="136"/>
      <c r="T39" s="136"/>
      <c r="U39" s="136"/>
      <c r="V39" s="136"/>
      <c r="W39" s="136"/>
      <c r="X39" s="159"/>
      <c r="Z39" t="b">
        <f t="shared" si="1"/>
        <v>0</v>
      </c>
      <c r="AA39" t="s">
        <v>1617</v>
      </c>
    </row>
    <row r="40" spans="1:29" x14ac:dyDescent="0.25">
      <c r="A40" s="159"/>
      <c r="B40" s="137"/>
      <c r="C40" s="141"/>
      <c r="D40" s="136"/>
      <c r="E40" s="136"/>
      <c r="F40" s="136"/>
      <c r="G40" s="136"/>
      <c r="H40" s="136"/>
      <c r="I40" s="136"/>
      <c r="J40" s="136"/>
      <c r="K40" s="136"/>
      <c r="L40" s="136"/>
      <c r="M40" s="136"/>
      <c r="N40" s="136"/>
      <c r="O40" s="136"/>
      <c r="P40" s="136"/>
      <c r="Q40" s="136"/>
      <c r="R40" s="136"/>
      <c r="S40" s="136"/>
      <c r="T40" s="136"/>
      <c r="U40" s="136"/>
      <c r="V40" s="136"/>
      <c r="W40" s="136"/>
      <c r="X40" s="159"/>
      <c r="Z40" t="b">
        <f t="shared" si="1"/>
        <v>0</v>
      </c>
      <c r="AA40" t="s">
        <v>1617</v>
      </c>
    </row>
    <row r="41" spans="1:29" x14ac:dyDescent="0.25">
      <c r="A41" s="159"/>
      <c r="B41" s="171"/>
      <c r="C41" s="141" t="s">
        <v>532</v>
      </c>
      <c r="D41" s="136"/>
      <c r="E41" s="136"/>
      <c r="F41" s="136"/>
      <c r="G41" s="136"/>
      <c r="H41" s="136"/>
      <c r="I41" s="136"/>
      <c r="J41" s="136"/>
      <c r="K41" s="136"/>
      <c r="L41" s="136"/>
      <c r="M41" s="136"/>
      <c r="N41" s="136"/>
      <c r="O41" s="136"/>
      <c r="P41" s="136"/>
      <c r="Q41" s="136"/>
      <c r="R41" s="136"/>
      <c r="S41" s="136"/>
      <c r="T41" s="136"/>
      <c r="U41" s="136"/>
      <c r="V41" s="136"/>
      <c r="W41" s="136"/>
      <c r="X41" s="159"/>
      <c r="Z41" t="b">
        <f t="shared" si="1"/>
        <v>0</v>
      </c>
      <c r="AA41" t="s">
        <v>1617</v>
      </c>
      <c r="AB41" t="s">
        <v>944</v>
      </c>
      <c r="AC41" t="b">
        <v>1</v>
      </c>
    </row>
    <row r="42" spans="1:29" x14ac:dyDescent="0.25">
      <c r="A42" s="159"/>
      <c r="B42" s="171"/>
      <c r="C42" s="141" t="s">
        <v>533</v>
      </c>
      <c r="D42" s="136"/>
      <c r="E42" s="136"/>
      <c r="F42" s="136"/>
      <c r="G42" s="136"/>
      <c r="H42" s="136"/>
      <c r="I42" s="136"/>
      <c r="J42" s="136"/>
      <c r="K42" s="136"/>
      <c r="L42" s="136"/>
      <c r="M42" s="136"/>
      <c r="N42" s="136"/>
      <c r="O42" s="136"/>
      <c r="P42" s="136"/>
      <c r="Q42" s="136"/>
      <c r="R42" s="136"/>
      <c r="S42" s="136"/>
      <c r="T42" s="136"/>
      <c r="U42" s="136"/>
      <c r="V42" s="136"/>
      <c r="W42" s="136"/>
      <c r="X42" s="159"/>
      <c r="Z42" t="b">
        <f t="shared" si="1"/>
        <v>0</v>
      </c>
      <c r="AA42" t="s">
        <v>1617</v>
      </c>
      <c r="AB42" t="s">
        <v>945</v>
      </c>
      <c r="AC42" t="b">
        <v>1</v>
      </c>
    </row>
    <row r="43" spans="1:29" x14ac:dyDescent="0.25">
      <c r="A43" s="159"/>
      <c r="B43" s="171"/>
      <c r="C43" s="141" t="s">
        <v>1523</v>
      </c>
      <c r="D43" s="136"/>
      <c r="E43" s="136"/>
      <c r="F43" s="136"/>
      <c r="G43" s="136"/>
      <c r="H43" s="136"/>
      <c r="I43" s="136"/>
      <c r="J43" s="136"/>
      <c r="K43" s="136"/>
      <c r="L43" s="136"/>
      <c r="M43" s="136"/>
      <c r="N43" s="136"/>
      <c r="O43" s="136"/>
      <c r="P43" s="136"/>
      <c r="Q43" s="136"/>
      <c r="R43" s="136"/>
      <c r="S43" s="136"/>
      <c r="T43" s="136"/>
      <c r="U43" s="136"/>
      <c r="V43" s="136"/>
      <c r="W43" s="136"/>
      <c r="X43" s="159"/>
      <c r="Z43" t="b">
        <f t="shared" si="1"/>
        <v>0</v>
      </c>
      <c r="AA43" t="s">
        <v>1617</v>
      </c>
      <c r="AB43" t="s">
        <v>946</v>
      </c>
      <c r="AC43" t="b">
        <v>1</v>
      </c>
    </row>
    <row r="44" spans="1:29" x14ac:dyDescent="0.25">
      <c r="A44" s="159"/>
      <c r="B44" s="171"/>
      <c r="C44" s="141" t="s">
        <v>535</v>
      </c>
      <c r="D44" s="136"/>
      <c r="E44" s="136"/>
      <c r="F44" s="136"/>
      <c r="G44" s="136"/>
      <c r="H44" s="136"/>
      <c r="I44" s="136"/>
      <c r="J44" s="136"/>
      <c r="K44" s="136"/>
      <c r="L44" s="136"/>
      <c r="M44" s="136"/>
      <c r="N44" s="136"/>
      <c r="O44" s="136"/>
      <c r="P44" s="136"/>
      <c r="Q44" s="136"/>
      <c r="R44" s="136"/>
      <c r="S44" s="136"/>
      <c r="T44" s="136"/>
      <c r="U44" s="136"/>
      <c r="V44" s="136"/>
      <c r="W44" s="136"/>
      <c r="X44" s="159"/>
      <c r="Z44" t="b">
        <f t="shared" si="1"/>
        <v>0</v>
      </c>
      <c r="AA44" t="s">
        <v>1617</v>
      </c>
      <c r="AB44" t="s">
        <v>947</v>
      </c>
      <c r="AC44" t="b">
        <v>1</v>
      </c>
    </row>
    <row r="45" spans="1:29" x14ac:dyDescent="0.25">
      <c r="A45" s="159"/>
      <c r="B45" s="171"/>
      <c r="C45" s="141" t="s">
        <v>536</v>
      </c>
      <c r="D45" s="136"/>
      <c r="E45" s="136"/>
      <c r="F45" s="136"/>
      <c r="G45" s="136"/>
      <c r="H45" s="136"/>
      <c r="I45" s="136"/>
      <c r="J45" s="136"/>
      <c r="K45" s="136"/>
      <c r="L45" s="136"/>
      <c r="M45" s="136"/>
      <c r="N45" s="136"/>
      <c r="O45" s="136"/>
      <c r="P45" s="136"/>
      <c r="Q45" s="136"/>
      <c r="R45" s="136"/>
      <c r="S45" s="136"/>
      <c r="T45" s="136"/>
      <c r="U45" s="136"/>
      <c r="V45" s="136"/>
      <c r="W45" s="136"/>
      <c r="X45" s="159"/>
      <c r="Z45" t="b">
        <f t="shared" si="1"/>
        <v>0</v>
      </c>
      <c r="AA45" t="s">
        <v>1617</v>
      </c>
      <c r="AB45" t="s">
        <v>948</v>
      </c>
      <c r="AC45" t="b">
        <v>1</v>
      </c>
    </row>
    <row r="46" spans="1:29" x14ac:dyDescent="0.25">
      <c r="A46" s="159"/>
      <c r="B46" s="171"/>
      <c r="C46" s="141" t="s">
        <v>537</v>
      </c>
      <c r="D46" s="136"/>
      <c r="E46" s="136"/>
      <c r="F46" s="136"/>
      <c r="G46" s="136"/>
      <c r="H46" s="136"/>
      <c r="I46" s="136"/>
      <c r="J46" s="136"/>
      <c r="K46" s="136"/>
      <c r="L46" s="136"/>
      <c r="M46" s="136"/>
      <c r="N46" s="136"/>
      <c r="O46" s="136"/>
      <c r="P46" s="136"/>
      <c r="Q46" s="136"/>
      <c r="R46" s="136"/>
      <c r="S46" s="136"/>
      <c r="T46" s="136"/>
      <c r="U46" s="136"/>
      <c r="V46" s="136"/>
      <c r="W46" s="136"/>
      <c r="X46" s="159"/>
      <c r="Z46" t="b">
        <f t="shared" si="1"/>
        <v>0</v>
      </c>
      <c r="AA46" t="s">
        <v>1617</v>
      </c>
      <c r="AB46" t="s">
        <v>949</v>
      </c>
      <c r="AC46" t="b">
        <v>1</v>
      </c>
    </row>
    <row r="47" spans="1:29" x14ac:dyDescent="0.25">
      <c r="A47" s="159"/>
      <c r="B47" s="171"/>
      <c r="C47" s="141" t="s">
        <v>538</v>
      </c>
      <c r="D47" s="136"/>
      <c r="E47" s="136"/>
      <c r="F47" s="136"/>
      <c r="G47" s="136"/>
      <c r="H47" s="136"/>
      <c r="I47" s="136"/>
      <c r="J47" s="136"/>
      <c r="K47" s="136"/>
      <c r="L47" s="136"/>
      <c r="M47" s="136"/>
      <c r="N47" s="136"/>
      <c r="O47" s="136"/>
      <c r="P47" s="136"/>
      <c r="Q47" s="136"/>
      <c r="R47" s="136"/>
      <c r="S47" s="136"/>
      <c r="T47" s="136"/>
      <c r="U47" s="136"/>
      <c r="V47" s="136"/>
      <c r="W47" s="136"/>
      <c r="X47" s="159"/>
      <c r="Z47" t="b">
        <f t="shared" si="1"/>
        <v>0</v>
      </c>
      <c r="AA47" t="s">
        <v>1617</v>
      </c>
      <c r="AB47" t="s">
        <v>950</v>
      </c>
      <c r="AC47" t="b">
        <v>1</v>
      </c>
    </row>
    <row r="48" spans="1:29" x14ac:dyDescent="0.25">
      <c r="A48" s="159"/>
      <c r="B48" s="171"/>
      <c r="C48" s="141" t="s">
        <v>539</v>
      </c>
      <c r="D48" s="136"/>
      <c r="E48" s="136"/>
      <c r="F48" s="136"/>
      <c r="G48" s="136"/>
      <c r="H48" s="136"/>
      <c r="I48" s="136"/>
      <c r="J48" s="136"/>
      <c r="K48" s="136"/>
      <c r="L48" s="136"/>
      <c r="M48" s="136"/>
      <c r="N48" s="136"/>
      <c r="O48" s="136"/>
      <c r="P48" s="136"/>
      <c r="Q48" s="136"/>
      <c r="R48" s="136"/>
      <c r="S48" s="136"/>
      <c r="T48" s="136"/>
      <c r="U48" s="136"/>
      <c r="V48" s="136"/>
      <c r="W48" s="136"/>
      <c r="X48" s="159"/>
      <c r="Z48" t="b">
        <f t="shared" si="1"/>
        <v>0</v>
      </c>
      <c r="AA48" t="s">
        <v>1617</v>
      </c>
      <c r="AB48" t="s">
        <v>951</v>
      </c>
      <c r="AC48" t="b">
        <v>1</v>
      </c>
    </row>
    <row r="49" spans="1:29" x14ac:dyDescent="0.25">
      <c r="A49" s="159"/>
      <c r="B49" s="171"/>
      <c r="C49" s="141" t="s">
        <v>1524</v>
      </c>
      <c r="D49" s="136"/>
      <c r="E49" s="136"/>
      <c r="F49" s="136"/>
      <c r="G49" s="136"/>
      <c r="H49" s="136"/>
      <c r="I49" s="136"/>
      <c r="J49" s="136"/>
      <c r="K49" s="136"/>
      <c r="L49" s="136"/>
      <c r="M49" s="136"/>
      <c r="N49" s="136"/>
      <c r="O49" s="136"/>
      <c r="P49" s="136"/>
      <c r="Q49" s="136"/>
      <c r="R49" s="136"/>
      <c r="S49" s="136"/>
      <c r="T49" s="136"/>
      <c r="U49" s="136"/>
      <c r="V49" s="136"/>
      <c r="W49" s="136"/>
      <c r="X49" s="159"/>
      <c r="Z49" t="b">
        <f t="shared" si="1"/>
        <v>0</v>
      </c>
      <c r="AA49" t="s">
        <v>1617</v>
      </c>
      <c r="AB49" t="s">
        <v>952</v>
      </c>
      <c r="AC49" t="b">
        <v>1</v>
      </c>
    </row>
    <row r="50" spans="1:29" x14ac:dyDescent="0.25">
      <c r="A50" s="159"/>
      <c r="B50" s="171"/>
      <c r="C50" s="141" t="s">
        <v>541</v>
      </c>
      <c r="D50" s="136"/>
      <c r="E50" s="136"/>
      <c r="F50" s="136"/>
      <c r="G50" s="136"/>
      <c r="H50" s="136"/>
      <c r="I50" s="136"/>
      <c r="J50" s="136"/>
      <c r="K50" s="136"/>
      <c r="L50" s="136"/>
      <c r="M50" s="136"/>
      <c r="N50" s="136"/>
      <c r="O50" s="136"/>
      <c r="P50" s="136"/>
      <c r="Q50" s="136"/>
      <c r="R50" s="136"/>
      <c r="S50" s="136"/>
      <c r="T50" s="136"/>
      <c r="U50" s="136"/>
      <c r="V50" s="136"/>
      <c r="W50" s="136"/>
      <c r="X50" s="159"/>
      <c r="Z50" t="b">
        <f t="shared" si="1"/>
        <v>0</v>
      </c>
      <c r="AA50" t="s">
        <v>1617</v>
      </c>
      <c r="AB50" t="s">
        <v>953</v>
      </c>
      <c r="AC50" t="b">
        <v>1</v>
      </c>
    </row>
    <row r="51" spans="1:29" x14ac:dyDescent="0.25">
      <c r="A51" s="159"/>
      <c r="B51" s="171"/>
      <c r="C51" s="141" t="s">
        <v>542</v>
      </c>
      <c r="D51" s="136"/>
      <c r="E51" s="136"/>
      <c r="F51" s="136"/>
      <c r="G51" s="136"/>
      <c r="H51" s="136"/>
      <c r="I51" s="136"/>
      <c r="J51" s="136"/>
      <c r="K51" s="136"/>
      <c r="L51" s="136"/>
      <c r="M51" s="136"/>
      <c r="N51" s="136"/>
      <c r="O51" s="136"/>
      <c r="P51" s="136"/>
      <c r="Q51" s="136"/>
      <c r="R51" s="136"/>
      <c r="S51" s="136"/>
      <c r="T51" s="136"/>
      <c r="U51" s="136"/>
      <c r="V51" s="136"/>
      <c r="W51" s="136"/>
      <c r="X51" s="159"/>
      <c r="Z51" t="b">
        <f t="shared" si="1"/>
        <v>0</v>
      </c>
      <c r="AA51" t="s">
        <v>1617</v>
      </c>
      <c r="AB51" t="s">
        <v>954</v>
      </c>
      <c r="AC51" t="b">
        <v>1</v>
      </c>
    </row>
    <row r="52" spans="1:29" x14ac:dyDescent="0.25">
      <c r="A52" s="159"/>
      <c r="B52" s="171"/>
      <c r="C52" s="141" t="s">
        <v>543</v>
      </c>
      <c r="D52" s="136"/>
      <c r="E52" s="136"/>
      <c r="F52" s="136"/>
      <c r="G52" s="136"/>
      <c r="H52" s="136"/>
      <c r="I52" s="136"/>
      <c r="J52" s="136"/>
      <c r="K52" s="136"/>
      <c r="L52" s="136"/>
      <c r="M52" s="136"/>
      <c r="N52" s="136"/>
      <c r="O52" s="136"/>
      <c r="P52" s="136"/>
      <c r="Q52" s="136"/>
      <c r="R52" s="136"/>
      <c r="S52" s="136"/>
      <c r="T52" s="136"/>
      <c r="U52" s="136"/>
      <c r="V52" s="136"/>
      <c r="W52" s="136"/>
      <c r="X52" s="159"/>
      <c r="Z52" t="b">
        <f t="shared" si="1"/>
        <v>0</v>
      </c>
      <c r="AA52" t="s">
        <v>1617</v>
      </c>
      <c r="AB52" t="s">
        <v>955</v>
      </c>
      <c r="AC52" t="b">
        <v>1</v>
      </c>
    </row>
    <row r="53" spans="1:29" x14ac:dyDescent="0.25">
      <c r="A53" s="159"/>
      <c r="B53" s="171"/>
      <c r="C53" s="141" t="s">
        <v>531</v>
      </c>
      <c r="D53" s="136"/>
      <c r="E53" s="136"/>
      <c r="F53" s="136"/>
      <c r="G53" s="136"/>
      <c r="H53" s="136"/>
      <c r="I53" s="136"/>
      <c r="J53" s="136"/>
      <c r="K53" s="136"/>
      <c r="L53" s="136"/>
      <c r="M53" s="136"/>
      <c r="N53" s="136"/>
      <c r="O53" s="136"/>
      <c r="P53" s="136"/>
      <c r="Q53" s="136"/>
      <c r="R53" s="136"/>
      <c r="S53" s="136"/>
      <c r="T53" s="136"/>
      <c r="U53" s="136"/>
      <c r="V53" s="136"/>
      <c r="W53" s="136"/>
      <c r="X53" s="159"/>
      <c r="Z53" t="b">
        <f t="shared" si="1"/>
        <v>0</v>
      </c>
      <c r="AA53" t="s">
        <v>1617</v>
      </c>
      <c r="AB53" t="s">
        <v>1085</v>
      </c>
      <c r="AC53" t="b">
        <v>1</v>
      </c>
    </row>
    <row r="54" spans="1:29" x14ac:dyDescent="0.25">
      <c r="A54" s="159"/>
      <c r="B54" s="171"/>
      <c r="C54" s="141" t="s">
        <v>525</v>
      </c>
      <c r="D54" s="136"/>
      <c r="E54" s="136"/>
      <c r="F54" s="136"/>
      <c r="G54" s="136"/>
      <c r="H54" s="136"/>
      <c r="I54" s="136"/>
      <c r="J54" s="136"/>
      <c r="K54" s="136"/>
      <c r="L54" s="136"/>
      <c r="M54" s="136"/>
      <c r="N54" s="136"/>
      <c r="O54" s="136"/>
      <c r="P54" s="136"/>
      <c r="Q54" s="136"/>
      <c r="R54" s="136"/>
      <c r="S54" s="136"/>
      <c r="T54" s="136"/>
      <c r="U54" s="136"/>
      <c r="V54" s="136"/>
      <c r="W54" s="136"/>
      <c r="X54" s="159"/>
      <c r="Z54" t="b">
        <f t="shared" si="1"/>
        <v>0</v>
      </c>
      <c r="AA54" t="s">
        <v>1617</v>
      </c>
      <c r="AB54" t="s">
        <v>956</v>
      </c>
      <c r="AC54" t="b">
        <v>1</v>
      </c>
    </row>
    <row r="55" spans="1:29" x14ac:dyDescent="0.25">
      <c r="A55" s="159"/>
      <c r="B55" s="171"/>
      <c r="C55" s="141" t="s">
        <v>526</v>
      </c>
      <c r="D55" s="136"/>
      <c r="E55" s="136"/>
      <c r="F55" s="136"/>
      <c r="G55" s="136"/>
      <c r="H55" s="136"/>
      <c r="I55" s="136"/>
      <c r="J55" s="136"/>
      <c r="K55" s="136"/>
      <c r="L55" s="136"/>
      <c r="M55" s="136"/>
      <c r="N55" s="136"/>
      <c r="O55" s="136"/>
      <c r="P55" s="136"/>
      <c r="Q55" s="136"/>
      <c r="R55" s="136"/>
      <c r="S55" s="136"/>
      <c r="T55" s="136"/>
      <c r="U55" s="136"/>
      <c r="V55" s="136"/>
      <c r="W55" s="136"/>
      <c r="X55" s="159"/>
      <c r="Z55" t="b">
        <f t="shared" si="1"/>
        <v>0</v>
      </c>
      <c r="AA55" t="s">
        <v>1617</v>
      </c>
      <c r="AB55" t="s">
        <v>957</v>
      </c>
      <c r="AC55" t="b">
        <v>1</v>
      </c>
    </row>
    <row r="56" spans="1:29" x14ac:dyDescent="0.25">
      <c r="A56" s="159"/>
      <c r="B56" s="171"/>
      <c r="C56" s="141" t="s">
        <v>527</v>
      </c>
      <c r="D56" s="136"/>
      <c r="E56" s="136"/>
      <c r="F56" s="136"/>
      <c r="G56" s="136"/>
      <c r="H56" s="136"/>
      <c r="I56" s="136"/>
      <c r="J56" s="136"/>
      <c r="K56" s="136"/>
      <c r="L56" s="136"/>
      <c r="M56" s="136"/>
      <c r="N56" s="136"/>
      <c r="O56" s="136"/>
      <c r="P56" s="136"/>
      <c r="Q56" s="136"/>
      <c r="R56" s="136"/>
      <c r="S56" s="136"/>
      <c r="T56" s="136"/>
      <c r="U56" s="136"/>
      <c r="V56" s="136"/>
      <c r="W56" s="136"/>
      <c r="X56" s="159"/>
      <c r="Z56" t="b">
        <f t="shared" si="1"/>
        <v>0</v>
      </c>
      <c r="AA56" t="s">
        <v>1617</v>
      </c>
      <c r="AB56" t="s">
        <v>958</v>
      </c>
      <c r="AC56" t="b">
        <v>1</v>
      </c>
    </row>
    <row r="57" spans="1:29" x14ac:dyDescent="0.25">
      <c r="A57" s="159"/>
      <c r="B57" s="171"/>
      <c r="C57" s="141" t="s">
        <v>528</v>
      </c>
      <c r="D57" s="136"/>
      <c r="E57" s="136"/>
      <c r="F57" s="136"/>
      <c r="G57" s="136"/>
      <c r="H57" s="136"/>
      <c r="I57" s="136"/>
      <c r="J57" s="136"/>
      <c r="K57" s="136"/>
      <c r="L57" s="136"/>
      <c r="M57" s="136"/>
      <c r="N57" s="136"/>
      <c r="O57" s="136"/>
      <c r="P57" s="136"/>
      <c r="Q57" s="136"/>
      <c r="R57" s="136"/>
      <c r="S57" s="136"/>
      <c r="T57" s="136"/>
      <c r="U57" s="136"/>
      <c r="V57" s="136"/>
      <c r="W57" s="136"/>
      <c r="X57" s="159"/>
      <c r="Z57" t="b">
        <f t="shared" si="1"/>
        <v>0</v>
      </c>
      <c r="AA57" t="s">
        <v>1617</v>
      </c>
      <c r="AB57" t="s">
        <v>959</v>
      </c>
      <c r="AC57" t="b">
        <v>1</v>
      </c>
    </row>
    <row r="58" spans="1:29" x14ac:dyDescent="0.25">
      <c r="A58" s="159"/>
      <c r="B58" s="171"/>
      <c r="C58" s="141" t="s">
        <v>529</v>
      </c>
      <c r="D58" s="136"/>
      <c r="E58" s="136"/>
      <c r="F58" s="136"/>
      <c r="G58" s="136"/>
      <c r="H58" s="136"/>
      <c r="I58" s="136"/>
      <c r="J58" s="136"/>
      <c r="K58" s="136"/>
      <c r="L58" s="136"/>
      <c r="M58" s="136"/>
      <c r="N58" s="136"/>
      <c r="O58" s="136"/>
      <c r="P58" s="136"/>
      <c r="Q58" s="136"/>
      <c r="R58" s="136"/>
      <c r="S58" s="136"/>
      <c r="T58" s="136"/>
      <c r="U58" s="136"/>
      <c r="V58" s="136"/>
      <c r="W58" s="136"/>
      <c r="X58" s="159"/>
      <c r="Z58" t="b">
        <f t="shared" si="1"/>
        <v>0</v>
      </c>
      <c r="AA58" t="s">
        <v>1617</v>
      </c>
      <c r="AB58" t="s">
        <v>960</v>
      </c>
      <c r="AC58" t="b">
        <v>1</v>
      </c>
    </row>
    <row r="59" spans="1:29" x14ac:dyDescent="0.25">
      <c r="A59" s="159"/>
      <c r="B59" s="171"/>
      <c r="C59" s="141" t="s">
        <v>530</v>
      </c>
      <c r="D59" s="136"/>
      <c r="E59" s="136"/>
      <c r="F59" s="136"/>
      <c r="G59" s="136"/>
      <c r="H59" s="136"/>
      <c r="I59" s="136"/>
      <c r="J59" s="136"/>
      <c r="K59" s="136"/>
      <c r="L59" s="136"/>
      <c r="M59" s="136"/>
      <c r="N59" s="136"/>
      <c r="O59" s="136"/>
      <c r="P59" s="136"/>
      <c r="Q59" s="136"/>
      <c r="R59" s="136"/>
      <c r="S59" s="136"/>
      <c r="T59" s="136"/>
      <c r="U59" s="136"/>
      <c r="V59" s="136"/>
      <c r="W59" s="136"/>
      <c r="X59" s="159"/>
      <c r="Z59" t="b">
        <f t="shared" si="1"/>
        <v>0</v>
      </c>
      <c r="AA59" t="s">
        <v>1617</v>
      </c>
      <c r="AB59" t="s">
        <v>1086</v>
      </c>
      <c r="AC59" t="b">
        <v>1</v>
      </c>
    </row>
    <row r="60" spans="1:29" x14ac:dyDescent="0.25">
      <c r="A60" s="159"/>
      <c r="B60" s="137"/>
      <c r="C60" s="141"/>
      <c r="D60" s="136"/>
      <c r="E60" s="136"/>
      <c r="F60" s="136"/>
      <c r="G60" s="136"/>
      <c r="H60" s="136"/>
      <c r="I60" s="136"/>
      <c r="J60" s="136"/>
      <c r="K60" s="136"/>
      <c r="L60" s="136"/>
      <c r="M60" s="136"/>
      <c r="N60" s="136"/>
      <c r="O60" s="136"/>
      <c r="P60" s="136"/>
      <c r="Q60" s="136"/>
      <c r="R60" s="136"/>
      <c r="S60" s="136"/>
      <c r="T60" s="136"/>
      <c r="U60" s="136"/>
      <c r="V60" s="136"/>
      <c r="W60" s="136"/>
      <c r="X60" s="159"/>
      <c r="Z60" t="b">
        <f t="shared" si="1"/>
        <v>0</v>
      </c>
      <c r="AA60" t="s">
        <v>1617</v>
      </c>
    </row>
    <row r="61" spans="1:29" x14ac:dyDescent="0.25">
      <c r="A61" s="159"/>
      <c r="B61" s="139" t="s">
        <v>3</v>
      </c>
      <c r="C61" s="141"/>
      <c r="D61" s="136"/>
      <c r="E61" s="136"/>
      <c r="F61" s="136"/>
      <c r="G61" s="136"/>
      <c r="H61" s="136"/>
      <c r="I61" s="136"/>
      <c r="J61" s="136"/>
      <c r="K61" s="136"/>
      <c r="L61" s="136"/>
      <c r="M61" s="136"/>
      <c r="N61" s="136"/>
      <c r="O61" s="136"/>
      <c r="P61" s="136"/>
      <c r="Q61" s="136"/>
      <c r="R61" s="136"/>
      <c r="S61" s="136"/>
      <c r="T61" s="136"/>
      <c r="U61" s="136"/>
      <c r="V61" s="136"/>
      <c r="W61" s="136"/>
      <c r="X61" s="159"/>
      <c r="Z61" t="b">
        <f t="shared" si="1"/>
        <v>0</v>
      </c>
      <c r="AA61" t="s">
        <v>1618</v>
      </c>
    </row>
    <row r="62" spans="1:29" x14ac:dyDescent="0.25">
      <c r="A62" s="159"/>
      <c r="B62" s="137"/>
      <c r="C62" s="141"/>
      <c r="D62" s="136"/>
      <c r="E62" s="136"/>
      <c r="F62" s="136"/>
      <c r="G62" s="136"/>
      <c r="H62" s="136"/>
      <c r="I62" s="136"/>
      <c r="J62" s="136"/>
      <c r="K62" s="136"/>
      <c r="L62" s="136"/>
      <c r="M62" s="136"/>
      <c r="N62" s="136"/>
      <c r="O62" s="136"/>
      <c r="P62" s="136"/>
      <c r="Q62" s="136"/>
      <c r="R62" s="136"/>
      <c r="S62" s="136"/>
      <c r="T62" s="136"/>
      <c r="U62" s="136"/>
      <c r="V62" s="136"/>
      <c r="W62" s="136"/>
      <c r="X62" s="159"/>
      <c r="Z62" t="b">
        <f t="shared" si="1"/>
        <v>0</v>
      </c>
      <c r="AA62" t="s">
        <v>1618</v>
      </c>
    </row>
    <row r="63" spans="1:29" x14ac:dyDescent="0.25">
      <c r="A63" s="159"/>
      <c r="B63" s="171"/>
      <c r="C63" s="141" t="s">
        <v>561</v>
      </c>
      <c r="D63" s="136"/>
      <c r="E63" s="136"/>
      <c r="F63" s="136"/>
      <c r="G63" s="136"/>
      <c r="H63" s="136"/>
      <c r="I63" s="136"/>
      <c r="J63" s="136"/>
      <c r="K63" s="136"/>
      <c r="L63" s="136"/>
      <c r="M63" s="136"/>
      <c r="N63" s="136"/>
      <c r="O63" s="136"/>
      <c r="P63" s="136"/>
      <c r="Q63" s="136"/>
      <c r="R63" s="136"/>
      <c r="S63" s="136"/>
      <c r="T63" s="136"/>
      <c r="U63" s="136"/>
      <c r="V63" s="136"/>
      <c r="W63" s="136"/>
      <c r="X63" s="159"/>
      <c r="Z63" t="b">
        <f t="shared" si="1"/>
        <v>0</v>
      </c>
      <c r="AA63" t="s">
        <v>1618</v>
      </c>
      <c r="AB63" t="s">
        <v>961</v>
      </c>
      <c r="AC63" t="b">
        <v>1</v>
      </c>
    </row>
    <row r="64" spans="1:29" x14ac:dyDescent="0.25">
      <c r="A64" s="159"/>
      <c r="B64" s="171"/>
      <c r="C64" s="141" t="s">
        <v>1529</v>
      </c>
      <c r="D64" s="136"/>
      <c r="E64" s="136"/>
      <c r="F64" s="136"/>
      <c r="G64" s="136"/>
      <c r="H64" s="136"/>
      <c r="I64" s="136"/>
      <c r="J64" s="136"/>
      <c r="K64" s="136"/>
      <c r="L64" s="136"/>
      <c r="M64" s="136"/>
      <c r="N64" s="136"/>
      <c r="O64" s="136"/>
      <c r="P64" s="136"/>
      <c r="Q64" s="136"/>
      <c r="R64" s="136"/>
      <c r="S64" s="136"/>
      <c r="T64" s="136"/>
      <c r="U64" s="136"/>
      <c r="V64" s="136"/>
      <c r="W64" s="136"/>
      <c r="X64" s="159"/>
      <c r="Z64" t="b">
        <f t="shared" si="1"/>
        <v>0</v>
      </c>
      <c r="AA64" t="s">
        <v>1618</v>
      </c>
      <c r="AB64" t="s">
        <v>962</v>
      </c>
      <c r="AC64" t="b">
        <v>1</v>
      </c>
    </row>
    <row r="65" spans="1:29" x14ac:dyDescent="0.25">
      <c r="A65" s="159"/>
      <c r="B65" s="171"/>
      <c r="C65" s="141" t="s">
        <v>562</v>
      </c>
      <c r="D65" s="136"/>
      <c r="E65" s="136"/>
      <c r="F65" s="136"/>
      <c r="G65" s="136"/>
      <c r="H65" s="136"/>
      <c r="I65" s="136"/>
      <c r="J65" s="136"/>
      <c r="K65" s="136"/>
      <c r="L65" s="136"/>
      <c r="M65" s="136"/>
      <c r="N65" s="136"/>
      <c r="O65" s="136"/>
      <c r="P65" s="136"/>
      <c r="Q65" s="136"/>
      <c r="R65" s="136"/>
      <c r="S65" s="136"/>
      <c r="T65" s="136"/>
      <c r="U65" s="136"/>
      <c r="V65" s="136"/>
      <c r="W65" s="136"/>
      <c r="X65" s="159"/>
      <c r="Z65" t="b">
        <f t="shared" si="1"/>
        <v>0</v>
      </c>
      <c r="AA65" t="s">
        <v>1618</v>
      </c>
      <c r="AB65" t="s">
        <v>963</v>
      </c>
      <c r="AC65" t="b">
        <v>1</v>
      </c>
    </row>
    <row r="66" spans="1:29" x14ac:dyDescent="0.25">
      <c r="A66" s="159"/>
      <c r="B66" s="171"/>
      <c r="C66" s="141" t="s">
        <v>563</v>
      </c>
      <c r="D66" s="136"/>
      <c r="E66" s="136"/>
      <c r="F66" s="136"/>
      <c r="G66" s="136"/>
      <c r="H66" s="136"/>
      <c r="I66" s="136"/>
      <c r="J66" s="136"/>
      <c r="K66" s="136"/>
      <c r="L66" s="136"/>
      <c r="M66" s="136"/>
      <c r="N66" s="136"/>
      <c r="O66" s="136"/>
      <c r="P66" s="136"/>
      <c r="Q66" s="136"/>
      <c r="R66" s="136"/>
      <c r="S66" s="136"/>
      <c r="T66" s="136"/>
      <c r="U66" s="136"/>
      <c r="V66" s="136"/>
      <c r="W66" s="136"/>
      <c r="X66" s="159"/>
      <c r="Z66" t="b">
        <f t="shared" si="1"/>
        <v>0</v>
      </c>
      <c r="AA66" t="s">
        <v>1618</v>
      </c>
      <c r="AB66" t="s">
        <v>964</v>
      </c>
      <c r="AC66" t="b">
        <v>1</v>
      </c>
    </row>
    <row r="67" spans="1:29" x14ac:dyDescent="0.25">
      <c r="A67" s="159"/>
      <c r="B67" s="171"/>
      <c r="C67" s="141" t="s">
        <v>564</v>
      </c>
      <c r="D67" s="136"/>
      <c r="E67" s="136"/>
      <c r="F67" s="136"/>
      <c r="G67" s="136"/>
      <c r="H67" s="136"/>
      <c r="I67" s="136"/>
      <c r="J67" s="136"/>
      <c r="K67" s="136"/>
      <c r="L67" s="136"/>
      <c r="M67" s="136"/>
      <c r="N67" s="136"/>
      <c r="O67" s="136"/>
      <c r="P67" s="136"/>
      <c r="Q67" s="136"/>
      <c r="R67" s="136"/>
      <c r="S67" s="136"/>
      <c r="T67" s="136"/>
      <c r="U67" s="136"/>
      <c r="V67" s="136"/>
      <c r="W67" s="136"/>
      <c r="X67" s="159"/>
      <c r="Z67" t="b">
        <f t="shared" si="1"/>
        <v>0</v>
      </c>
      <c r="AA67" t="s">
        <v>1618</v>
      </c>
      <c r="AB67" t="s">
        <v>1087</v>
      </c>
      <c r="AC67" t="b">
        <v>1</v>
      </c>
    </row>
    <row r="68" spans="1:29" x14ac:dyDescent="0.25">
      <c r="A68" s="159"/>
      <c r="B68" s="171"/>
      <c r="C68" s="141" t="s">
        <v>565</v>
      </c>
      <c r="D68" s="136"/>
      <c r="E68" s="136"/>
      <c r="F68" s="136"/>
      <c r="G68" s="136"/>
      <c r="H68" s="136"/>
      <c r="I68" s="136"/>
      <c r="J68" s="136"/>
      <c r="K68" s="136"/>
      <c r="L68" s="136"/>
      <c r="M68" s="136"/>
      <c r="N68" s="136"/>
      <c r="O68" s="136"/>
      <c r="P68" s="136"/>
      <c r="Q68" s="136"/>
      <c r="R68" s="136"/>
      <c r="S68" s="136"/>
      <c r="T68" s="136"/>
      <c r="U68" s="136"/>
      <c r="V68" s="136"/>
      <c r="W68" s="136"/>
      <c r="X68" s="159"/>
      <c r="Z68" t="b">
        <f t="shared" si="1"/>
        <v>0</v>
      </c>
      <c r="AA68" t="s">
        <v>1618</v>
      </c>
      <c r="AB68" t="s">
        <v>965</v>
      </c>
      <c r="AC68" t="b">
        <v>1</v>
      </c>
    </row>
    <row r="69" spans="1:29" x14ac:dyDescent="0.25">
      <c r="A69" s="159"/>
      <c r="B69" s="171"/>
      <c r="C69" s="141" t="s">
        <v>566</v>
      </c>
      <c r="D69" s="136"/>
      <c r="E69" s="136"/>
      <c r="F69" s="136"/>
      <c r="G69" s="136"/>
      <c r="H69" s="136"/>
      <c r="I69" s="136"/>
      <c r="J69" s="136"/>
      <c r="K69" s="136"/>
      <c r="L69" s="136"/>
      <c r="M69" s="136"/>
      <c r="N69" s="136"/>
      <c r="O69" s="136"/>
      <c r="P69" s="136"/>
      <c r="Q69" s="136"/>
      <c r="R69" s="136"/>
      <c r="S69" s="136"/>
      <c r="T69" s="136"/>
      <c r="U69" s="136"/>
      <c r="V69" s="136"/>
      <c r="W69" s="136"/>
      <c r="X69" s="159"/>
      <c r="Z69" t="b">
        <f t="shared" si="1"/>
        <v>0</v>
      </c>
      <c r="AA69" t="s">
        <v>1618</v>
      </c>
      <c r="AB69" t="s">
        <v>966</v>
      </c>
      <c r="AC69" t="b">
        <v>1</v>
      </c>
    </row>
    <row r="70" spans="1:29" x14ac:dyDescent="0.25">
      <c r="A70" s="159"/>
      <c r="B70" s="171"/>
      <c r="C70" s="141" t="s">
        <v>567</v>
      </c>
      <c r="D70" s="136"/>
      <c r="E70" s="136"/>
      <c r="F70" s="136"/>
      <c r="G70" s="136"/>
      <c r="H70" s="136"/>
      <c r="I70" s="136"/>
      <c r="J70" s="136"/>
      <c r="K70" s="136"/>
      <c r="L70" s="136"/>
      <c r="M70" s="136"/>
      <c r="N70" s="136"/>
      <c r="O70" s="136"/>
      <c r="P70" s="136"/>
      <c r="Q70" s="136"/>
      <c r="R70" s="136"/>
      <c r="S70" s="136"/>
      <c r="T70" s="136"/>
      <c r="U70" s="136"/>
      <c r="V70" s="136"/>
      <c r="W70" s="136"/>
      <c r="X70" s="159"/>
      <c r="Z70" t="b">
        <f t="shared" ref="Z70:Z101" si="2">AND(_xlfn.XLOOKUP(AA70,cmdTable,cmdSetting,"Off")="On",NOT(_xlfn.XLOOKUP(AA70,cmdTable,cmdDisabled,FALSE)))</f>
        <v>0</v>
      </c>
      <c r="AA70" t="s">
        <v>1618</v>
      </c>
      <c r="AB70" t="s">
        <v>967</v>
      </c>
      <c r="AC70" t="b">
        <v>1</v>
      </c>
    </row>
    <row r="71" spans="1:29" x14ac:dyDescent="0.25">
      <c r="A71" s="159"/>
      <c r="B71" s="171"/>
      <c r="C71" s="141" t="s">
        <v>568</v>
      </c>
      <c r="D71" s="136"/>
      <c r="E71" s="136"/>
      <c r="F71" s="136"/>
      <c r="G71" s="136"/>
      <c r="H71" s="136"/>
      <c r="I71" s="136"/>
      <c r="J71" s="136"/>
      <c r="K71" s="136"/>
      <c r="L71" s="136"/>
      <c r="M71" s="136"/>
      <c r="N71" s="136"/>
      <c r="O71" s="136"/>
      <c r="P71" s="136"/>
      <c r="Q71" s="136"/>
      <c r="R71" s="136"/>
      <c r="S71" s="136"/>
      <c r="T71" s="136"/>
      <c r="U71" s="136"/>
      <c r="V71" s="136"/>
      <c r="W71" s="136"/>
      <c r="X71" s="159"/>
      <c r="Z71" t="b">
        <f t="shared" si="2"/>
        <v>0</v>
      </c>
      <c r="AA71" t="s">
        <v>1618</v>
      </c>
      <c r="AB71" t="s">
        <v>968</v>
      </c>
      <c r="AC71" t="b">
        <v>1</v>
      </c>
    </row>
    <row r="72" spans="1:29" x14ac:dyDescent="0.25">
      <c r="A72" s="159"/>
      <c r="B72" s="171"/>
      <c r="C72" s="141" t="s">
        <v>569</v>
      </c>
      <c r="D72" s="136"/>
      <c r="E72" s="136"/>
      <c r="F72" s="136"/>
      <c r="G72" s="136"/>
      <c r="H72" s="136"/>
      <c r="I72" s="136"/>
      <c r="J72" s="136"/>
      <c r="K72" s="136"/>
      <c r="L72" s="136"/>
      <c r="M72" s="136"/>
      <c r="N72" s="136"/>
      <c r="O72" s="136"/>
      <c r="P72" s="136"/>
      <c r="Q72" s="136"/>
      <c r="R72" s="136"/>
      <c r="S72" s="136"/>
      <c r="T72" s="136"/>
      <c r="U72" s="136"/>
      <c r="V72" s="136"/>
      <c r="W72" s="136"/>
      <c r="X72" s="159"/>
      <c r="Z72" t="b">
        <f t="shared" si="2"/>
        <v>0</v>
      </c>
      <c r="AA72" t="s">
        <v>1618</v>
      </c>
      <c r="AB72" t="s">
        <v>969</v>
      </c>
      <c r="AC72" t="b">
        <v>1</v>
      </c>
    </row>
    <row r="73" spans="1:29" x14ac:dyDescent="0.25">
      <c r="A73" s="159"/>
      <c r="B73" s="171"/>
      <c r="C73" s="141" t="s">
        <v>570</v>
      </c>
      <c r="D73" s="136"/>
      <c r="E73" s="136"/>
      <c r="F73" s="136"/>
      <c r="G73" s="136"/>
      <c r="H73" s="136"/>
      <c r="I73" s="136"/>
      <c r="J73" s="136"/>
      <c r="K73" s="136"/>
      <c r="L73" s="136"/>
      <c r="M73" s="136"/>
      <c r="N73" s="136"/>
      <c r="O73" s="136"/>
      <c r="P73" s="136"/>
      <c r="Q73" s="136"/>
      <c r="R73" s="136"/>
      <c r="S73" s="136"/>
      <c r="T73" s="136"/>
      <c r="U73" s="136"/>
      <c r="V73" s="136"/>
      <c r="W73" s="136"/>
      <c r="X73" s="159"/>
      <c r="Z73" t="b">
        <f t="shared" si="2"/>
        <v>0</v>
      </c>
      <c r="AA73" t="s">
        <v>1618</v>
      </c>
      <c r="AB73" t="s">
        <v>1088</v>
      </c>
      <c r="AC73" t="b">
        <v>1</v>
      </c>
    </row>
    <row r="74" spans="1:29" x14ac:dyDescent="0.25">
      <c r="A74" s="159"/>
      <c r="B74" s="137"/>
      <c r="C74" s="141"/>
      <c r="D74" s="136"/>
      <c r="E74" s="136"/>
      <c r="F74" s="136"/>
      <c r="G74" s="136"/>
      <c r="H74" s="136"/>
      <c r="I74" s="136"/>
      <c r="J74" s="136"/>
      <c r="K74" s="136"/>
      <c r="L74" s="136"/>
      <c r="M74" s="136"/>
      <c r="N74" s="136"/>
      <c r="O74" s="136"/>
      <c r="P74" s="136"/>
      <c r="Q74" s="136"/>
      <c r="R74" s="136"/>
      <c r="S74" s="136"/>
      <c r="T74" s="136"/>
      <c r="U74" s="136"/>
      <c r="V74" s="136"/>
      <c r="W74" s="136"/>
      <c r="X74" s="159"/>
      <c r="Z74" t="b">
        <f t="shared" si="2"/>
        <v>0</v>
      </c>
      <c r="AA74" t="s">
        <v>1618</v>
      </c>
    </row>
    <row r="75" spans="1:29" x14ac:dyDescent="0.25">
      <c r="A75" s="159"/>
      <c r="B75" s="139" t="s">
        <v>1621</v>
      </c>
      <c r="C75" s="141"/>
      <c r="D75" s="136"/>
      <c r="E75" s="136"/>
      <c r="F75" s="136"/>
      <c r="G75" s="136"/>
      <c r="H75" s="136"/>
      <c r="I75" s="136"/>
      <c r="J75" s="136"/>
      <c r="K75" s="136"/>
      <c r="L75" s="136"/>
      <c r="M75" s="136"/>
      <c r="N75" s="136"/>
      <c r="O75" s="136"/>
      <c r="P75" s="136"/>
      <c r="Q75" s="136"/>
      <c r="R75" s="136"/>
      <c r="S75" s="136"/>
      <c r="T75" s="136"/>
      <c r="U75" s="136"/>
      <c r="V75" s="136"/>
      <c r="W75" s="136"/>
      <c r="X75" s="159"/>
      <c r="Z75" t="b">
        <f t="shared" si="2"/>
        <v>0</v>
      </c>
      <c r="AA75" t="s">
        <v>1619</v>
      </c>
    </row>
    <row r="76" spans="1:29" x14ac:dyDescent="0.25">
      <c r="A76" s="159"/>
      <c r="B76" s="137"/>
      <c r="C76" s="141"/>
      <c r="D76" s="136"/>
      <c r="E76" s="136"/>
      <c r="F76" s="136"/>
      <c r="G76" s="136"/>
      <c r="H76" s="136"/>
      <c r="I76" s="136"/>
      <c r="J76" s="136"/>
      <c r="K76" s="136"/>
      <c r="L76" s="136"/>
      <c r="M76" s="136"/>
      <c r="N76" s="136"/>
      <c r="O76" s="136"/>
      <c r="P76" s="136"/>
      <c r="Q76" s="136"/>
      <c r="R76" s="136"/>
      <c r="S76" s="136"/>
      <c r="T76" s="136"/>
      <c r="U76" s="136"/>
      <c r="V76" s="136"/>
      <c r="W76" s="136"/>
      <c r="X76" s="159"/>
      <c r="Z76" t="b">
        <f t="shared" si="2"/>
        <v>0</v>
      </c>
      <c r="AA76" t="s">
        <v>1619</v>
      </c>
    </row>
    <row r="77" spans="1:29" x14ac:dyDescent="0.25">
      <c r="A77" s="159"/>
      <c r="B77" s="171"/>
      <c r="C77" s="141" t="s">
        <v>590</v>
      </c>
      <c r="D77" s="136"/>
      <c r="E77" s="136"/>
      <c r="F77" s="136"/>
      <c r="G77" s="136"/>
      <c r="H77" s="136"/>
      <c r="I77" s="136"/>
      <c r="J77" s="136"/>
      <c r="K77" s="136"/>
      <c r="L77" s="136"/>
      <c r="M77" s="136"/>
      <c r="N77" s="136"/>
      <c r="O77" s="136"/>
      <c r="P77" s="136"/>
      <c r="Q77" s="136"/>
      <c r="R77" s="136"/>
      <c r="S77" s="136"/>
      <c r="T77" s="136"/>
      <c r="U77" s="136"/>
      <c r="V77" s="136"/>
      <c r="W77" s="136"/>
      <c r="X77" s="159"/>
      <c r="Z77" t="b">
        <f t="shared" si="2"/>
        <v>0</v>
      </c>
      <c r="AA77" t="s">
        <v>1619</v>
      </c>
      <c r="AB77" t="s">
        <v>970</v>
      </c>
      <c r="AC77" t="b">
        <v>1</v>
      </c>
    </row>
    <row r="78" spans="1:29" x14ac:dyDescent="0.25">
      <c r="A78" s="159"/>
      <c r="B78" s="171"/>
      <c r="C78" s="141" t="s">
        <v>591</v>
      </c>
      <c r="D78" s="136"/>
      <c r="E78" s="136"/>
      <c r="F78" s="136"/>
      <c r="G78" s="136"/>
      <c r="H78" s="136"/>
      <c r="I78" s="136"/>
      <c r="J78" s="136"/>
      <c r="K78" s="136"/>
      <c r="L78" s="136"/>
      <c r="M78" s="136"/>
      <c r="N78" s="136"/>
      <c r="O78" s="136"/>
      <c r="P78" s="136"/>
      <c r="Q78" s="136"/>
      <c r="R78" s="136"/>
      <c r="S78" s="136"/>
      <c r="T78" s="136"/>
      <c r="U78" s="136"/>
      <c r="V78" s="136"/>
      <c r="W78" s="136"/>
      <c r="X78" s="159"/>
      <c r="Z78" t="b">
        <f t="shared" si="2"/>
        <v>0</v>
      </c>
      <c r="AA78" t="s">
        <v>1619</v>
      </c>
      <c r="AB78" t="s">
        <v>971</v>
      </c>
      <c r="AC78" t="b">
        <v>1</v>
      </c>
    </row>
    <row r="79" spans="1:29" x14ac:dyDescent="0.25">
      <c r="A79" s="159"/>
      <c r="B79" s="171"/>
      <c r="C79" s="141" t="s">
        <v>592</v>
      </c>
      <c r="D79" s="136"/>
      <c r="E79" s="136"/>
      <c r="F79" s="136"/>
      <c r="G79" s="136"/>
      <c r="H79" s="136"/>
      <c r="I79" s="136"/>
      <c r="J79" s="136"/>
      <c r="K79" s="136"/>
      <c r="L79" s="136"/>
      <c r="M79" s="136"/>
      <c r="N79" s="136"/>
      <c r="O79" s="136"/>
      <c r="P79" s="136"/>
      <c r="Q79" s="136"/>
      <c r="R79" s="136"/>
      <c r="S79" s="136"/>
      <c r="T79" s="136"/>
      <c r="U79" s="136"/>
      <c r="V79" s="136"/>
      <c r="W79" s="136"/>
      <c r="X79" s="159"/>
      <c r="Z79" t="b">
        <f t="shared" si="2"/>
        <v>0</v>
      </c>
      <c r="AA79" t="s">
        <v>1619</v>
      </c>
      <c r="AB79" t="s">
        <v>972</v>
      </c>
      <c r="AC79" t="b">
        <v>1</v>
      </c>
    </row>
    <row r="80" spans="1:29" x14ac:dyDescent="0.25">
      <c r="A80" s="159"/>
      <c r="B80" s="171"/>
      <c r="C80" s="141" t="s">
        <v>593</v>
      </c>
      <c r="D80" s="136"/>
      <c r="E80" s="136"/>
      <c r="F80" s="136"/>
      <c r="G80" s="136"/>
      <c r="H80" s="136"/>
      <c r="I80" s="136"/>
      <c r="J80" s="136"/>
      <c r="K80" s="136"/>
      <c r="L80" s="136"/>
      <c r="M80" s="136"/>
      <c r="N80" s="136"/>
      <c r="O80" s="136"/>
      <c r="P80" s="136"/>
      <c r="Q80" s="136"/>
      <c r="R80" s="136"/>
      <c r="S80" s="136"/>
      <c r="T80" s="136"/>
      <c r="U80" s="136"/>
      <c r="V80" s="136"/>
      <c r="W80" s="136"/>
      <c r="X80" s="159"/>
      <c r="Z80" t="b">
        <f t="shared" si="2"/>
        <v>0</v>
      </c>
      <c r="AA80" t="s">
        <v>1619</v>
      </c>
      <c r="AB80" t="s">
        <v>973</v>
      </c>
      <c r="AC80" t="b">
        <v>1</v>
      </c>
    </row>
    <row r="81" spans="1:29" x14ac:dyDescent="0.25">
      <c r="A81" s="159"/>
      <c r="B81" s="171"/>
      <c r="C81" s="141" t="s">
        <v>594</v>
      </c>
      <c r="D81" s="136"/>
      <c r="E81" s="136"/>
      <c r="F81" s="136"/>
      <c r="G81" s="136"/>
      <c r="H81" s="136"/>
      <c r="I81" s="136"/>
      <c r="J81" s="136"/>
      <c r="K81" s="136"/>
      <c r="L81" s="136"/>
      <c r="M81" s="136"/>
      <c r="N81" s="136"/>
      <c r="O81" s="136"/>
      <c r="P81" s="136"/>
      <c r="Q81" s="136"/>
      <c r="R81" s="136"/>
      <c r="S81" s="136"/>
      <c r="T81" s="136"/>
      <c r="U81" s="136"/>
      <c r="V81" s="136"/>
      <c r="W81" s="136"/>
      <c r="X81" s="159"/>
      <c r="Z81" t="b">
        <f t="shared" si="2"/>
        <v>0</v>
      </c>
      <c r="AA81" t="s">
        <v>1619</v>
      </c>
      <c r="AB81" t="s">
        <v>974</v>
      </c>
      <c r="AC81" t="b">
        <v>1</v>
      </c>
    </row>
    <row r="82" spans="1:29" x14ac:dyDescent="0.25">
      <c r="A82" s="159"/>
      <c r="B82" s="171"/>
      <c r="C82" s="141" t="s">
        <v>588</v>
      </c>
      <c r="D82" s="136"/>
      <c r="E82" s="136"/>
      <c r="F82" s="136"/>
      <c r="G82" s="136"/>
      <c r="H82" s="136"/>
      <c r="I82" s="136"/>
      <c r="J82" s="136"/>
      <c r="K82" s="136"/>
      <c r="L82" s="136"/>
      <c r="M82" s="136"/>
      <c r="N82" s="136"/>
      <c r="O82" s="136"/>
      <c r="P82" s="136"/>
      <c r="Q82" s="136"/>
      <c r="R82" s="136"/>
      <c r="S82" s="136"/>
      <c r="T82" s="136"/>
      <c r="U82" s="136"/>
      <c r="V82" s="136"/>
      <c r="W82" s="136"/>
      <c r="X82" s="159"/>
      <c r="Z82" t="b">
        <f t="shared" si="2"/>
        <v>0</v>
      </c>
      <c r="AA82" t="s">
        <v>1619</v>
      </c>
      <c r="AB82" t="s">
        <v>1089</v>
      </c>
      <c r="AC82" t="b">
        <v>1</v>
      </c>
    </row>
    <row r="83" spans="1:29" x14ac:dyDescent="0.25">
      <c r="A83" s="159"/>
      <c r="B83" s="171"/>
      <c r="C83" s="141" t="s">
        <v>595</v>
      </c>
      <c r="D83" s="136"/>
      <c r="E83" s="136"/>
      <c r="F83" s="136"/>
      <c r="G83" s="136"/>
      <c r="H83" s="136"/>
      <c r="I83" s="136"/>
      <c r="J83" s="136"/>
      <c r="K83" s="136"/>
      <c r="L83" s="136"/>
      <c r="M83" s="136"/>
      <c r="N83" s="136"/>
      <c r="O83" s="136"/>
      <c r="P83" s="136"/>
      <c r="Q83" s="136"/>
      <c r="R83" s="136"/>
      <c r="S83" s="136"/>
      <c r="T83" s="136"/>
      <c r="U83" s="136"/>
      <c r="V83" s="136"/>
      <c r="W83" s="136"/>
      <c r="X83" s="159"/>
      <c r="Z83" t="b">
        <f t="shared" si="2"/>
        <v>0</v>
      </c>
      <c r="AA83" t="s">
        <v>1619</v>
      </c>
      <c r="AB83" t="s">
        <v>975</v>
      </c>
      <c r="AC83" t="b">
        <v>1</v>
      </c>
    </row>
    <row r="84" spans="1:29" x14ac:dyDescent="0.25">
      <c r="A84" s="159"/>
      <c r="B84" s="171"/>
      <c r="C84" s="141" t="s">
        <v>596</v>
      </c>
      <c r="D84" s="136"/>
      <c r="E84" s="136"/>
      <c r="F84" s="136"/>
      <c r="G84" s="136"/>
      <c r="H84" s="136"/>
      <c r="I84" s="136"/>
      <c r="J84" s="136"/>
      <c r="K84" s="136"/>
      <c r="L84" s="136"/>
      <c r="M84" s="136"/>
      <c r="N84" s="136"/>
      <c r="O84" s="136"/>
      <c r="P84" s="136"/>
      <c r="Q84" s="136"/>
      <c r="R84" s="136"/>
      <c r="S84" s="136"/>
      <c r="T84" s="136"/>
      <c r="U84" s="136"/>
      <c r="V84" s="136"/>
      <c r="W84" s="136"/>
      <c r="X84" s="159"/>
      <c r="Z84" t="b">
        <f t="shared" si="2"/>
        <v>0</v>
      </c>
      <c r="AA84" t="s">
        <v>1619</v>
      </c>
      <c r="AB84" t="s">
        <v>976</v>
      </c>
      <c r="AC84" t="b">
        <v>1</v>
      </c>
    </row>
    <row r="85" spans="1:29" x14ac:dyDescent="0.25">
      <c r="A85" s="159"/>
      <c r="B85" s="171"/>
      <c r="C85" s="141" t="s">
        <v>597</v>
      </c>
      <c r="D85" s="136"/>
      <c r="E85" s="136"/>
      <c r="F85" s="136"/>
      <c r="G85" s="136"/>
      <c r="H85" s="136"/>
      <c r="I85" s="136"/>
      <c r="J85" s="136"/>
      <c r="K85" s="136"/>
      <c r="L85" s="136"/>
      <c r="M85" s="136"/>
      <c r="N85" s="136"/>
      <c r="O85" s="136"/>
      <c r="P85" s="136"/>
      <c r="Q85" s="136"/>
      <c r="R85" s="136"/>
      <c r="S85" s="136"/>
      <c r="T85" s="136"/>
      <c r="U85" s="136"/>
      <c r="V85" s="136"/>
      <c r="W85" s="136"/>
      <c r="X85" s="159"/>
      <c r="Z85" t="b">
        <f t="shared" si="2"/>
        <v>0</v>
      </c>
      <c r="AA85" t="s">
        <v>1619</v>
      </c>
      <c r="AB85" t="s">
        <v>977</v>
      </c>
      <c r="AC85" t="b">
        <v>1</v>
      </c>
    </row>
    <row r="86" spans="1:29" x14ac:dyDescent="0.25">
      <c r="A86" s="159"/>
      <c r="B86" s="171"/>
      <c r="C86" s="141" t="s">
        <v>598</v>
      </c>
      <c r="D86" s="136"/>
      <c r="E86" s="136"/>
      <c r="F86" s="136"/>
      <c r="G86" s="136"/>
      <c r="H86" s="136"/>
      <c r="I86" s="136"/>
      <c r="J86" s="136"/>
      <c r="K86" s="136"/>
      <c r="L86" s="136"/>
      <c r="M86" s="136"/>
      <c r="N86" s="136"/>
      <c r="O86" s="136"/>
      <c r="P86" s="136"/>
      <c r="Q86" s="136"/>
      <c r="R86" s="136"/>
      <c r="S86" s="136"/>
      <c r="T86" s="136"/>
      <c r="U86" s="136"/>
      <c r="V86" s="136"/>
      <c r="W86" s="136"/>
      <c r="X86" s="159"/>
      <c r="Z86" t="b">
        <f t="shared" si="2"/>
        <v>0</v>
      </c>
      <c r="AA86" t="s">
        <v>1619</v>
      </c>
      <c r="AB86" t="s">
        <v>978</v>
      </c>
      <c r="AC86" t="b">
        <v>1</v>
      </c>
    </row>
    <row r="87" spans="1:29" x14ac:dyDescent="0.25">
      <c r="A87" s="159"/>
      <c r="B87" s="171"/>
      <c r="C87" s="141" t="s">
        <v>599</v>
      </c>
      <c r="D87" s="136"/>
      <c r="E87" s="136"/>
      <c r="F87" s="136"/>
      <c r="G87" s="136"/>
      <c r="H87" s="136"/>
      <c r="I87" s="136"/>
      <c r="J87" s="136"/>
      <c r="K87" s="136"/>
      <c r="L87" s="136"/>
      <c r="M87" s="136"/>
      <c r="N87" s="136"/>
      <c r="O87" s="136"/>
      <c r="P87" s="136"/>
      <c r="Q87" s="136"/>
      <c r="R87" s="136"/>
      <c r="S87" s="136"/>
      <c r="T87" s="136"/>
      <c r="U87" s="136"/>
      <c r="V87" s="136"/>
      <c r="W87" s="136"/>
      <c r="X87" s="159"/>
      <c r="Z87" t="b">
        <f t="shared" si="2"/>
        <v>0</v>
      </c>
      <c r="AA87" t="s">
        <v>1619</v>
      </c>
      <c r="AB87" t="s">
        <v>979</v>
      </c>
      <c r="AC87" t="b">
        <v>1</v>
      </c>
    </row>
    <row r="88" spans="1:29" x14ac:dyDescent="0.25">
      <c r="A88" s="159"/>
      <c r="B88" s="171"/>
      <c r="C88" s="141" t="s">
        <v>600</v>
      </c>
      <c r="D88" s="136"/>
      <c r="E88" s="136"/>
      <c r="F88" s="136"/>
      <c r="G88" s="136"/>
      <c r="H88" s="136"/>
      <c r="I88" s="136"/>
      <c r="J88" s="136"/>
      <c r="K88" s="136"/>
      <c r="L88" s="136"/>
      <c r="M88" s="136"/>
      <c r="N88" s="136"/>
      <c r="O88" s="136"/>
      <c r="P88" s="136"/>
      <c r="Q88" s="136"/>
      <c r="R88" s="136"/>
      <c r="S88" s="136"/>
      <c r="T88" s="136"/>
      <c r="U88" s="136"/>
      <c r="V88" s="136"/>
      <c r="W88" s="136"/>
      <c r="X88" s="159"/>
      <c r="Z88" t="b">
        <f t="shared" si="2"/>
        <v>0</v>
      </c>
      <c r="AA88" t="s">
        <v>1619</v>
      </c>
      <c r="AB88" t="s">
        <v>980</v>
      </c>
      <c r="AC88" t="b">
        <v>1</v>
      </c>
    </row>
    <row r="89" spans="1:29" x14ac:dyDescent="0.25">
      <c r="A89" s="159"/>
      <c r="B89" s="171"/>
      <c r="C89" s="141" t="s">
        <v>601</v>
      </c>
      <c r="D89" s="136"/>
      <c r="E89" s="136"/>
      <c r="F89" s="136"/>
      <c r="G89" s="136"/>
      <c r="H89" s="136"/>
      <c r="I89" s="136"/>
      <c r="J89" s="136"/>
      <c r="K89" s="136"/>
      <c r="L89" s="136"/>
      <c r="M89" s="136"/>
      <c r="N89" s="136"/>
      <c r="O89" s="136"/>
      <c r="P89" s="136"/>
      <c r="Q89" s="136"/>
      <c r="R89" s="136"/>
      <c r="S89" s="136"/>
      <c r="T89" s="136"/>
      <c r="U89" s="136"/>
      <c r="V89" s="136"/>
      <c r="W89" s="136"/>
      <c r="X89" s="159"/>
      <c r="Z89" t="b">
        <f t="shared" si="2"/>
        <v>0</v>
      </c>
      <c r="AA89" t="s">
        <v>1619</v>
      </c>
      <c r="AB89" t="s">
        <v>981</v>
      </c>
      <c r="AC89" t="b">
        <v>1</v>
      </c>
    </row>
    <row r="90" spans="1:29" x14ac:dyDescent="0.25">
      <c r="A90" s="159"/>
      <c r="B90" s="171"/>
      <c r="C90" s="141" t="s">
        <v>1531</v>
      </c>
      <c r="D90" s="136"/>
      <c r="E90" s="136"/>
      <c r="F90" s="136"/>
      <c r="G90" s="136"/>
      <c r="H90" s="136"/>
      <c r="I90" s="136"/>
      <c r="J90" s="136"/>
      <c r="K90" s="136"/>
      <c r="L90" s="136"/>
      <c r="M90" s="136"/>
      <c r="N90" s="136"/>
      <c r="O90" s="136"/>
      <c r="P90" s="136"/>
      <c r="Q90" s="136"/>
      <c r="R90" s="136"/>
      <c r="S90" s="136"/>
      <c r="T90" s="136"/>
      <c r="U90" s="136"/>
      <c r="V90" s="136"/>
      <c r="W90" s="136"/>
      <c r="X90" s="159"/>
      <c r="Z90" t="b">
        <f t="shared" si="2"/>
        <v>0</v>
      </c>
      <c r="AA90" t="s">
        <v>1619</v>
      </c>
      <c r="AB90" t="s">
        <v>982</v>
      </c>
      <c r="AC90" t="b">
        <v>1</v>
      </c>
    </row>
    <row r="91" spans="1:29" x14ac:dyDescent="0.25">
      <c r="A91" s="159"/>
      <c r="B91" s="171"/>
      <c r="C91" s="141" t="s">
        <v>602</v>
      </c>
      <c r="D91" s="136"/>
      <c r="E91" s="136"/>
      <c r="F91" s="136"/>
      <c r="G91" s="136"/>
      <c r="H91" s="136"/>
      <c r="I91" s="136"/>
      <c r="J91" s="136"/>
      <c r="K91" s="136"/>
      <c r="L91" s="136"/>
      <c r="M91" s="136"/>
      <c r="N91" s="136"/>
      <c r="O91" s="136"/>
      <c r="P91" s="136"/>
      <c r="Q91" s="136"/>
      <c r="R91" s="136"/>
      <c r="S91" s="136"/>
      <c r="T91" s="136"/>
      <c r="U91" s="136"/>
      <c r="V91" s="136"/>
      <c r="W91" s="136"/>
      <c r="X91" s="159"/>
      <c r="Z91" t="b">
        <f t="shared" si="2"/>
        <v>0</v>
      </c>
      <c r="AA91" t="s">
        <v>1619</v>
      </c>
      <c r="AB91" t="s">
        <v>983</v>
      </c>
      <c r="AC91" t="b">
        <v>1</v>
      </c>
    </row>
    <row r="92" spans="1:29" x14ac:dyDescent="0.25">
      <c r="A92" s="159"/>
      <c r="B92" s="171"/>
      <c r="C92" s="141" t="s">
        <v>603</v>
      </c>
      <c r="D92" s="136"/>
      <c r="E92" s="136"/>
      <c r="F92" s="136"/>
      <c r="G92" s="136"/>
      <c r="H92" s="136"/>
      <c r="I92" s="136"/>
      <c r="J92" s="136"/>
      <c r="K92" s="136"/>
      <c r="L92" s="136"/>
      <c r="M92" s="136"/>
      <c r="N92" s="136"/>
      <c r="O92" s="136"/>
      <c r="P92" s="136"/>
      <c r="Q92" s="136"/>
      <c r="R92" s="136"/>
      <c r="S92" s="136"/>
      <c r="T92" s="136"/>
      <c r="U92" s="136"/>
      <c r="V92" s="136"/>
      <c r="W92" s="136"/>
      <c r="X92" s="159"/>
      <c r="Z92" t="b">
        <f t="shared" si="2"/>
        <v>0</v>
      </c>
      <c r="AA92" t="s">
        <v>1619</v>
      </c>
      <c r="AB92" t="s">
        <v>984</v>
      </c>
      <c r="AC92" t="b">
        <v>1</v>
      </c>
    </row>
    <row r="93" spans="1:29" x14ac:dyDescent="0.25">
      <c r="A93" s="159"/>
      <c r="B93" s="171"/>
      <c r="C93" s="141" t="s">
        <v>604</v>
      </c>
      <c r="D93" s="136"/>
      <c r="E93" s="136"/>
      <c r="F93" s="136"/>
      <c r="G93" s="136"/>
      <c r="H93" s="136"/>
      <c r="I93" s="136"/>
      <c r="J93" s="136"/>
      <c r="K93" s="136"/>
      <c r="L93" s="136"/>
      <c r="M93" s="136"/>
      <c r="N93" s="136"/>
      <c r="O93" s="136"/>
      <c r="P93" s="136"/>
      <c r="Q93" s="136"/>
      <c r="R93" s="136"/>
      <c r="S93" s="136"/>
      <c r="T93" s="136"/>
      <c r="U93" s="136"/>
      <c r="V93" s="136"/>
      <c r="W93" s="136"/>
      <c r="X93" s="159"/>
      <c r="Z93" t="b">
        <f t="shared" si="2"/>
        <v>0</v>
      </c>
      <c r="AA93" t="s">
        <v>1619</v>
      </c>
      <c r="AB93" t="s">
        <v>985</v>
      </c>
      <c r="AC93" t="b">
        <v>1</v>
      </c>
    </row>
    <row r="94" spans="1:29" x14ac:dyDescent="0.25">
      <c r="A94" s="159"/>
      <c r="B94" s="171"/>
      <c r="C94" s="141" t="s">
        <v>605</v>
      </c>
      <c r="D94" s="136"/>
      <c r="E94" s="136"/>
      <c r="F94" s="136"/>
      <c r="G94" s="136"/>
      <c r="H94" s="136"/>
      <c r="I94" s="136"/>
      <c r="J94" s="136"/>
      <c r="K94" s="136"/>
      <c r="L94" s="136"/>
      <c r="M94" s="136"/>
      <c r="N94" s="136"/>
      <c r="O94" s="136"/>
      <c r="P94" s="136"/>
      <c r="Q94" s="136"/>
      <c r="R94" s="136"/>
      <c r="S94" s="136"/>
      <c r="T94" s="136"/>
      <c r="U94" s="136"/>
      <c r="V94" s="136"/>
      <c r="W94" s="136"/>
      <c r="X94" s="159"/>
      <c r="Z94" t="b">
        <f t="shared" si="2"/>
        <v>0</v>
      </c>
      <c r="AA94" t="s">
        <v>1619</v>
      </c>
      <c r="AB94" t="s">
        <v>986</v>
      </c>
      <c r="AC94" t="b">
        <v>1</v>
      </c>
    </row>
    <row r="95" spans="1:29" x14ac:dyDescent="0.25">
      <c r="A95" s="159"/>
      <c r="B95" s="171"/>
      <c r="C95" s="141" t="s">
        <v>606</v>
      </c>
      <c r="D95" s="136"/>
      <c r="E95" s="136"/>
      <c r="F95" s="136"/>
      <c r="G95" s="136"/>
      <c r="H95" s="136"/>
      <c r="I95" s="136"/>
      <c r="J95" s="136"/>
      <c r="K95" s="136"/>
      <c r="L95" s="136"/>
      <c r="M95" s="136"/>
      <c r="N95" s="136"/>
      <c r="O95" s="136"/>
      <c r="P95" s="136"/>
      <c r="Q95" s="136"/>
      <c r="R95" s="136"/>
      <c r="S95" s="136"/>
      <c r="T95" s="136"/>
      <c r="U95" s="136"/>
      <c r="V95" s="136"/>
      <c r="W95" s="136"/>
      <c r="X95" s="159"/>
      <c r="Z95" t="b">
        <f t="shared" si="2"/>
        <v>0</v>
      </c>
      <c r="AA95" t="s">
        <v>1619</v>
      </c>
      <c r="AB95" t="s">
        <v>987</v>
      </c>
      <c r="AC95" t="b">
        <v>1</v>
      </c>
    </row>
    <row r="96" spans="1:29" x14ac:dyDescent="0.25">
      <c r="A96" s="159"/>
      <c r="B96" s="171"/>
      <c r="C96" s="141" t="s">
        <v>607</v>
      </c>
      <c r="D96" s="136"/>
      <c r="E96" s="136"/>
      <c r="F96" s="136"/>
      <c r="G96" s="136"/>
      <c r="H96" s="136"/>
      <c r="I96" s="136"/>
      <c r="J96" s="136"/>
      <c r="K96" s="136"/>
      <c r="L96" s="136"/>
      <c r="M96" s="136"/>
      <c r="N96" s="136"/>
      <c r="O96" s="136"/>
      <c r="P96" s="136"/>
      <c r="Q96" s="136"/>
      <c r="R96" s="136"/>
      <c r="S96" s="136"/>
      <c r="T96" s="136"/>
      <c r="U96" s="136"/>
      <c r="V96" s="136"/>
      <c r="W96" s="136"/>
      <c r="X96" s="159"/>
      <c r="Z96" t="b">
        <f t="shared" si="2"/>
        <v>0</v>
      </c>
      <c r="AA96" t="s">
        <v>1619</v>
      </c>
      <c r="AB96" t="s">
        <v>988</v>
      </c>
      <c r="AC96" t="b">
        <v>1</v>
      </c>
    </row>
    <row r="97" spans="1:29" x14ac:dyDescent="0.25">
      <c r="A97" s="159"/>
      <c r="B97" s="171"/>
      <c r="C97" s="141" t="s">
        <v>608</v>
      </c>
      <c r="D97" s="136"/>
      <c r="E97" s="136"/>
      <c r="F97" s="136"/>
      <c r="G97" s="136"/>
      <c r="H97" s="136"/>
      <c r="I97" s="136"/>
      <c r="J97" s="136"/>
      <c r="K97" s="136"/>
      <c r="L97" s="136"/>
      <c r="M97" s="136"/>
      <c r="N97" s="136"/>
      <c r="O97" s="136"/>
      <c r="P97" s="136"/>
      <c r="Q97" s="136"/>
      <c r="R97" s="136"/>
      <c r="S97" s="136"/>
      <c r="T97" s="136"/>
      <c r="U97" s="136"/>
      <c r="V97" s="136"/>
      <c r="W97" s="136"/>
      <c r="X97" s="159"/>
      <c r="Z97" t="b">
        <f t="shared" si="2"/>
        <v>0</v>
      </c>
      <c r="AA97" t="s">
        <v>1619</v>
      </c>
      <c r="AB97" t="s">
        <v>989</v>
      </c>
      <c r="AC97" t="b">
        <v>1</v>
      </c>
    </row>
    <row r="98" spans="1:29" x14ac:dyDescent="0.25">
      <c r="A98" s="159"/>
      <c r="B98" s="171"/>
      <c r="C98" s="141" t="s">
        <v>609</v>
      </c>
      <c r="D98" s="136"/>
      <c r="E98" s="136"/>
      <c r="F98" s="136"/>
      <c r="G98" s="136"/>
      <c r="H98" s="136"/>
      <c r="I98" s="136"/>
      <c r="J98" s="136"/>
      <c r="K98" s="136"/>
      <c r="L98" s="136"/>
      <c r="M98" s="136"/>
      <c r="N98" s="136"/>
      <c r="O98" s="136"/>
      <c r="P98" s="136"/>
      <c r="Q98" s="136"/>
      <c r="R98" s="136"/>
      <c r="S98" s="136"/>
      <c r="T98" s="136"/>
      <c r="U98" s="136"/>
      <c r="V98" s="136"/>
      <c r="W98" s="136"/>
      <c r="X98" s="159"/>
      <c r="Z98" t="b">
        <f t="shared" si="2"/>
        <v>0</v>
      </c>
      <c r="AA98" t="s">
        <v>1619</v>
      </c>
      <c r="AB98" t="s">
        <v>990</v>
      </c>
      <c r="AC98" t="b">
        <v>1</v>
      </c>
    </row>
    <row r="99" spans="1:29" x14ac:dyDescent="0.25">
      <c r="A99" s="159"/>
      <c r="B99" s="171"/>
      <c r="C99" s="141" t="s">
        <v>610</v>
      </c>
      <c r="D99" s="136"/>
      <c r="E99" s="136"/>
      <c r="F99" s="136"/>
      <c r="G99" s="136"/>
      <c r="H99" s="136"/>
      <c r="I99" s="136"/>
      <c r="J99" s="136"/>
      <c r="K99" s="136"/>
      <c r="L99" s="136"/>
      <c r="M99" s="136"/>
      <c r="N99" s="136"/>
      <c r="O99" s="136"/>
      <c r="P99" s="136"/>
      <c r="Q99" s="136"/>
      <c r="R99" s="136"/>
      <c r="S99" s="136"/>
      <c r="T99" s="136"/>
      <c r="U99" s="136"/>
      <c r="V99" s="136"/>
      <c r="W99" s="136"/>
      <c r="X99" s="159"/>
      <c r="Z99" t="b">
        <f t="shared" si="2"/>
        <v>0</v>
      </c>
      <c r="AA99" t="s">
        <v>1619</v>
      </c>
      <c r="AB99" t="s">
        <v>991</v>
      </c>
      <c r="AC99" t="b">
        <v>1</v>
      </c>
    </row>
    <row r="100" spans="1:29" x14ac:dyDescent="0.25">
      <c r="A100" s="159"/>
      <c r="B100" s="171"/>
      <c r="C100" s="141" t="s">
        <v>589</v>
      </c>
      <c r="D100" s="136"/>
      <c r="E100" s="136"/>
      <c r="F100" s="136"/>
      <c r="G100" s="136"/>
      <c r="H100" s="136"/>
      <c r="I100" s="136"/>
      <c r="J100" s="136"/>
      <c r="K100" s="136"/>
      <c r="L100" s="136"/>
      <c r="M100" s="136"/>
      <c r="N100" s="136"/>
      <c r="O100" s="136"/>
      <c r="P100" s="136"/>
      <c r="Q100" s="136"/>
      <c r="R100" s="136"/>
      <c r="S100" s="136"/>
      <c r="T100" s="136"/>
      <c r="U100" s="136"/>
      <c r="V100" s="136"/>
      <c r="W100" s="136"/>
      <c r="X100" s="159"/>
      <c r="Z100" t="b">
        <f t="shared" si="2"/>
        <v>0</v>
      </c>
      <c r="AA100" t="s">
        <v>1619</v>
      </c>
      <c r="AB100" t="s">
        <v>1090</v>
      </c>
      <c r="AC100" t="b">
        <v>1</v>
      </c>
    </row>
    <row r="101" spans="1:29" x14ac:dyDescent="0.25">
      <c r="A101" s="159"/>
      <c r="B101" s="137"/>
      <c r="C101" s="141"/>
      <c r="D101" s="136"/>
      <c r="E101" s="136"/>
      <c r="F101" s="136"/>
      <c r="G101" s="136"/>
      <c r="H101" s="136"/>
      <c r="I101" s="136"/>
      <c r="J101" s="136"/>
      <c r="K101" s="136"/>
      <c r="L101" s="136"/>
      <c r="M101" s="136"/>
      <c r="N101" s="136"/>
      <c r="O101" s="136"/>
      <c r="P101" s="136"/>
      <c r="Q101" s="136"/>
      <c r="R101" s="136"/>
      <c r="S101" s="136"/>
      <c r="T101" s="136"/>
      <c r="U101" s="136"/>
      <c r="V101" s="136"/>
      <c r="W101" s="136"/>
      <c r="X101" s="159"/>
      <c r="Z101" t="b">
        <f t="shared" si="2"/>
        <v>0</v>
      </c>
      <c r="AA101" t="s">
        <v>1619</v>
      </c>
    </row>
    <row r="102" spans="1:29" x14ac:dyDescent="0.25">
      <c r="A102" s="159"/>
      <c r="B102" s="139" t="s">
        <v>616</v>
      </c>
      <c r="C102" s="141"/>
      <c r="D102" s="136"/>
      <c r="E102" s="136"/>
      <c r="F102" s="136"/>
      <c r="G102" s="136"/>
      <c r="H102" s="136"/>
      <c r="I102" s="136"/>
      <c r="J102" s="136"/>
      <c r="K102" s="136"/>
      <c r="L102" s="136"/>
      <c r="M102" s="136"/>
      <c r="N102" s="136"/>
      <c r="O102" s="136"/>
      <c r="P102" s="136"/>
      <c r="Q102" s="136"/>
      <c r="R102" s="136"/>
      <c r="S102" s="136"/>
      <c r="T102" s="136"/>
      <c r="U102" s="136"/>
      <c r="V102" s="136"/>
      <c r="W102" s="136"/>
      <c r="X102" s="159"/>
      <c r="Z102" t="b">
        <f t="shared" ref="Z102:Z116" si="3">AND(_xlfn.XLOOKUP(AA102,cmdTable,cmdSetting,"Off")="On",NOT(_xlfn.XLOOKUP(AA102,cmdTable,cmdDisabled,FALSE)))</f>
        <v>0</v>
      </c>
      <c r="AA102" t="s">
        <v>1634</v>
      </c>
    </row>
    <row r="103" spans="1:29" x14ac:dyDescent="0.25">
      <c r="A103" s="159"/>
      <c r="B103" s="137"/>
      <c r="C103" s="141"/>
      <c r="D103" s="136"/>
      <c r="E103" s="136"/>
      <c r="F103" s="136"/>
      <c r="G103" s="136"/>
      <c r="H103" s="136"/>
      <c r="I103" s="136"/>
      <c r="J103" s="136"/>
      <c r="K103" s="136"/>
      <c r="L103" s="136"/>
      <c r="M103" s="136"/>
      <c r="N103" s="136"/>
      <c r="O103" s="136"/>
      <c r="P103" s="136"/>
      <c r="Q103" s="136"/>
      <c r="R103" s="136"/>
      <c r="S103" s="136"/>
      <c r="T103" s="136"/>
      <c r="U103" s="136"/>
      <c r="V103" s="136"/>
      <c r="W103" s="136"/>
      <c r="X103" s="159"/>
      <c r="Z103" t="b">
        <f t="shared" si="3"/>
        <v>0</v>
      </c>
      <c r="AA103" t="s">
        <v>1634</v>
      </c>
    </row>
    <row r="104" spans="1:29" x14ac:dyDescent="0.25">
      <c r="A104" s="159"/>
      <c r="B104" s="171"/>
      <c r="C104" s="141" t="s">
        <v>612</v>
      </c>
      <c r="D104" s="136"/>
      <c r="E104" s="136"/>
      <c r="F104" s="136"/>
      <c r="G104" s="136"/>
      <c r="H104" s="136"/>
      <c r="I104" s="136"/>
      <c r="J104" s="136"/>
      <c r="K104" s="136"/>
      <c r="L104" s="136"/>
      <c r="M104" s="136"/>
      <c r="N104" s="136"/>
      <c r="O104" s="136"/>
      <c r="P104" s="136"/>
      <c r="Q104" s="136"/>
      <c r="R104" s="136"/>
      <c r="S104" s="136"/>
      <c r="T104" s="136"/>
      <c r="U104" s="136"/>
      <c r="V104" s="136"/>
      <c r="W104" s="136"/>
      <c r="X104" s="159"/>
      <c r="Z104" t="b">
        <f t="shared" si="3"/>
        <v>0</v>
      </c>
      <c r="AA104" t="s">
        <v>1634</v>
      </c>
      <c r="AB104" t="s">
        <v>992</v>
      </c>
      <c r="AC104" t="b">
        <v>1</v>
      </c>
    </row>
    <row r="105" spans="1:29" x14ac:dyDescent="0.25">
      <c r="A105" s="159"/>
      <c r="B105" s="171"/>
      <c r="C105" s="141" t="s">
        <v>613</v>
      </c>
      <c r="D105" s="136"/>
      <c r="E105" s="136"/>
      <c r="F105" s="136"/>
      <c r="G105" s="136"/>
      <c r="H105" s="136"/>
      <c r="I105" s="136"/>
      <c r="J105" s="136"/>
      <c r="K105" s="136"/>
      <c r="L105" s="136"/>
      <c r="M105" s="136"/>
      <c r="N105" s="136"/>
      <c r="O105" s="136"/>
      <c r="P105" s="136"/>
      <c r="Q105" s="136"/>
      <c r="R105" s="136"/>
      <c r="S105" s="136"/>
      <c r="T105" s="136"/>
      <c r="U105" s="136"/>
      <c r="V105" s="136"/>
      <c r="W105" s="136"/>
      <c r="X105" s="159"/>
      <c r="Z105" t="b">
        <f t="shared" si="3"/>
        <v>0</v>
      </c>
      <c r="AA105" t="s">
        <v>1634</v>
      </c>
      <c r="AB105" t="s">
        <v>993</v>
      </c>
      <c r="AC105" t="b">
        <v>1</v>
      </c>
    </row>
    <row r="106" spans="1:29" ht="26.25" customHeight="1" x14ac:dyDescent="0.25">
      <c r="A106" s="159"/>
      <c r="B106" s="171"/>
      <c r="C106" s="299" t="s">
        <v>614</v>
      </c>
      <c r="D106" s="300"/>
      <c r="E106" s="300"/>
      <c r="F106" s="300"/>
      <c r="G106" s="300"/>
      <c r="H106" s="300"/>
      <c r="I106" s="300"/>
      <c r="J106" s="300"/>
      <c r="K106" s="300"/>
      <c r="L106" s="300"/>
      <c r="M106" s="300"/>
      <c r="N106" s="300"/>
      <c r="O106" s="300"/>
      <c r="P106" s="300"/>
      <c r="Q106" s="300"/>
      <c r="R106" s="300"/>
      <c r="S106" s="300"/>
      <c r="T106" s="300"/>
      <c r="U106" s="300"/>
      <c r="V106" s="136"/>
      <c r="W106" s="136"/>
      <c r="X106" s="159"/>
      <c r="Z106" t="b">
        <f t="shared" si="3"/>
        <v>0</v>
      </c>
      <c r="AA106" t="s">
        <v>1634</v>
      </c>
      <c r="AB106" t="s">
        <v>994</v>
      </c>
      <c r="AC106" t="b">
        <v>1</v>
      </c>
    </row>
    <row r="107" spans="1:29" x14ac:dyDescent="0.25">
      <c r="A107" s="159"/>
      <c r="B107" s="171"/>
      <c r="C107" s="141" t="s">
        <v>615</v>
      </c>
      <c r="D107" s="136"/>
      <c r="E107" s="136"/>
      <c r="F107" s="136"/>
      <c r="G107" s="136"/>
      <c r="H107" s="136"/>
      <c r="I107" s="136"/>
      <c r="J107" s="136"/>
      <c r="K107" s="136"/>
      <c r="L107" s="136"/>
      <c r="M107" s="136"/>
      <c r="N107" s="136"/>
      <c r="O107" s="136"/>
      <c r="P107" s="136"/>
      <c r="Q107" s="136"/>
      <c r="R107" s="136"/>
      <c r="S107" s="136"/>
      <c r="T107" s="136"/>
      <c r="U107" s="136"/>
      <c r="V107" s="136"/>
      <c r="W107" s="136"/>
      <c r="X107" s="159"/>
      <c r="Z107" t="b">
        <f t="shared" si="3"/>
        <v>0</v>
      </c>
      <c r="AA107" t="s">
        <v>1634</v>
      </c>
      <c r="AB107" t="s">
        <v>1091</v>
      </c>
      <c r="AC107" t="b">
        <v>1</v>
      </c>
    </row>
    <row r="108" spans="1:29" x14ac:dyDescent="0.25">
      <c r="A108" s="159"/>
      <c r="B108" s="171"/>
      <c r="C108" s="141" t="s">
        <v>1591</v>
      </c>
      <c r="D108" s="136"/>
      <c r="E108" s="136"/>
      <c r="F108" s="136"/>
      <c r="G108" s="136"/>
      <c r="H108" s="136"/>
      <c r="I108" s="136"/>
      <c r="J108" s="136"/>
      <c r="K108" s="136"/>
      <c r="L108" s="136"/>
      <c r="M108" s="136"/>
      <c r="N108" s="136"/>
      <c r="O108" s="136"/>
      <c r="P108" s="136"/>
      <c r="Q108" s="136"/>
      <c r="R108" s="136"/>
      <c r="S108" s="136"/>
      <c r="T108" s="136"/>
      <c r="U108" s="136"/>
      <c r="V108" s="136"/>
      <c r="W108" s="136"/>
      <c r="X108" s="159"/>
      <c r="Z108" t="b">
        <f t="shared" si="3"/>
        <v>0</v>
      </c>
      <c r="AA108" t="s">
        <v>1634</v>
      </c>
      <c r="AB108" t="s">
        <v>1959</v>
      </c>
      <c r="AC108" t="b">
        <v>1</v>
      </c>
    </row>
    <row r="109" spans="1:29" x14ac:dyDescent="0.25">
      <c r="A109" s="159"/>
      <c r="B109" s="137"/>
      <c r="C109" s="141"/>
      <c r="D109" s="136"/>
      <c r="E109" s="136"/>
      <c r="F109" s="136"/>
      <c r="G109" s="136"/>
      <c r="H109" s="136"/>
      <c r="I109" s="136"/>
      <c r="J109" s="136"/>
      <c r="K109" s="136"/>
      <c r="L109" s="136"/>
      <c r="M109" s="136"/>
      <c r="N109" s="136"/>
      <c r="O109" s="136"/>
      <c r="P109" s="136"/>
      <c r="Q109" s="136"/>
      <c r="R109" s="136"/>
      <c r="S109" s="136"/>
      <c r="T109" s="136"/>
      <c r="U109" s="136"/>
      <c r="V109" s="136"/>
      <c r="W109" s="136"/>
      <c r="X109" s="159"/>
      <c r="Z109" t="b">
        <f t="shared" si="3"/>
        <v>0</v>
      </c>
      <c r="AA109" t="s">
        <v>1634</v>
      </c>
    </row>
    <row r="110" spans="1:29" x14ac:dyDescent="0.25">
      <c r="A110" s="159"/>
      <c r="B110" s="139" t="s">
        <v>1532</v>
      </c>
      <c r="C110" s="141"/>
      <c r="D110" s="136"/>
      <c r="E110" s="136"/>
      <c r="F110" s="136"/>
      <c r="G110" s="136"/>
      <c r="H110" s="136"/>
      <c r="I110" s="136"/>
      <c r="J110" s="136"/>
      <c r="K110" s="136"/>
      <c r="L110" s="136"/>
      <c r="M110" s="136"/>
      <c r="N110" s="136"/>
      <c r="O110" s="136"/>
      <c r="P110" s="136"/>
      <c r="Q110" s="136"/>
      <c r="R110" s="136"/>
      <c r="S110" s="136"/>
      <c r="T110" s="136"/>
      <c r="U110" s="136"/>
      <c r="V110" s="136"/>
      <c r="W110" s="136"/>
      <c r="X110" s="159"/>
      <c r="Z110" t="b">
        <f t="shared" si="3"/>
        <v>0</v>
      </c>
      <c r="AA110" t="s">
        <v>1634</v>
      </c>
    </row>
    <row r="111" spans="1:29" x14ac:dyDescent="0.25">
      <c r="A111" s="159"/>
      <c r="B111" s="137"/>
      <c r="C111" s="141"/>
      <c r="D111" s="136"/>
      <c r="E111" s="136"/>
      <c r="F111" s="136"/>
      <c r="G111" s="136"/>
      <c r="H111" s="136"/>
      <c r="I111" s="136"/>
      <c r="J111" s="136"/>
      <c r="K111" s="136"/>
      <c r="L111" s="136"/>
      <c r="M111" s="136"/>
      <c r="N111" s="136"/>
      <c r="O111" s="136"/>
      <c r="P111" s="136"/>
      <c r="Q111" s="136"/>
      <c r="R111" s="136"/>
      <c r="S111" s="136"/>
      <c r="T111" s="136"/>
      <c r="U111" s="136"/>
      <c r="V111" s="136"/>
      <c r="W111" s="136"/>
      <c r="X111" s="159"/>
      <c r="Z111" t="b">
        <f t="shared" si="3"/>
        <v>0</v>
      </c>
      <c r="AA111" t="s">
        <v>1634</v>
      </c>
    </row>
    <row r="112" spans="1:29" x14ac:dyDescent="0.25">
      <c r="A112" s="159"/>
      <c r="B112" s="171"/>
      <c r="C112" s="141" t="s">
        <v>617</v>
      </c>
      <c r="D112" s="136"/>
      <c r="E112" s="136"/>
      <c r="F112" s="136"/>
      <c r="G112" s="136"/>
      <c r="H112" s="136"/>
      <c r="I112" s="136"/>
      <c r="J112" s="136"/>
      <c r="K112" s="136"/>
      <c r="L112" s="136"/>
      <c r="M112" s="136"/>
      <c r="N112" s="136"/>
      <c r="O112" s="136"/>
      <c r="P112" s="136"/>
      <c r="Q112" s="136"/>
      <c r="R112" s="136"/>
      <c r="S112" s="136"/>
      <c r="T112" s="136"/>
      <c r="U112" s="136"/>
      <c r="V112" s="136"/>
      <c r="W112" s="136"/>
      <c r="X112" s="159"/>
      <c r="Z112" t="b">
        <f t="shared" si="3"/>
        <v>0</v>
      </c>
      <c r="AA112" t="s">
        <v>1634</v>
      </c>
      <c r="AB112" t="s">
        <v>995</v>
      </c>
      <c r="AC112" t="b">
        <v>1</v>
      </c>
    </row>
    <row r="113" spans="1:29" x14ac:dyDescent="0.25">
      <c r="A113" s="159"/>
      <c r="B113" s="171"/>
      <c r="C113" s="141" t="s">
        <v>618</v>
      </c>
      <c r="D113" s="136"/>
      <c r="E113" s="136"/>
      <c r="F113" s="136"/>
      <c r="G113" s="136"/>
      <c r="H113" s="136"/>
      <c r="I113" s="136"/>
      <c r="J113" s="136"/>
      <c r="K113" s="136"/>
      <c r="L113" s="136"/>
      <c r="M113" s="136"/>
      <c r="N113" s="136"/>
      <c r="O113" s="136"/>
      <c r="P113" s="136"/>
      <c r="Q113" s="136"/>
      <c r="R113" s="136"/>
      <c r="S113" s="136"/>
      <c r="T113" s="136"/>
      <c r="U113" s="136"/>
      <c r="V113" s="136"/>
      <c r="W113" s="136"/>
      <c r="X113" s="159"/>
      <c r="Z113" t="b">
        <f t="shared" si="3"/>
        <v>0</v>
      </c>
      <c r="AA113" t="s">
        <v>1634</v>
      </c>
      <c r="AB113" t="s">
        <v>996</v>
      </c>
      <c r="AC113" t="b">
        <v>1</v>
      </c>
    </row>
    <row r="114" spans="1:29" x14ac:dyDescent="0.25">
      <c r="A114" s="159"/>
      <c r="B114" s="171"/>
      <c r="C114" s="141" t="s">
        <v>619</v>
      </c>
      <c r="D114" s="136"/>
      <c r="E114" s="136"/>
      <c r="F114" s="136"/>
      <c r="G114" s="136"/>
      <c r="H114" s="136"/>
      <c r="I114" s="136"/>
      <c r="J114" s="136"/>
      <c r="K114" s="136"/>
      <c r="L114" s="136"/>
      <c r="M114" s="136"/>
      <c r="N114" s="136"/>
      <c r="O114" s="136"/>
      <c r="P114" s="136"/>
      <c r="Q114" s="136"/>
      <c r="R114" s="136"/>
      <c r="S114" s="136"/>
      <c r="T114" s="136"/>
      <c r="U114" s="136"/>
      <c r="V114" s="136"/>
      <c r="W114" s="136"/>
      <c r="X114" s="159"/>
      <c r="Z114" t="b">
        <f t="shared" si="3"/>
        <v>0</v>
      </c>
      <c r="AA114" t="s">
        <v>1634</v>
      </c>
      <c r="AB114" t="s">
        <v>1092</v>
      </c>
      <c r="AC114" t="b">
        <v>1</v>
      </c>
    </row>
    <row r="115" spans="1:29" x14ac:dyDescent="0.25">
      <c r="A115" s="159"/>
      <c r="B115" s="171"/>
      <c r="C115" s="141" t="s">
        <v>1596</v>
      </c>
      <c r="D115" s="136"/>
      <c r="E115" s="136"/>
      <c r="F115" s="136"/>
      <c r="G115" s="136"/>
      <c r="H115" s="136"/>
      <c r="I115" s="136"/>
      <c r="J115" s="136"/>
      <c r="K115" s="136"/>
      <c r="L115" s="136"/>
      <c r="M115" s="136"/>
      <c r="N115" s="136"/>
      <c r="O115" s="136"/>
      <c r="P115" s="136"/>
      <c r="Q115" s="136"/>
      <c r="R115" s="136"/>
      <c r="S115" s="136"/>
      <c r="T115" s="136"/>
      <c r="U115" s="136"/>
      <c r="V115" s="136"/>
      <c r="W115" s="136"/>
      <c r="X115" s="159"/>
      <c r="Z115" t="b">
        <f t="shared" si="3"/>
        <v>0</v>
      </c>
      <c r="AA115" t="s">
        <v>1634</v>
      </c>
      <c r="AB115" t="s">
        <v>1960</v>
      </c>
      <c r="AC115" t="b">
        <v>1</v>
      </c>
    </row>
    <row r="116" spans="1:29" ht="15.75" thickBot="1" x14ac:dyDescent="0.3">
      <c r="A116" s="159"/>
      <c r="B116" s="137"/>
      <c r="C116" s="142"/>
      <c r="D116" s="136"/>
      <c r="E116" s="136"/>
      <c r="F116" s="136"/>
      <c r="G116" s="136"/>
      <c r="H116" s="136"/>
      <c r="I116" s="136"/>
      <c r="J116" s="136"/>
      <c r="K116" s="136"/>
      <c r="L116" s="136"/>
      <c r="M116" s="136"/>
      <c r="N116" s="136"/>
      <c r="O116" s="136"/>
      <c r="P116" s="136"/>
      <c r="Q116" s="136"/>
      <c r="R116" s="136"/>
      <c r="S116" s="136"/>
      <c r="T116" s="136"/>
      <c r="U116" s="136"/>
      <c r="V116" s="136"/>
      <c r="W116" s="136"/>
      <c r="X116" s="159"/>
      <c r="Z116" t="b">
        <f t="shared" si="3"/>
        <v>0</v>
      </c>
      <c r="AA116" t="s">
        <v>1634</v>
      </c>
    </row>
    <row r="117" spans="1:29" ht="15.75" thickTop="1" x14ac:dyDescent="0.25">
      <c r="A117" s="162"/>
      <c r="B117" s="163"/>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59"/>
    </row>
    <row r="118" spans="1:29" x14ac:dyDescent="0.25">
      <c r="A118" s="159"/>
      <c r="B118" s="161"/>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row>
    <row r="119" spans="1:29" x14ac:dyDescent="0.25">
      <c r="A119" s="159"/>
      <c r="B119" s="161"/>
      <c r="C119" s="159"/>
      <c r="D119" s="159"/>
      <c r="E119" s="159"/>
      <c r="F119" s="159"/>
      <c r="G119" s="159"/>
      <c r="H119" s="159"/>
      <c r="I119" s="159"/>
      <c r="J119" s="159"/>
      <c r="K119" s="159"/>
      <c r="L119" s="159"/>
      <c r="M119" s="159"/>
      <c r="N119" s="159"/>
      <c r="O119" s="159"/>
      <c r="P119" s="159"/>
      <c r="Q119" s="159"/>
      <c r="R119" s="159"/>
      <c r="S119" s="159"/>
      <c r="T119" s="159"/>
      <c r="U119" s="159"/>
      <c r="V119" s="159"/>
      <c r="W119" s="159"/>
      <c r="X119" s="159"/>
      <c r="Y119" s="159"/>
    </row>
    <row r="120" spans="1:29" x14ac:dyDescent="0.25">
      <c r="A120" s="136"/>
      <c r="B120" s="137"/>
      <c r="C120" s="136"/>
      <c r="D120" s="136"/>
      <c r="E120" s="136"/>
      <c r="F120" s="136"/>
      <c r="G120" s="136"/>
      <c r="H120" s="136" t="s">
        <v>1622</v>
      </c>
      <c r="I120" s="136"/>
      <c r="J120" s="136"/>
      <c r="K120" s="136"/>
      <c r="L120" s="136"/>
      <c r="M120" s="136"/>
      <c r="N120" s="136"/>
      <c r="O120" s="136"/>
      <c r="P120" s="136"/>
      <c r="Q120" s="136"/>
      <c r="R120" s="136"/>
      <c r="S120" s="136"/>
      <c r="T120" s="136"/>
      <c r="U120" s="136"/>
      <c r="V120" s="136"/>
      <c r="W120" s="136"/>
      <c r="X120" s="136"/>
    </row>
    <row r="121" spans="1:29" x14ac:dyDescent="0.25">
      <c r="A121" s="136"/>
      <c r="B121" s="137"/>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row>
    <row r="122" spans="1:29" x14ac:dyDescent="0.25">
      <c r="A122" s="136"/>
      <c r="B122" s="137"/>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row>
    <row r="123" spans="1:29" hidden="1" x14ac:dyDescent="0.25">
      <c r="A123" s="136"/>
      <c r="B123" s="137"/>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row>
    <row r="124" spans="1:29" hidden="1" x14ac:dyDescent="0.25">
      <c r="A124" s="136"/>
      <c r="B124" s="137"/>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row>
    <row r="125" spans="1:29" hidden="1" x14ac:dyDescent="0.25">
      <c r="A125" s="136"/>
      <c r="B125" s="137"/>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row>
    <row r="126" spans="1:29" hidden="1" x14ac:dyDescent="0.25">
      <c r="A126" s="136"/>
      <c r="B126" s="137"/>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row>
    <row r="127" spans="1:29" hidden="1" x14ac:dyDescent="0.25">
      <c r="A127" s="136"/>
      <c r="B127" s="137"/>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row>
    <row r="128" spans="1:29" hidden="1" x14ac:dyDescent="0.25">
      <c r="A128" s="136"/>
      <c r="B128" s="137"/>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row>
    <row r="129" spans="1:24" hidden="1" x14ac:dyDescent="0.25">
      <c r="A129" s="136"/>
      <c r="B129" s="137"/>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row>
    <row r="130" spans="1:24" hidden="1" x14ac:dyDescent="0.25">
      <c r="A130" s="136"/>
      <c r="B130" s="137"/>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row>
    <row r="131" spans="1:24" hidden="1" x14ac:dyDescent="0.25">
      <c r="A131" s="136"/>
      <c r="B131" s="137"/>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row>
    <row r="132" spans="1:24" hidden="1" x14ac:dyDescent="0.25">
      <c r="A132" s="136"/>
      <c r="B132" s="137"/>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row>
    <row r="133" spans="1:24" hidden="1" x14ac:dyDescent="0.25">
      <c r="A133" s="136"/>
      <c r="B133" s="137"/>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row>
    <row r="134" spans="1:24" hidden="1" x14ac:dyDescent="0.25">
      <c r="A134" s="136"/>
      <c r="B134" s="137"/>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row>
    <row r="135" spans="1:24" hidden="1" x14ac:dyDescent="0.25">
      <c r="A135" s="136"/>
      <c r="B135" s="137"/>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row>
    <row r="136" spans="1:24" hidden="1" x14ac:dyDescent="0.25">
      <c r="A136" s="136"/>
      <c r="B136" s="137"/>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row>
    <row r="137" spans="1:24" hidden="1" x14ac:dyDescent="0.25">
      <c r="A137" s="136"/>
      <c r="B137" s="137"/>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row>
    <row r="138" spans="1:24" hidden="1" x14ac:dyDescent="0.25">
      <c r="A138" s="136"/>
      <c r="B138" s="137"/>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row>
    <row r="139" spans="1:24" hidden="1" x14ac:dyDescent="0.25">
      <c r="A139" s="136"/>
      <c r="B139" s="137"/>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row>
    <row r="140" spans="1:24" hidden="1" x14ac:dyDescent="0.25">
      <c r="A140" s="136"/>
      <c r="B140" s="137"/>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row>
    <row r="141" spans="1:24" hidden="1" x14ac:dyDescent="0.25">
      <c r="A141" s="136"/>
      <c r="B141" s="137"/>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row>
    <row r="142" spans="1:24" hidden="1" x14ac:dyDescent="0.25">
      <c r="A142" s="136"/>
      <c r="B142" s="137"/>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row>
  </sheetData>
  <sheetProtection algorithmName="SHA-512" hashValue="dz9EdDJXTzQK1Jo+ZxixcWjUz9ucV/dOrNGgaklwTMXZ77ukaNxVRGXul48+9cfuB7tpSJYSSF6ZKT0i6jXBwA==" saltValue="KPk7Yfb9JWHhj9fKXdNL+Q==" spinCount="100000" sheet="1" objects="1" scenarios="1" formatCells="0"/>
  <mergeCells count="1">
    <mergeCell ref="C106:U106"/>
  </mergeCells>
  <dataValidations count="1">
    <dataValidation type="custom" allowBlank="1" showInputMessage="1" showErrorMessage="1" sqref="B105 B14 B34 B56 B70 B97 B112 B113 B114 B8 B9 B10 B11 B12 B13 B15 B16 B17 B21 B22 B23 B24 B25 B26 B27 B28 B29 B30 B31 B32 B33 B35 B36 B37 B41 B42 B43 B44 B45 B46 B47 B48 B49 B50 B51 B52 B53 B54 B55 B57 B58 B59 B63 B64 B65 B66 B67 B68 B69 B71 B72 B73 B77 B78 B79 B80 B81 B82 B83 B84 B85 B86 B87 B88 B89 B90 B91 B92 B93 B94 B95 B96 B98 B99 B100 B104 B106 B107 B108 B115" xr:uid="{9B39AB2F-4434-4E68-B052-8C35CA7D1E6B}">
      <formula1>FALSE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tatus_Form_Print">
    <pageSetUpPr fitToPage="1"/>
  </sheetPr>
  <dimension ref="A1:II40"/>
  <sheetViews>
    <sheetView showGridLines="0" topLeftCell="A11" zoomScale="109" zoomScaleNormal="109" workbookViewId="0">
      <selection activeCell="C21" sqref="C21:E21"/>
    </sheetView>
  </sheetViews>
  <sheetFormatPr defaultColWidth="8.85546875" defaultRowHeight="15" customHeight="1" x14ac:dyDescent="0.25"/>
  <cols>
    <col min="1" max="1" width="3" style="4" customWidth="1"/>
    <col min="2" max="2" width="34.5703125" style="4" customWidth="1"/>
    <col min="3" max="3" width="29.28515625" style="4" customWidth="1"/>
    <col min="4" max="4" width="10.5703125" style="4" customWidth="1"/>
    <col min="5" max="5" width="55.28515625" style="4" customWidth="1"/>
    <col min="6" max="6" width="3.7109375" style="94" customWidth="1"/>
    <col min="7" max="7" width="94" style="94" customWidth="1"/>
    <col min="8" max="8" width="5" style="94" customWidth="1"/>
    <col min="9" max="9" width="10.42578125" style="94" customWidth="1"/>
    <col min="10" max="10" width="10.85546875" style="181" customWidth="1"/>
    <col min="11" max="11" width="8.85546875" style="146"/>
    <col min="12" max="12" width="8.85546875" style="94"/>
    <col min="13" max="16384" width="8.85546875" style="4"/>
  </cols>
  <sheetData>
    <row r="1" spans="1:243" s="89" customFormat="1" ht="33" customHeight="1" x14ac:dyDescent="0.25">
      <c r="B1" s="301" t="s">
        <v>127</v>
      </c>
      <c r="C1" s="301"/>
      <c r="D1" s="302"/>
      <c r="E1" s="302"/>
      <c r="F1" s="92"/>
      <c r="G1" s="93"/>
      <c r="H1" s="94"/>
      <c r="I1" s="146" t="s">
        <v>1676</v>
      </c>
      <c r="J1" s="179" t="s">
        <v>1677</v>
      </c>
      <c r="K1" s="178"/>
      <c r="L1" s="93"/>
    </row>
    <row r="2" spans="1:243" s="89" customFormat="1" ht="6" customHeight="1" x14ac:dyDescent="0.25">
      <c r="B2" s="61"/>
      <c r="C2" s="61"/>
      <c r="D2" s="61"/>
      <c r="E2" s="61"/>
      <c r="F2" s="64"/>
      <c r="G2" s="94"/>
      <c r="H2" s="94"/>
      <c r="I2" s="180">
        <v>6</v>
      </c>
      <c r="J2" s="180" t="b">
        <v>1</v>
      </c>
      <c r="K2" s="146"/>
      <c r="L2" s="9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row>
    <row r="3" spans="1:243" s="89" customFormat="1" ht="31.5" customHeight="1" x14ac:dyDescent="0.25">
      <c r="B3" s="176" t="s">
        <v>1512</v>
      </c>
      <c r="C3" s="303" t="str">
        <f>M3AgencyName</f>
        <v>Alabama Council on Human Relations, Inc.</v>
      </c>
      <c r="D3" s="304"/>
      <c r="E3" s="305"/>
      <c r="F3" s="95"/>
      <c r="G3" s="94"/>
      <c r="H3" s="93"/>
      <c r="I3" s="180">
        <v>31.5</v>
      </c>
      <c r="J3" s="180"/>
      <c r="K3" s="146"/>
      <c r="L3" s="9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row>
    <row r="4" spans="1:243" ht="18" customHeight="1" x14ac:dyDescent="0.25">
      <c r="B4" s="176" t="s">
        <v>1138</v>
      </c>
      <c r="C4" s="172" t="str">
        <f>M3StateName</f>
        <v>Alabama</v>
      </c>
      <c r="D4" s="173" t="s">
        <v>1606</v>
      </c>
      <c r="E4" s="174" t="str" cm="1">
        <f t="array" ref="E4">M3UEI</f>
        <v>183860386</v>
      </c>
      <c r="G4" s="96"/>
      <c r="I4" s="180">
        <v>18</v>
      </c>
      <c r="J4" s="180"/>
    </row>
    <row r="5" spans="1:243" ht="6" customHeight="1" x14ac:dyDescent="0.25">
      <c r="B5" s="177"/>
      <c r="C5" s="177"/>
      <c r="D5" s="177"/>
      <c r="E5" s="177"/>
      <c r="I5" s="180">
        <v>6</v>
      </c>
      <c r="J5" s="180" t="b">
        <v>1</v>
      </c>
    </row>
    <row r="6" spans="1:243" ht="31.5" customHeight="1" x14ac:dyDescent="0.25">
      <c r="B6" s="175" t="s">
        <v>1547</v>
      </c>
      <c r="C6" s="309" t="str">
        <f>M3ReportingStatus</f>
        <v>Select the Reporting Status</v>
      </c>
      <c r="D6" s="310"/>
      <c r="E6" s="311"/>
      <c r="G6" s="96" t="str">
        <f>C6</f>
        <v>Select the Reporting Status</v>
      </c>
      <c r="I6" s="180">
        <v>31.5</v>
      </c>
      <c r="J6" s="180"/>
    </row>
    <row r="7" spans="1:243" ht="31.5" customHeight="1" x14ac:dyDescent="0.25">
      <c r="B7" s="97" t="s">
        <v>258</v>
      </c>
      <c r="C7" s="306" t="str">
        <f>M3A1InitiativeName</f>
        <v>Enter initiative name.</v>
      </c>
      <c r="D7" s="307"/>
      <c r="E7" s="308"/>
      <c r="G7" s="96" t="str">
        <f>C7</f>
        <v>Enter initiative name.</v>
      </c>
      <c r="I7" s="180">
        <v>31.5</v>
      </c>
      <c r="J7" s="180"/>
    </row>
    <row r="8" spans="1:243" ht="31.5" x14ac:dyDescent="0.25">
      <c r="B8" s="97" t="s">
        <v>259</v>
      </c>
      <c r="C8" s="240" t="str">
        <f>M3A2InitiativeYear</f>
        <v>Select the Initiative Year</v>
      </c>
      <c r="D8" s="241"/>
      <c r="E8" s="242"/>
      <c r="G8" s="96"/>
      <c r="I8" s="180">
        <v>31.5</v>
      </c>
      <c r="J8" s="180"/>
    </row>
    <row r="9" spans="1:243" s="101" customFormat="1" ht="31.5" x14ac:dyDescent="0.25">
      <c r="A9" s="98"/>
      <c r="B9" s="99" t="s">
        <v>261</v>
      </c>
      <c r="C9" s="243">
        <f>M3A3ProblemID</f>
        <v>0</v>
      </c>
      <c r="D9" s="244"/>
      <c r="E9" s="245"/>
      <c r="F9" s="100"/>
      <c r="G9" s="96">
        <f t="shared" ref="G9:G37" si="0">C9</f>
        <v>0</v>
      </c>
      <c r="H9" s="94"/>
      <c r="I9" s="180">
        <v>31.5</v>
      </c>
      <c r="J9" s="180"/>
      <c r="K9" s="146"/>
      <c r="L9" s="9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s="101" customFormat="1" ht="31.5" customHeight="1" x14ac:dyDescent="0.25">
      <c r="A10" s="98"/>
      <c r="B10" s="97" t="s">
        <v>260</v>
      </c>
      <c r="C10" s="265" t="str">
        <f>M3A4Goal</f>
        <v>Provide a narrative of the initiative’s overall goal.</v>
      </c>
      <c r="D10" s="244"/>
      <c r="E10" s="245"/>
      <c r="F10" s="100"/>
      <c r="G10" s="96" t="str">
        <f t="shared" si="0"/>
        <v>Provide a narrative of the initiative’s overall goal.</v>
      </c>
      <c r="H10" s="94"/>
      <c r="I10" s="180">
        <v>31.5</v>
      </c>
      <c r="J10" s="180"/>
      <c r="K10" s="146"/>
      <c r="L10" s="9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s="101" customFormat="1" ht="54.4" customHeight="1" x14ac:dyDescent="0.25">
      <c r="A11" s="98"/>
      <c r="B11" s="99" t="s">
        <v>262</v>
      </c>
      <c r="C11" s="266"/>
      <c r="D11" s="244"/>
      <c r="E11" s="245"/>
      <c r="F11" s="100"/>
      <c r="G11" s="96"/>
      <c r="H11" s="94"/>
      <c r="I11" s="180">
        <v>54.4</v>
      </c>
      <c r="J11" s="180"/>
      <c r="K11" s="146"/>
      <c r="L11" s="9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s="101" customFormat="1" ht="280.5" x14ac:dyDescent="0.25">
      <c r="A12" s="98"/>
      <c r="B12" s="102" t="s">
        <v>263</v>
      </c>
      <c r="C12" s="312" t="s">
        <v>1950</v>
      </c>
      <c r="D12" s="313"/>
      <c r="E12" s="314"/>
      <c r="F12" s="103"/>
      <c r="G12" s="104" t="str">
        <f t="shared" si="0"/>
        <v xml:space="preserve">CNPIS EDUCATION_x000D_
CNPI 2a Number of accessible and affordable early childhood or pre-school education assets or resources added to the identified community. _x000D_
CNPI 2c Number of new Early Childhood Screenings offered to children (ages 0-5) of families with low-incomes in the identified community. _x000D_
CNPI 2d Number of accessible and affordable education assets or resources added for school age children in the identified community.  (e.g., academic, enrichment activities, before/after school care, summer programs)_x000D_
CNPI 2e Number of accessible and affordable post secondary education assets or resources added for newly graduating youth in the identified community.  (e.g. college tuition, scholarships, vocational training, etc.) _x000D_
CNPI 2f Number of accessible and affordable basic or secondary education assets or resources added for adults in the identified community.  (e.g. literacy, ESL, ABE/GED, etc.) _x000D_
CNPI 2z Other Counts of Change for Education and Cognitive Development Indicators._x000D_
CNPI 2g Percent increase of children in the identified community who are kindergarten ready. _x000D_
CNPI 2h Percent increase of children in the identified community at (or above) the basic reading level._x000D_
CNPI 2j Percent increase in high school (or high school equivalency) graduation rate in the identified community._x000D_
CNPI 2k Percent increase of the rate of youth in the identified community who attend post-secondary education._x000D_
CNPI 2l Percent increase of the rate of youth in the identified community who graduate from post-secondary education. _x000D_
CNPI 2m Percent increase of adults in the identified community who attend post-secondary education. _x000D_
CNPI 2n Percent increase of adults in the identified community who graduate from post-secondary education._x000D_
CNPI 2o Percent increase in the adult literacy rate in the identified community. _x000D_
</v>
      </c>
      <c r="H12" s="94"/>
      <c r="I12" s="180">
        <v>31.5</v>
      </c>
      <c r="J12" s="180"/>
      <c r="K12" s="146"/>
      <c r="L12" s="9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s="101" customFormat="1" ht="114.75" x14ac:dyDescent="0.25">
      <c r="A13" s="98"/>
      <c r="B13" s="105"/>
      <c r="C13" s="322" t="s">
        <v>1951</v>
      </c>
      <c r="D13" s="323"/>
      <c r="E13" s="324"/>
      <c r="F13" s="103"/>
      <c r="G13" s="104" t="str">
        <f t="shared" si="0"/>
        <v xml:space="preserve">CNPIS EMPLOYMENT_x000D_
CNPI 1a Number of jobs created to increase opportunities for people with low incomes in the identified community. _x000D_
CNPI 1c Number of “living wage” jobs created in the identified community._x000D_
CNPI 1d Number of “living wage” jobs maintained in the identified community. _x000D_
CNPI 1e Number of jobs created in the identified community with a benefit package. _x000D_
CNPI 1f Percent decrease of the unemployment rate._x000D_
CNPI 1g Percent decrease of the youth unemployment rate._x000D_
CNPI 1h Percent decrease of the underemployment rate._x000D_
</v>
      </c>
      <c r="H13" s="94"/>
      <c r="I13" s="180"/>
      <c r="J13" s="180" t="b">
        <v>1</v>
      </c>
      <c r="K13" s="146"/>
      <c r="L13" s="9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s="101" customFormat="1" ht="280.5" x14ac:dyDescent="0.25">
      <c r="A14" s="98"/>
      <c r="B14" s="105"/>
      <c r="C14" s="322" t="s">
        <v>1952</v>
      </c>
      <c r="D14" s="323"/>
      <c r="E14" s="324"/>
      <c r="F14" s="103"/>
      <c r="G14" s="104" t="str">
        <f t="shared" si="0"/>
        <v xml:space="preserve">CNPIS INFRASTRUCTURE ASSET_x000D_
CNPI 3a.1 Commercial_x000D_
CNPI 3a.2 Financial_x000D_
CNPI 3a.3 Technological/Communications (e.g. broadband)_x000D_
CNPI 3a.4 Transportation_x000D_
CNPI 3a.5 Recreational (e.g. parks, gardens, libraries)_x000D_
CNPI 3a.6 Other Public Assets/Physical Improvements_x000D_
CNPI 3b.1 Commercial_x000D_
CNPI 3b.2 Financial_x000D_
CNPI 3b.3 Technological/Communications (e.g. broadband)_x000D_
CNPI 3b.4 Transportation_x000D_
CNPI 3b.5 Recreational (e.g. parks, gardens, libraries)_x000D_
CNPI 3b.6 Other Public Assets/Physical Improvements_x000D_
CNPI 3z Other Counts of Change for Infrastructure and Asset Building Indicators._x000D_
CNPI 3c Percent decrease of abandoned or neglected buildings in the identified community._x000D_
CNPI 3d Percent decrease in emergency response time measured in minutes in the identified community. (EMT, Police, Fire, etc.)._x000D_
CNPI 3e Percent decrease of predatory lenders and/or lending practices in the identified community._x000D_
CNPI 3f Percent decrease of environmental threats to households (toxic soil, radon, lead, air quality, quality of drinking water, etc.) in the identified community._x000D_
CNPI 3g Percent increase of transportation services in the identified community._x000D_
</v>
      </c>
      <c r="H14" s="94"/>
      <c r="I14" s="180"/>
      <c r="J14" s="180" t="b">
        <v>1</v>
      </c>
      <c r="K14" s="146"/>
      <c r="L14" s="9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s="101" customFormat="1" ht="369.75" x14ac:dyDescent="0.25">
      <c r="A15" s="98"/>
      <c r="B15" s="105"/>
      <c r="C15" s="322" t="s">
        <v>1953</v>
      </c>
      <c r="D15" s="323"/>
      <c r="E15" s="324"/>
      <c r="F15" s="103"/>
      <c r="G15" s="104" t="str">
        <f t="shared" si="0"/>
        <v xml:space="preserve">CNPIS HEALTH AND SOCIAL_x000D_
CNPI 5a Number of accessible and affordable physical health assets or resources created in the identified community. _x000D_
CNPI 5b Number of accessible and affordable behavioral and mental health assets or resources created in the identified community.     _x000D_
CNPI 5c Number of public safety assets and resources created in the identified community.     _x000D_
CNPI 5d Number of accessible and affordable healthy food resources created in the identified community._x000D_
CNPI 5e Number of activities designed to improve police and community relations within the identified community._x000D_
CNPI 5z Other Counts of Change for Health and Social/Behavioral Indicators._x000D_
CNPI 5f Percent decrease in infant mortality rate in the identified community._x000D_
CNPI 5g Percent decrease in childhood obesity rate in the identified community. _x000D_
CNPI 5h Percent decrease in adult obesity rate in the identified community._x000D_
CNPI 5i Percent increase in child immunization rate in the identified community. _x000D_
CNPI 5j Percent decrease in uninsured families in the identified community. _x000D_
CNPI 5k Percent decrease in the teen pregnancy rate in the identified community._x000D_
CNPI 5l Percent decrease in unplanned pregnancies in the identified community._x000D_
CNPI 5m Percent decrease in substance abuse rate in the identified community (e.g. cigarettes, prescription drugs, narcotics, alcohol). _x000D_
CNPI 5n Percent decrease in domestic violence rate in the identified community._x000D_
CNPI 5o Percent decrease in the child abuse rate in the identified community._x000D_
CNPI 5p Percent decrease in the child neglect rate in the identified community._x000D_
CNPI 5q Percent decrease in the elder abuse rate in the identified community. _x000D_
CNPI 5r Percent decrease in the elder neglect rate in the identified community. _x000D_
CNPI 5s Percent decrease in recidivism rate in the identified community._x000D_
CNPI 5t Percent decrease in non-violent crime rate in the identified community._x000D_
CNPI 5u Percent decrease in violent crime rate in the identified community._x000D_
CNPI 5v Percent decrease in teens involved with the juvenile court system in the identified community._x000D_
CNPI 5z Other Rates of Change for Health and Social/Behavioral Indicators._x000D_
</v>
      </c>
      <c r="H15" s="94"/>
      <c r="I15" s="180"/>
      <c r="J15" s="180" t="b">
        <v>1</v>
      </c>
      <c r="K15" s="146"/>
      <c r="L15" s="9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s="101" customFormat="1" ht="191.25" x14ac:dyDescent="0.25">
      <c r="A16" s="98"/>
      <c r="B16" s="105"/>
      <c r="C16" s="322" t="s">
        <v>1954</v>
      </c>
      <c r="D16" s="323"/>
      <c r="E16" s="324"/>
      <c r="F16" s="103"/>
      <c r="G16" s="104" t="str">
        <f t="shared" si="0"/>
        <v xml:space="preserve">CNPIS HOUSING_x000D_
CNPI 4a Number of safe and affordable housing units developed in the identified community (e.g. built or set aside units for people with low incomes)._x000D_
CNPI 4b Number of safe and affordable housing units maintained and/or improved through WAP or other rehabilitation efforts in the identified community. _x000D_
CNPI 4c Number of shelter beds created in the identified community. _x000D_
CNPI 4d Number of shelter beds maintained in the identified community. _x000D_
CNPI 4z Other Counts of Change for Housing Indicators._x000D_
CNPI 4e Percent decrease in the rate of homelessness in the identified community. _x000D_
CNPI 4f Percent decrease in the foreclosure rate in the identified community._x000D_
CNPI 4g Percent increase in the rate of home ownership of people with low incomes in the identified community._x000D_
CNPI 4h Percent increase of affordable housing in the identified community._x000D_
CNPI 4i Percent increase of shelter beds in the identified community._x000D_
CNPI 4z Other Rates of Change for Housing Indicators._x000D_
</v>
      </c>
      <c r="H16" s="94"/>
      <c r="I16" s="180"/>
      <c r="J16" s="180" t="b">
        <v>1</v>
      </c>
      <c r="K16" s="146"/>
      <c r="L16" s="9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s="101" customFormat="1" ht="191.25" x14ac:dyDescent="0.25">
      <c r="A17" s="98"/>
      <c r="B17" s="105"/>
      <c r="C17" s="322" t="s">
        <v>1955</v>
      </c>
      <c r="D17" s="323"/>
      <c r="E17" s="324"/>
      <c r="F17" s="103"/>
      <c r="G17" s="104" t="str">
        <f t="shared" si="0"/>
        <v xml:space="preserve">CIVIC ENGAGEMENT_x000D_
CNPI 6 G2a Percent increase of donated time to support the CSBG Eligible Entity's delivery of services and/or implementation of strategies to address conditions of poverty in the identified community. _x000D_
CNPI 6 G2b Percent increase of donated resources to support the CSBG Eligible Entity's delivery of services and/or implementation of strategies to address conditions of poverty in the identified community. _x000D_
CNPI 6 G2c Percent increase of people participating in public hearings, policy forums, community planning, or other advisory boards related to the CSBG Eligible Entity's delivery of service and/or implementation of strategies to address conditions of poverty in the identified community._x000D_
CNPI 6 G2z Other Rates of Change for Civic Engagement and Community Involvement Indicators - Goal 2_x000D_
CNPI 6 G3a Percent increase of people with low incomes who support the CSBG Eligible Entity's delivery of service and/or implementation of strategies to address conditions of poverty in the identified community. _x000D_
CNPI 6 G3b Percent increase of people with low incomes who acquire and maintain leadership roles with the CSBG Eligible Entity or other organizations within the identified community. _x000D_
CNPI 6 G3z Other Rates of Change for Civic Engagement and Community Involvement Indicators - Goal 3_x000D_
</v>
      </c>
      <c r="H17" s="94"/>
      <c r="I17" s="180"/>
      <c r="J17" s="180" t="b">
        <v>1</v>
      </c>
      <c r="K17" s="146"/>
      <c r="L17" s="9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row>
    <row r="18" spans="1:243" s="101" customFormat="1" ht="6" customHeight="1" x14ac:dyDescent="0.25">
      <c r="A18" s="98"/>
      <c r="B18" s="106"/>
      <c r="C18" s="325"/>
      <c r="D18" s="326"/>
      <c r="E18" s="327"/>
      <c r="F18" s="103"/>
      <c r="G18" s="104"/>
      <c r="H18" s="94"/>
      <c r="I18" s="180">
        <v>6</v>
      </c>
      <c r="J18" s="146" t="b">
        <v>1</v>
      </c>
      <c r="K18" s="146"/>
      <c r="L18" s="9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row>
    <row r="19" spans="1:243" ht="31.5" x14ac:dyDescent="0.25">
      <c r="B19" s="97" t="s">
        <v>264</v>
      </c>
      <c r="C19" s="240" t="str">
        <f>M3A7Community</f>
        <v>Select the Identified Community</v>
      </c>
      <c r="D19" s="241"/>
      <c r="E19" s="242"/>
      <c r="F19" s="100"/>
      <c r="G19" s="96" t="str">
        <f t="shared" si="0"/>
        <v>Select the Identified Community</v>
      </c>
      <c r="I19" s="180">
        <v>31.5</v>
      </c>
      <c r="J19" s="180"/>
    </row>
    <row r="20" spans="1:243" ht="15.75" hidden="1" x14ac:dyDescent="0.25">
      <c r="B20" s="97"/>
      <c r="C20" s="182" t="str">
        <f>IF(D20="","","7. Other")</f>
        <v/>
      </c>
      <c r="D20" s="315" t="str">
        <f>TEXT(M3A7CommunityOther,"")</f>
        <v/>
      </c>
      <c r="E20" s="316"/>
      <c r="G20" s="96" t="str">
        <f>D20</f>
        <v/>
      </c>
      <c r="I20" s="180"/>
      <c r="J20" s="180" t="b">
        <v>1</v>
      </c>
    </row>
    <row r="21" spans="1:243" ht="31.5" x14ac:dyDescent="0.25">
      <c r="B21" s="97" t="s">
        <v>265</v>
      </c>
      <c r="C21" s="278" t="str">
        <f>M3A8Duration</f>
        <v xml:space="preserve">Enter the number of years that the initiative is expected to operate. </v>
      </c>
      <c r="D21" s="241"/>
      <c r="E21" s="242"/>
      <c r="F21" s="100"/>
      <c r="G21" s="96" t="str">
        <f t="shared" si="0"/>
        <v xml:space="preserve">Enter the number of years that the initiative is expected to operate. </v>
      </c>
      <c r="I21" s="180">
        <v>31.5</v>
      </c>
      <c r="J21" s="180"/>
    </row>
    <row r="22" spans="1:243" ht="31.5" x14ac:dyDescent="0.25">
      <c r="B22" s="97" t="s">
        <v>266</v>
      </c>
      <c r="C22" s="240" t="str">
        <f>M3A9PartnerType</f>
        <v>Select the Partnership Type</v>
      </c>
      <c r="D22" s="241"/>
      <c r="E22" s="242"/>
      <c r="F22" s="100"/>
      <c r="G22" s="96" t="str">
        <f t="shared" si="0"/>
        <v>Select the Partnership Type</v>
      </c>
      <c r="I22" s="180">
        <v>31.5</v>
      </c>
      <c r="J22" s="180"/>
    </row>
    <row r="23" spans="1:243" s="101" customFormat="1" ht="31.5" x14ac:dyDescent="0.25">
      <c r="A23" s="98"/>
      <c r="B23" s="97" t="s">
        <v>267</v>
      </c>
      <c r="C23" s="279" t="str">
        <f>M3A10Partners</f>
        <v>Provide a brief narrative on 1 – 3 partners.</v>
      </c>
      <c r="D23" s="244"/>
      <c r="E23" s="245"/>
      <c r="F23" s="100"/>
      <c r="G23" s="96" t="str">
        <f t="shared" si="0"/>
        <v>Provide a brief narrative on 1 – 3 partners.</v>
      </c>
      <c r="H23" s="94"/>
      <c r="I23" s="180">
        <v>31.5</v>
      </c>
      <c r="J23" s="180"/>
      <c r="K23" s="146"/>
      <c r="L23" s="9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row>
    <row r="24" spans="1:243" s="101" customFormat="1" ht="31.5" customHeight="1" x14ac:dyDescent="0.25">
      <c r="A24" s="98"/>
      <c r="B24" s="102" t="s">
        <v>268</v>
      </c>
      <c r="C24" s="312"/>
      <c r="D24" s="313"/>
      <c r="E24" s="314"/>
      <c r="F24" s="103"/>
      <c r="G24" s="104">
        <f t="shared" si="0"/>
        <v>0</v>
      </c>
      <c r="H24" s="94"/>
      <c r="I24" s="180">
        <v>31.5</v>
      </c>
      <c r="J24" s="180"/>
      <c r="K24" s="146"/>
      <c r="L24" s="9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row>
    <row r="25" spans="1:243" s="101" customFormat="1" ht="15.75" hidden="1" x14ac:dyDescent="0.25">
      <c r="A25" s="98"/>
      <c r="B25" s="105"/>
      <c r="C25" s="322"/>
      <c r="D25" s="323"/>
      <c r="E25" s="324"/>
      <c r="F25" s="103"/>
      <c r="G25" s="104">
        <f t="shared" si="0"/>
        <v>0</v>
      </c>
      <c r="H25" s="94"/>
      <c r="I25" s="180"/>
      <c r="J25" s="146" t="b">
        <v>1</v>
      </c>
      <c r="K25" s="146"/>
      <c r="L25" s="9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row>
    <row r="26" spans="1:243" s="101" customFormat="1" ht="15.75" hidden="1" x14ac:dyDescent="0.25">
      <c r="A26" s="98"/>
      <c r="B26" s="105"/>
      <c r="C26" s="322"/>
      <c r="D26" s="323"/>
      <c r="E26" s="324"/>
      <c r="F26" s="103"/>
      <c r="G26" s="104">
        <f t="shared" si="0"/>
        <v>0</v>
      </c>
      <c r="H26" s="94"/>
      <c r="I26" s="180"/>
      <c r="J26" s="146" t="b">
        <v>1</v>
      </c>
      <c r="K26" s="146"/>
      <c r="L26" s="9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row>
    <row r="27" spans="1:243" s="101" customFormat="1" ht="15.75" hidden="1" x14ac:dyDescent="0.25">
      <c r="A27" s="98"/>
      <c r="B27" s="105"/>
      <c r="C27" s="322"/>
      <c r="D27" s="323"/>
      <c r="E27" s="324"/>
      <c r="F27" s="103"/>
      <c r="G27" s="104">
        <f t="shared" si="0"/>
        <v>0</v>
      </c>
      <c r="H27" s="94"/>
      <c r="I27" s="180"/>
      <c r="J27" s="146" t="b">
        <v>1</v>
      </c>
      <c r="K27" s="146"/>
      <c r="L27" s="9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row>
    <row r="28" spans="1:243" s="101" customFormat="1" ht="15.75" hidden="1" x14ac:dyDescent="0.25">
      <c r="A28" s="98"/>
      <c r="B28" s="105"/>
      <c r="C28" s="322"/>
      <c r="D28" s="323"/>
      <c r="E28" s="324"/>
      <c r="F28" s="103"/>
      <c r="G28" s="104">
        <f t="shared" si="0"/>
        <v>0</v>
      </c>
      <c r="H28" s="94"/>
      <c r="I28" s="180"/>
      <c r="J28" s="146" t="b">
        <v>1</v>
      </c>
      <c r="K28" s="146"/>
      <c r="L28" s="9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row>
    <row r="29" spans="1:243" s="101" customFormat="1" ht="15.75" hidden="1" x14ac:dyDescent="0.25">
      <c r="A29" s="98"/>
      <c r="B29" s="105"/>
      <c r="C29" s="322"/>
      <c r="D29" s="323"/>
      <c r="E29" s="324"/>
      <c r="F29" s="103"/>
      <c r="G29" s="104">
        <f t="shared" si="0"/>
        <v>0</v>
      </c>
      <c r="H29" s="94"/>
      <c r="I29" s="180"/>
      <c r="J29" s="146" t="b">
        <v>1</v>
      </c>
      <c r="K29" s="146"/>
      <c r="L29" s="9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row>
    <row r="30" spans="1:243" s="101" customFormat="1" ht="15.75" hidden="1" x14ac:dyDescent="0.25">
      <c r="A30" s="98"/>
      <c r="B30" s="105"/>
      <c r="C30" s="322"/>
      <c r="D30" s="323"/>
      <c r="E30" s="324"/>
      <c r="F30" s="103"/>
      <c r="G30" s="104">
        <f t="shared" si="0"/>
        <v>0</v>
      </c>
      <c r="H30" s="94"/>
      <c r="I30" s="180"/>
      <c r="J30" s="146" t="b">
        <v>1</v>
      </c>
      <c r="K30" s="146"/>
      <c r="L30" s="9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row>
    <row r="31" spans="1:243" s="101" customFormat="1" ht="15.75" hidden="1" x14ac:dyDescent="0.25">
      <c r="A31" s="98"/>
      <c r="B31" s="105"/>
      <c r="C31" s="322"/>
      <c r="D31" s="323"/>
      <c r="E31" s="324"/>
      <c r="F31" s="103"/>
      <c r="G31" s="104">
        <f>C31</f>
        <v>0</v>
      </c>
      <c r="H31" s="94"/>
      <c r="I31" s="180"/>
      <c r="J31" s="146" t="b">
        <v>1</v>
      </c>
      <c r="K31" s="146"/>
      <c r="L31" s="9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row>
    <row r="32" spans="1:243" s="101" customFormat="1" ht="6" customHeight="1" x14ac:dyDescent="0.25">
      <c r="A32" s="98"/>
      <c r="B32" s="106"/>
      <c r="C32" s="325"/>
      <c r="D32" s="326"/>
      <c r="E32" s="327"/>
      <c r="F32" s="103"/>
      <c r="G32" s="104"/>
      <c r="H32" s="94"/>
      <c r="I32" s="180">
        <v>6</v>
      </c>
      <c r="J32" s="146" t="b">
        <v>1</v>
      </c>
      <c r="K32" s="146"/>
      <c r="L32" s="9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row>
    <row r="33" spans="1:243" ht="31.5" customHeight="1" x14ac:dyDescent="0.25">
      <c r="B33" s="97" t="s">
        <v>269</v>
      </c>
      <c r="C33" s="317" t="str">
        <f>M3A12Progress</f>
        <v>Select the Progress on Outcomes/Indicators</v>
      </c>
      <c r="D33" s="241"/>
      <c r="E33" s="242"/>
      <c r="F33" s="100"/>
      <c r="G33" s="96" t="str">
        <f t="shared" si="0"/>
        <v>Select the Progress on Outcomes/Indicators</v>
      </c>
      <c r="I33" s="180">
        <v>31.5</v>
      </c>
      <c r="J33" s="180"/>
    </row>
    <row r="34" spans="1:243" ht="31.5" customHeight="1" x14ac:dyDescent="0.25">
      <c r="B34" s="97" t="s">
        <v>270</v>
      </c>
      <c r="C34" s="279" t="str">
        <f>M3A13Impact</f>
        <v>Provide a narrative on the outcomes’ scope of impact if interim or final outcomes are reported.</v>
      </c>
      <c r="D34" s="244"/>
      <c r="E34" s="245"/>
      <c r="F34" s="100"/>
      <c r="G34" s="96" t="str">
        <f t="shared" si="0"/>
        <v>Provide a narrative on the outcomes’ scope of impact if interim or final outcomes are reported.</v>
      </c>
      <c r="I34" s="180">
        <v>31.5</v>
      </c>
      <c r="J34" s="180"/>
    </row>
    <row r="35" spans="1:243" ht="31.5" customHeight="1" x14ac:dyDescent="0.25">
      <c r="B35" s="102" t="s">
        <v>271</v>
      </c>
      <c r="C35" s="318"/>
      <c r="D35" s="319"/>
      <c r="E35" s="320"/>
      <c r="F35" s="107"/>
      <c r="G35" s="104">
        <f t="shared" si="0"/>
        <v>0</v>
      </c>
      <c r="I35" s="180">
        <v>31.5</v>
      </c>
      <c r="J35" s="180"/>
    </row>
    <row r="36" spans="1:243" s="101" customFormat="1" ht="31.5" x14ac:dyDescent="0.25">
      <c r="A36" s="98"/>
      <c r="B36" s="99" t="s">
        <v>272</v>
      </c>
      <c r="C36" s="321" t="str">
        <f>M3A15Status</f>
        <v>Select the Final Status</v>
      </c>
      <c r="D36" s="241"/>
      <c r="E36" s="242"/>
      <c r="F36" s="94"/>
      <c r="G36" s="96" t="str">
        <f t="shared" si="0"/>
        <v>Select the Final Status</v>
      </c>
      <c r="H36" s="94"/>
      <c r="I36" s="180">
        <v>31.5</v>
      </c>
      <c r="J36" s="180"/>
      <c r="K36" s="146"/>
      <c r="L36" s="9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row>
    <row r="37" spans="1:243" ht="31.5" x14ac:dyDescent="0.25">
      <c r="B37" s="99" t="s">
        <v>273</v>
      </c>
      <c r="C37" s="243" t="str">
        <f>M3A16Lessons</f>
        <v>Provide a narrative on any lessons learned during the implementation of the initiative.</v>
      </c>
      <c r="D37" s="244"/>
      <c r="E37" s="245"/>
      <c r="F37" s="100"/>
      <c r="G37" s="96" t="str">
        <f t="shared" si="0"/>
        <v>Provide a narrative on any lessons learned during the implementation of the initiative.</v>
      </c>
      <c r="I37" s="180">
        <v>31.5</v>
      </c>
      <c r="J37" s="180"/>
    </row>
    <row r="38" spans="1:243" x14ac:dyDescent="0.25">
      <c r="I38" s="180"/>
    </row>
    <row r="39" spans="1:243" x14ac:dyDescent="0.25">
      <c r="C39" s="5"/>
    </row>
    <row r="40" spans="1:243" x14ac:dyDescent="0.25">
      <c r="C40" s="5"/>
    </row>
  </sheetData>
  <sheetProtection algorithmName="SHA-512" hashValue="xuksA9ITnmoj2MkxHsArnvpXw5IBz1enMODSdUNVBZFXcyhoiixQKtjgFpULpxmXBReedFiwArNn3WSREfMfjg==" saltValue="o596WNvfdkGH5kC/gmbS/Q==" spinCount="100000" sheet="1" objects="1" scenarios="1" formatCells="0"/>
  <mergeCells count="34">
    <mergeCell ref="C16:E16"/>
    <mergeCell ref="C32:E32"/>
    <mergeCell ref="C25:E25"/>
    <mergeCell ref="C17:E17"/>
    <mergeCell ref="C27:E27"/>
    <mergeCell ref="C28:E28"/>
    <mergeCell ref="C29:E29"/>
    <mergeCell ref="C30:E30"/>
    <mergeCell ref="C31:E31"/>
    <mergeCell ref="C26:E26"/>
    <mergeCell ref="C37:E37"/>
    <mergeCell ref="C12:E12"/>
    <mergeCell ref="C19:E19"/>
    <mergeCell ref="D20:E20"/>
    <mergeCell ref="C21:E21"/>
    <mergeCell ref="C22:E22"/>
    <mergeCell ref="C23:E23"/>
    <mergeCell ref="C24:E24"/>
    <mergeCell ref="C33:E33"/>
    <mergeCell ref="C34:E34"/>
    <mergeCell ref="C35:E35"/>
    <mergeCell ref="C36:E36"/>
    <mergeCell ref="C13:E13"/>
    <mergeCell ref="C18:E18"/>
    <mergeCell ref="C14:E14"/>
    <mergeCell ref="C15:E15"/>
    <mergeCell ref="C9:E9"/>
    <mergeCell ref="C10:E10"/>
    <mergeCell ref="C11:E11"/>
    <mergeCell ref="B1:E1"/>
    <mergeCell ref="C3:E3"/>
    <mergeCell ref="C7:E7"/>
    <mergeCell ref="C8:E8"/>
    <mergeCell ref="C6:E6"/>
  </mergeCells>
  <pageMargins left="0.7" right="0.7" top="0.75" bottom="0.75" header="0.3" footer="0.3"/>
  <pageSetup scale="69" fitToHeight="0" orientation="portrait" r:id="rId1"/>
  <headerFooter>
    <oddFooter>&amp;CModule 3, Section A: Community Initiative Status Form</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404" r:id="rId4" name="cbA5_EMP">
              <controlPr locked="0" defaultSize="0" autoFill="0" autoLine="0" autoPict="0" macro="[0]!StatusForm_cbA5_Click">
                <anchor moveWithCells="1">
                  <from>
                    <xdr:col>2</xdr:col>
                    <xdr:colOff>209550</xdr:colOff>
                    <xdr:row>10</xdr:row>
                    <xdr:rowOff>47625</xdr:rowOff>
                  </from>
                  <to>
                    <xdr:col>2</xdr:col>
                    <xdr:colOff>1085850</xdr:colOff>
                    <xdr:row>10</xdr:row>
                    <xdr:rowOff>285750</xdr:rowOff>
                  </to>
                </anchor>
              </controlPr>
            </control>
          </mc:Choice>
        </mc:AlternateContent>
        <mc:AlternateContent xmlns:mc="http://schemas.openxmlformats.org/markup-compatibility/2006">
          <mc:Choice Requires="x14">
            <control shapeId="16405" r:id="rId5" name="cbA5_HOU">
              <controlPr locked="0" defaultSize="0" autoFill="0" autoLine="0" autoPict="0" macro="[0]!StatusForm_cbA5_Click">
                <anchor moveWithCells="1">
                  <from>
                    <xdr:col>2</xdr:col>
                    <xdr:colOff>228600</xdr:colOff>
                    <xdr:row>10</xdr:row>
                    <xdr:rowOff>333375</xdr:rowOff>
                  </from>
                  <to>
                    <xdr:col>2</xdr:col>
                    <xdr:colOff>1104900</xdr:colOff>
                    <xdr:row>10</xdr:row>
                    <xdr:rowOff>571500</xdr:rowOff>
                  </to>
                </anchor>
              </controlPr>
            </control>
          </mc:Choice>
        </mc:AlternateContent>
        <mc:AlternateContent xmlns:mc="http://schemas.openxmlformats.org/markup-compatibility/2006">
          <mc:Choice Requires="x14">
            <control shapeId="16406" r:id="rId6" name="cbA5_EDU">
              <controlPr locked="0" defaultSize="0" autoFill="0" autoLine="0" autoPict="0" macro="[0]!StatusForm_cbA5_Click">
                <anchor moveWithCells="1">
                  <from>
                    <xdr:col>2</xdr:col>
                    <xdr:colOff>1190625</xdr:colOff>
                    <xdr:row>10</xdr:row>
                    <xdr:rowOff>57150</xdr:rowOff>
                  </from>
                  <to>
                    <xdr:col>4</xdr:col>
                    <xdr:colOff>495300</xdr:colOff>
                    <xdr:row>10</xdr:row>
                    <xdr:rowOff>295275</xdr:rowOff>
                  </to>
                </anchor>
              </controlPr>
            </control>
          </mc:Choice>
        </mc:AlternateContent>
        <mc:AlternateContent xmlns:mc="http://schemas.openxmlformats.org/markup-compatibility/2006">
          <mc:Choice Requires="x14">
            <control shapeId="16407" r:id="rId7" name="cbA5_INF">
              <controlPr locked="0" defaultSize="0" autoFill="0" autoLine="0" autoPict="0" macro="[0]!StatusForm_cbA5_Click">
                <anchor moveWithCells="1">
                  <from>
                    <xdr:col>2</xdr:col>
                    <xdr:colOff>1181100</xdr:colOff>
                    <xdr:row>10</xdr:row>
                    <xdr:rowOff>333375</xdr:rowOff>
                  </from>
                  <to>
                    <xdr:col>4</xdr:col>
                    <xdr:colOff>485775</xdr:colOff>
                    <xdr:row>10</xdr:row>
                    <xdr:rowOff>571500</xdr:rowOff>
                  </to>
                </anchor>
              </controlPr>
            </control>
          </mc:Choice>
        </mc:AlternateContent>
        <mc:AlternateContent xmlns:mc="http://schemas.openxmlformats.org/markup-compatibility/2006">
          <mc:Choice Requires="x14">
            <control shapeId="16408" r:id="rId8" name="cbA5_HLTH">
              <controlPr locked="0" defaultSize="0" autoFill="0" autoLine="0" autoPict="0" macro="[0]!StatusForm_cbA5_Click">
                <anchor moveWithCells="1">
                  <from>
                    <xdr:col>4</xdr:col>
                    <xdr:colOff>1019175</xdr:colOff>
                    <xdr:row>10</xdr:row>
                    <xdr:rowOff>76200</xdr:rowOff>
                  </from>
                  <to>
                    <xdr:col>4</xdr:col>
                    <xdr:colOff>3171825</xdr:colOff>
                    <xdr:row>10</xdr:row>
                    <xdr:rowOff>314325</xdr:rowOff>
                  </to>
                </anchor>
              </controlPr>
            </control>
          </mc:Choice>
        </mc:AlternateContent>
        <mc:AlternateContent xmlns:mc="http://schemas.openxmlformats.org/markup-compatibility/2006">
          <mc:Choice Requires="x14">
            <control shapeId="16409" r:id="rId9" name="cbA5_CIVG">
              <controlPr locked="0" defaultSize="0" autoFill="0" autoLine="0" autoPict="0" macro="[0]!StatusForm_cbA5_Click">
                <anchor moveWithCells="1">
                  <from>
                    <xdr:col>4</xdr:col>
                    <xdr:colOff>1028700</xdr:colOff>
                    <xdr:row>10</xdr:row>
                    <xdr:rowOff>333375</xdr:rowOff>
                  </from>
                  <to>
                    <xdr:col>4</xdr:col>
                    <xdr:colOff>3733800</xdr:colOff>
                    <xdr:row>10</xdr:row>
                    <xdr:rowOff>571500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tatus_Form">
    <tabColor rgb="FFC00000"/>
    <pageSetUpPr fitToPage="1"/>
  </sheetPr>
  <dimension ref="A1:AC29"/>
  <sheetViews>
    <sheetView showGridLines="0" topLeftCell="A20" zoomScaleNormal="100" workbookViewId="0">
      <selection activeCell="C23" sqref="C23:E23"/>
    </sheetView>
  </sheetViews>
  <sheetFormatPr defaultColWidth="0" defaultRowHeight="14.45" customHeight="1" x14ac:dyDescent="0.25"/>
  <cols>
    <col min="1" max="1" width="3" customWidth="1"/>
    <col min="2" max="2" width="35.140625" customWidth="1"/>
    <col min="3" max="3" width="29.28515625" customWidth="1"/>
    <col min="4" max="4" width="10.5703125" customWidth="1"/>
    <col min="5" max="5" width="55.28515625" customWidth="1"/>
    <col min="6" max="6" width="7.85546875" customWidth="1"/>
    <col min="7" max="20" width="8.85546875" customWidth="1"/>
    <col min="21" max="21" width="3.85546875" hidden="1" customWidth="1"/>
    <col min="22" max="25" width="9" hidden="1" customWidth="1"/>
    <col min="26" max="26" width="20.5703125" hidden="1" customWidth="1"/>
    <col min="27" max="27" width="23.140625" hidden="1" customWidth="1"/>
    <col min="28" max="28" width="14.5703125" hidden="1" customWidth="1"/>
    <col min="29" max="16384" width="9" hidden="1"/>
  </cols>
  <sheetData>
    <row r="1" spans="1:29" s="81" customFormat="1" ht="22.5" customHeight="1" x14ac:dyDescent="0.2">
      <c r="A1" s="89"/>
      <c r="B1" s="276" t="s">
        <v>127</v>
      </c>
      <c r="C1" s="276"/>
      <c r="D1" s="277"/>
      <c r="E1" s="277"/>
      <c r="F1" s="82"/>
    </row>
    <row r="2" spans="1:29" s="81" customFormat="1" ht="18" customHeight="1" x14ac:dyDescent="0.25">
      <c r="B2" s="65"/>
      <c r="C2" s="65"/>
      <c r="D2" s="65"/>
      <c r="E2" s="65"/>
      <c r="F2" s="83"/>
      <c r="O2"/>
      <c r="P2"/>
      <c r="Q2"/>
      <c r="R2"/>
      <c r="S2"/>
      <c r="T2" s="91" t="s">
        <v>309</v>
      </c>
      <c r="U2"/>
      <c r="V2"/>
      <c r="W2"/>
      <c r="X2"/>
      <c r="Y2"/>
      <c r="Z2"/>
      <c r="AA2"/>
      <c r="AB2"/>
      <c r="AC2"/>
    </row>
    <row r="3" spans="1:29" s="81" customFormat="1" ht="15" customHeight="1" x14ac:dyDescent="0.25">
      <c r="B3" s="113" t="s">
        <v>1512</v>
      </c>
      <c r="C3" s="246" t="s">
        <v>1543</v>
      </c>
      <c r="D3" s="247"/>
      <c r="E3" s="248"/>
      <c r="F3" s="84"/>
      <c r="G3" s="275" t="s">
        <v>1515</v>
      </c>
      <c r="H3" s="255"/>
      <c r="I3" s="255"/>
      <c r="J3" s="255"/>
      <c r="K3" s="255"/>
      <c r="L3" s="255"/>
      <c r="M3" s="255"/>
      <c r="N3" s="255"/>
      <c r="O3" s="255"/>
      <c r="P3" s="255"/>
      <c r="Q3" s="255"/>
      <c r="R3"/>
      <c r="S3"/>
      <c r="T3" s="90"/>
      <c r="U3"/>
      <c r="V3"/>
      <c r="W3"/>
      <c r="X3"/>
      <c r="Y3"/>
      <c r="Z3"/>
      <c r="AA3"/>
      <c r="AB3"/>
      <c r="AC3"/>
    </row>
    <row r="4" spans="1:29" ht="15" customHeight="1" x14ac:dyDescent="0.25">
      <c r="B4" s="114" t="s">
        <v>1138</v>
      </c>
      <c r="C4" s="116" t="s">
        <v>1541</v>
      </c>
      <c r="D4" s="115" t="s">
        <v>1606</v>
      </c>
      <c r="E4" s="120" t="s">
        <v>1540</v>
      </c>
      <c r="G4" s="255"/>
      <c r="H4" s="255"/>
      <c r="I4" s="255"/>
      <c r="J4" s="255"/>
      <c r="K4" s="255"/>
      <c r="L4" s="255"/>
      <c r="M4" s="255"/>
      <c r="N4" s="255"/>
      <c r="O4" s="255"/>
      <c r="P4" s="255"/>
      <c r="Q4" s="255"/>
    </row>
    <row r="5" spans="1:29" ht="7.15" customHeight="1" x14ac:dyDescent="0.25">
      <c r="O5" s="77"/>
    </row>
    <row r="6" spans="1:29" ht="9" customHeight="1" x14ac:dyDescent="0.25"/>
    <row r="7" spans="1:29" ht="15" customHeight="1" x14ac:dyDescent="0.25">
      <c r="G7" s="127"/>
      <c r="H7" s="77"/>
      <c r="I7" s="272" t="s">
        <v>270</v>
      </c>
      <c r="J7" s="273"/>
      <c r="K7" s="273"/>
      <c r="L7" s="273"/>
      <c r="M7" s="273"/>
      <c r="N7" s="273"/>
      <c r="O7" s="273"/>
      <c r="P7" s="273"/>
      <c r="Q7" s="273"/>
    </row>
    <row r="8" spans="1:29" ht="15" customHeight="1" x14ac:dyDescent="0.25">
      <c r="B8" s="128" t="s">
        <v>1547</v>
      </c>
      <c r="C8" s="283" t="s">
        <v>1701</v>
      </c>
      <c r="D8" s="284"/>
      <c r="E8" s="285"/>
      <c r="G8" s="127"/>
      <c r="H8" s="77"/>
      <c r="I8" s="274"/>
      <c r="J8" s="274"/>
      <c r="K8" s="274"/>
      <c r="L8" s="274"/>
      <c r="M8" s="274"/>
      <c r="N8" s="274"/>
      <c r="O8" s="274"/>
      <c r="P8" s="274"/>
      <c r="Q8" s="274"/>
      <c r="Z8" s="158" t="s">
        <v>1660</v>
      </c>
    </row>
    <row r="9" spans="1:29" ht="16.149999999999999" customHeight="1" x14ac:dyDescent="0.25">
      <c r="B9" s="85"/>
      <c r="C9" s="262" t="s">
        <v>102</v>
      </c>
      <c r="D9" s="263"/>
      <c r="E9" s="264"/>
      <c r="F9" s="76"/>
      <c r="G9" s="249" t="s">
        <v>1673</v>
      </c>
      <c r="H9" s="250"/>
      <c r="I9" s="250"/>
      <c r="J9" s="250"/>
      <c r="K9" s="250"/>
      <c r="L9" s="250"/>
      <c r="M9" s="250"/>
      <c r="N9" s="250"/>
      <c r="O9" s="250"/>
      <c r="P9" s="250"/>
      <c r="Q9" s="250"/>
      <c r="R9" s="251"/>
      <c r="S9" s="251"/>
      <c r="T9" s="252"/>
      <c r="Z9" s="157">
        <f>COLUMN(Z8)</f>
        <v>26</v>
      </c>
      <c r="AA9" s="132" t="s">
        <v>281</v>
      </c>
      <c r="AB9" s="132" t="s">
        <v>1659</v>
      </c>
      <c r="AC9" t="s">
        <v>1664</v>
      </c>
    </row>
    <row r="10" spans="1:29" ht="27" customHeight="1" x14ac:dyDescent="0.25">
      <c r="B10" s="86" t="s">
        <v>258</v>
      </c>
      <c r="C10" s="261" t="s">
        <v>2030</v>
      </c>
      <c r="D10" s="244"/>
      <c r="E10" s="245"/>
      <c r="G10" s="253"/>
      <c r="H10" s="254"/>
      <c r="I10" s="254"/>
      <c r="J10" s="254"/>
      <c r="K10" s="254"/>
      <c r="L10" s="254"/>
      <c r="M10" s="254"/>
      <c r="N10" s="254"/>
      <c r="O10" s="254"/>
      <c r="P10" s="254"/>
      <c r="Q10" s="254"/>
      <c r="R10" s="255"/>
      <c r="S10" s="255"/>
      <c r="T10" s="256"/>
      <c r="Z10" s="38" t="s">
        <v>914</v>
      </c>
      <c r="AA10" s="33" t="str">
        <f>_xlfn.XLOOKUP(Z10,'XML Export Map'!B:B,'XML Export Map'!E:E,"")</f>
        <v>Memo</v>
      </c>
      <c r="AB10" s="33">
        <f>_xlfn.XLOOKUP(Z10,'XML Export Map'!B:B,'XML Export Map'!G:G,"")</f>
        <v>500</v>
      </c>
      <c r="AC10" s="168" t="s">
        <v>1665</v>
      </c>
    </row>
    <row r="11" spans="1:29" ht="27" customHeight="1" x14ac:dyDescent="0.25">
      <c r="B11" s="86" t="s">
        <v>259</v>
      </c>
      <c r="C11" s="240" t="s">
        <v>1702</v>
      </c>
      <c r="D11" s="241"/>
      <c r="E11" s="242"/>
      <c r="G11" s="253"/>
      <c r="H11" s="254"/>
      <c r="I11" s="254"/>
      <c r="J11" s="254"/>
      <c r="K11" s="254"/>
      <c r="L11" s="254"/>
      <c r="M11" s="254"/>
      <c r="N11" s="254"/>
      <c r="O11" s="254"/>
      <c r="P11" s="254"/>
      <c r="Q11" s="254"/>
      <c r="R11" s="255"/>
      <c r="S11" s="255"/>
      <c r="T11" s="256"/>
      <c r="Z11" s="132" t="s">
        <v>915</v>
      </c>
      <c r="AA11" s="33" t="str">
        <f>_xlfn.XLOOKUP(Z11,'XML Export Map'!B:B,'XML Export Map'!E:E,"")</f>
        <v>DropDown</v>
      </c>
      <c r="AB11" s="33">
        <f>_xlfn.XLOOKUP(Z11,'XML Export Map'!B:B,'XML Export Map'!G:G,"")</f>
        <v>0</v>
      </c>
      <c r="AC11" s="58"/>
    </row>
    <row r="12" spans="1:29" s="1" customFormat="1" ht="31.5" customHeight="1" x14ac:dyDescent="0.25">
      <c r="A12" s="87"/>
      <c r="B12" s="88" t="s">
        <v>261</v>
      </c>
      <c r="C12" s="243"/>
      <c r="D12" s="244"/>
      <c r="E12" s="245"/>
      <c r="G12" s="253"/>
      <c r="H12" s="254"/>
      <c r="I12" s="254"/>
      <c r="J12" s="254"/>
      <c r="K12" s="254"/>
      <c r="L12" s="254"/>
      <c r="M12" s="254"/>
      <c r="N12" s="254"/>
      <c r="O12" s="254"/>
      <c r="P12" s="254"/>
      <c r="Q12" s="254"/>
      <c r="R12" s="255"/>
      <c r="S12" s="255"/>
      <c r="T12" s="256"/>
      <c r="U12"/>
      <c r="V12"/>
      <c r="W12"/>
      <c r="X12"/>
      <c r="Y12"/>
      <c r="Z12" s="33" t="s">
        <v>916</v>
      </c>
      <c r="AA12" s="33" t="str">
        <f>_xlfn.XLOOKUP(Z12,'XML Export Map'!B:B,'XML Export Map'!E:E,"")</f>
        <v>Memo</v>
      </c>
      <c r="AB12" s="33">
        <f>_xlfn.XLOOKUP(Z12,'XML Export Map'!B:B,'XML Export Map'!G:G,"")</f>
        <v>5000</v>
      </c>
      <c r="AC12" s="169" t="s">
        <v>1666</v>
      </c>
    </row>
    <row r="13" spans="1:29" s="1" customFormat="1" ht="36" customHeight="1" x14ac:dyDescent="0.25">
      <c r="A13" s="87"/>
      <c r="B13" s="86" t="s">
        <v>260</v>
      </c>
      <c r="C13" s="265" t="s">
        <v>1946</v>
      </c>
      <c r="D13" s="244"/>
      <c r="E13" s="245"/>
      <c r="G13" s="253"/>
      <c r="H13" s="254"/>
      <c r="I13" s="254"/>
      <c r="J13" s="254"/>
      <c r="K13" s="254"/>
      <c r="L13" s="254"/>
      <c r="M13" s="254"/>
      <c r="N13" s="254"/>
      <c r="O13" s="254"/>
      <c r="P13" s="254"/>
      <c r="Q13" s="254"/>
      <c r="R13" s="255"/>
      <c r="S13" s="255"/>
      <c r="T13" s="256"/>
      <c r="U13"/>
      <c r="V13"/>
      <c r="W13"/>
      <c r="X13"/>
      <c r="Y13"/>
      <c r="Z13" s="33" t="s">
        <v>306</v>
      </c>
      <c r="AA13" s="33" t="str">
        <f>_xlfn.XLOOKUP(Z13,'XML Export Map'!B:B,'XML Export Map'!E:E,"")</f>
        <v>Memo</v>
      </c>
      <c r="AB13" s="33">
        <f>_xlfn.XLOOKUP(Z13,'XML Export Map'!B:B,'XML Export Map'!G:G,"")</f>
        <v>5000</v>
      </c>
      <c r="AC13" s="169" t="s">
        <v>1667</v>
      </c>
    </row>
    <row r="14" spans="1:29" s="1" customFormat="1" ht="65.25" customHeight="1" x14ac:dyDescent="0.25">
      <c r="A14" s="87"/>
      <c r="B14" s="88" t="s">
        <v>262</v>
      </c>
      <c r="C14" s="266"/>
      <c r="D14" s="244"/>
      <c r="E14" s="245"/>
      <c r="G14" s="253"/>
      <c r="H14" s="254"/>
      <c r="I14" s="254"/>
      <c r="J14" s="254"/>
      <c r="K14" s="254"/>
      <c r="L14" s="254"/>
      <c r="M14" s="254"/>
      <c r="N14" s="254"/>
      <c r="O14" s="254"/>
      <c r="P14" s="254"/>
      <c r="Q14" s="254"/>
      <c r="R14" s="255"/>
      <c r="S14" s="255"/>
      <c r="T14" s="256"/>
      <c r="U14"/>
      <c r="V14"/>
      <c r="X14"/>
      <c r="Y14"/>
      <c r="Z14" s="132"/>
      <c r="AA14" s="132"/>
      <c r="AB14"/>
      <c r="AC14"/>
    </row>
    <row r="15" spans="1:29" s="1" customFormat="1" ht="43.5" customHeight="1" x14ac:dyDescent="0.25">
      <c r="A15" s="87"/>
      <c r="B15" s="86" t="s">
        <v>263</v>
      </c>
      <c r="C15" s="267"/>
      <c r="D15" s="268"/>
      <c r="E15" s="269"/>
      <c r="F15" s="87"/>
      <c r="G15" s="253"/>
      <c r="H15" s="254"/>
      <c r="I15" s="254"/>
      <c r="J15" s="254"/>
      <c r="K15" s="254"/>
      <c r="L15" s="254"/>
      <c r="M15" s="254"/>
      <c r="N15" s="254"/>
      <c r="O15" s="254"/>
      <c r="P15" s="254"/>
      <c r="Q15" s="254"/>
      <c r="R15" s="255"/>
      <c r="S15" s="255"/>
      <c r="T15" s="256"/>
      <c r="U15"/>
      <c r="V15"/>
      <c r="X15"/>
      <c r="Y15"/>
      <c r="Z15" s="132" t="s">
        <v>1661</v>
      </c>
      <c r="AA15" s="132"/>
      <c r="AB15"/>
      <c r="AC15"/>
    </row>
    <row r="16" spans="1:29" ht="31.5" customHeight="1" x14ac:dyDescent="0.25">
      <c r="B16" s="86" t="s">
        <v>264</v>
      </c>
      <c r="C16" s="240" t="s">
        <v>1703</v>
      </c>
      <c r="D16" s="241"/>
      <c r="E16" s="242"/>
      <c r="F16" s="1"/>
      <c r="G16" s="253"/>
      <c r="H16" s="254"/>
      <c r="I16" s="254"/>
      <c r="J16" s="254"/>
      <c r="K16" s="254"/>
      <c r="L16" s="254"/>
      <c r="M16" s="254"/>
      <c r="N16" s="254"/>
      <c r="O16" s="254"/>
      <c r="P16" s="254"/>
      <c r="Q16" s="254"/>
      <c r="R16" s="255"/>
      <c r="S16" s="255"/>
      <c r="T16" s="256"/>
      <c r="Z16" s="132" t="s">
        <v>322</v>
      </c>
      <c r="AA16" s="33" t="str">
        <f>_xlfn.XLOOKUP(Z16,'XML Export Map'!B:B,'XML Export Map'!E:E,"")</f>
        <v>DropDown</v>
      </c>
      <c r="AB16" s="33">
        <f>_xlfn.XLOOKUP(Z16,'XML Export Map'!B:B,'XML Export Map'!G:G,"")</f>
        <v>0</v>
      </c>
      <c r="AC16" s="58"/>
    </row>
    <row r="17" spans="1:29" ht="15" hidden="1" customHeight="1" x14ac:dyDescent="0.25">
      <c r="B17" s="86"/>
      <c r="C17" s="37" t="s">
        <v>319</v>
      </c>
      <c r="D17" s="270"/>
      <c r="E17" s="271"/>
      <c r="G17" s="253"/>
      <c r="H17" s="254"/>
      <c r="I17" s="254"/>
      <c r="J17" s="254"/>
      <c r="K17" s="254"/>
      <c r="L17" s="254"/>
      <c r="M17" s="254"/>
      <c r="N17" s="254"/>
      <c r="O17" s="254"/>
      <c r="P17" s="254"/>
      <c r="Q17" s="254"/>
      <c r="R17" s="255"/>
      <c r="S17" s="255"/>
      <c r="T17" s="256"/>
      <c r="Z17" s="132"/>
      <c r="AA17" s="33">
        <f>_xlfn.XLOOKUP(Z17,'XML Export Map'!B:B,'XML Export Map'!E:E,"")</f>
        <v>0</v>
      </c>
      <c r="AB17" s="33">
        <f>_xlfn.XLOOKUP(Z17,'XML Export Map'!B:B,'XML Export Map'!G:G,"")</f>
        <v>0</v>
      </c>
    </row>
    <row r="18" spans="1:29" ht="31.5" customHeight="1" x14ac:dyDescent="0.25">
      <c r="B18" s="86" t="s">
        <v>265</v>
      </c>
      <c r="C18" s="456" t="s">
        <v>1675</v>
      </c>
      <c r="D18" s="457"/>
      <c r="E18" s="458"/>
      <c r="F18" s="1"/>
      <c r="G18" s="253"/>
      <c r="H18" s="254"/>
      <c r="I18" s="254"/>
      <c r="J18" s="254"/>
      <c r="K18" s="254"/>
      <c r="L18" s="254"/>
      <c r="M18" s="254"/>
      <c r="N18" s="254"/>
      <c r="O18" s="254"/>
      <c r="P18" s="254"/>
      <c r="Q18" s="254"/>
      <c r="R18" s="255"/>
      <c r="S18" s="255"/>
      <c r="T18" s="256"/>
      <c r="Z18" s="38" t="s">
        <v>492</v>
      </c>
      <c r="AA18" s="33" t="str">
        <f>_xlfn.XLOOKUP(Z18,'XML Export Map'!B:B,'XML Export Map'!E:E,"")</f>
        <v>Memo</v>
      </c>
      <c r="AB18" s="33">
        <f>_xlfn.XLOOKUP(Z18,'XML Export Map'!B:B,'XML Export Map'!G:G,"")</f>
        <v>5000</v>
      </c>
      <c r="AC18" s="170" t="s">
        <v>1668</v>
      </c>
    </row>
    <row r="19" spans="1:29" ht="31.5" customHeight="1" x14ac:dyDescent="0.25">
      <c r="B19" s="86" t="s">
        <v>266</v>
      </c>
      <c r="C19" s="240" t="s">
        <v>1704</v>
      </c>
      <c r="D19" s="241"/>
      <c r="E19" s="242"/>
      <c r="F19" s="1"/>
      <c r="G19" s="253"/>
      <c r="H19" s="254"/>
      <c r="I19" s="254"/>
      <c r="J19" s="254"/>
      <c r="K19" s="254"/>
      <c r="L19" s="254"/>
      <c r="M19" s="254"/>
      <c r="N19" s="254"/>
      <c r="O19" s="254"/>
      <c r="P19" s="254"/>
      <c r="Q19" s="254"/>
      <c r="R19" s="255"/>
      <c r="S19" s="255"/>
      <c r="T19" s="256"/>
      <c r="Z19" s="132" t="s">
        <v>1136</v>
      </c>
      <c r="AA19" s="33" t="str">
        <f>_xlfn.XLOOKUP(Z19,'XML Export Map'!B:B,'XML Export Map'!E:E,"")</f>
        <v>DropDown</v>
      </c>
      <c r="AB19" s="33">
        <f>_xlfn.XLOOKUP(Z19,'XML Export Map'!B:B,'XML Export Map'!G:G,"")</f>
        <v>0</v>
      </c>
      <c r="AC19" s="58"/>
    </row>
    <row r="20" spans="1:29" s="1" customFormat="1" ht="32.65" customHeight="1" x14ac:dyDescent="0.25">
      <c r="A20" s="87"/>
      <c r="B20" s="86" t="s">
        <v>267</v>
      </c>
      <c r="C20" s="279" t="s">
        <v>1674</v>
      </c>
      <c r="D20" s="244"/>
      <c r="E20" s="245"/>
      <c r="G20" s="253"/>
      <c r="H20" s="254"/>
      <c r="I20" s="254"/>
      <c r="J20" s="254"/>
      <c r="K20" s="254"/>
      <c r="L20" s="254"/>
      <c r="M20" s="254"/>
      <c r="N20" s="254"/>
      <c r="O20" s="254"/>
      <c r="P20" s="254"/>
      <c r="Q20" s="254"/>
      <c r="R20" s="255"/>
      <c r="S20" s="255"/>
      <c r="T20" s="256"/>
      <c r="U20"/>
      <c r="V20"/>
      <c r="W20"/>
      <c r="X20"/>
      <c r="Y20"/>
      <c r="Z20" s="38" t="s">
        <v>308</v>
      </c>
      <c r="AA20" s="33" t="str">
        <f>_xlfn.XLOOKUP(Z20,'XML Export Map'!B:B,'XML Export Map'!E:E,"")</f>
        <v>Memo</v>
      </c>
      <c r="AB20" s="33">
        <f>_xlfn.XLOOKUP(Z20,'XML Export Map'!B:B,'XML Export Map'!G:G,"")</f>
        <v>5000</v>
      </c>
      <c r="AC20" s="169" t="s">
        <v>1669</v>
      </c>
    </row>
    <row r="21" spans="1:29" s="1" customFormat="1" ht="31.5" customHeight="1" x14ac:dyDescent="0.25">
      <c r="A21" s="87"/>
      <c r="B21" s="86" t="s">
        <v>268</v>
      </c>
      <c r="C21" s="280"/>
      <c r="D21" s="281"/>
      <c r="E21" s="282"/>
      <c r="F21" s="87"/>
      <c r="G21" s="253"/>
      <c r="H21" s="254"/>
      <c r="I21" s="254"/>
      <c r="J21" s="254"/>
      <c r="K21" s="254"/>
      <c r="L21" s="254"/>
      <c r="M21" s="254"/>
      <c r="N21" s="254"/>
      <c r="O21" s="254"/>
      <c r="P21" s="254"/>
      <c r="Q21" s="254"/>
      <c r="R21" s="255"/>
      <c r="S21" s="255"/>
      <c r="T21" s="256"/>
      <c r="U21"/>
      <c r="V21"/>
      <c r="W21"/>
      <c r="X21"/>
      <c r="Y21"/>
      <c r="Z21" s="132" t="s">
        <v>1662</v>
      </c>
      <c r="AA21" s="132"/>
      <c r="AB21"/>
      <c r="AC21" s="169"/>
    </row>
    <row r="22" spans="1:29" ht="39" customHeight="1" x14ac:dyDescent="0.25">
      <c r="B22" s="86" t="s">
        <v>269</v>
      </c>
      <c r="C22" s="240" t="s">
        <v>1705</v>
      </c>
      <c r="D22" s="241"/>
      <c r="E22" s="242"/>
      <c r="F22" s="1"/>
      <c r="G22" s="253"/>
      <c r="H22" s="254"/>
      <c r="I22" s="254"/>
      <c r="J22" s="254"/>
      <c r="K22" s="254"/>
      <c r="L22" s="254"/>
      <c r="M22" s="254"/>
      <c r="N22" s="254"/>
      <c r="O22" s="254"/>
      <c r="P22" s="254"/>
      <c r="Q22" s="254"/>
      <c r="R22" s="255"/>
      <c r="S22" s="255"/>
      <c r="T22" s="256"/>
      <c r="Z22" s="132" t="s">
        <v>321</v>
      </c>
      <c r="AA22" s="33" t="str">
        <f>_xlfn.XLOOKUP(Z22,'XML Export Map'!B:B,'XML Export Map'!E:E,"")</f>
        <v>DropDown</v>
      </c>
      <c r="AB22" s="33">
        <f>_xlfn.XLOOKUP(Z22,'XML Export Map'!B:B,'XML Export Map'!G:G,"")</f>
        <v>0</v>
      </c>
      <c r="AC22" s="58"/>
    </row>
    <row r="23" spans="1:29" ht="71.25" customHeight="1" x14ac:dyDescent="0.25">
      <c r="B23" s="86" t="s">
        <v>270</v>
      </c>
      <c r="C23" s="279" t="s">
        <v>1673</v>
      </c>
      <c r="D23" s="244"/>
      <c r="E23" s="245"/>
      <c r="F23" s="1"/>
      <c r="G23" s="257"/>
      <c r="H23" s="255"/>
      <c r="I23" s="255"/>
      <c r="J23" s="255"/>
      <c r="K23" s="255"/>
      <c r="L23" s="255"/>
      <c r="M23" s="255"/>
      <c r="N23" s="255"/>
      <c r="O23" s="255"/>
      <c r="P23" s="255"/>
      <c r="Q23" s="255"/>
      <c r="R23" s="255"/>
      <c r="S23" s="255"/>
      <c r="T23" s="256"/>
      <c r="Z23" s="38" t="s">
        <v>309</v>
      </c>
      <c r="AA23" s="33" t="str">
        <f>_xlfn.XLOOKUP(Z23,'XML Export Map'!B:B,'XML Export Map'!E:E,"")</f>
        <v>Memo</v>
      </c>
      <c r="AB23" s="33">
        <f>_xlfn.XLOOKUP(Z23,'XML Export Map'!B:B,'XML Export Map'!G:G,"")</f>
        <v>5000</v>
      </c>
      <c r="AC23" s="170" t="s">
        <v>1670</v>
      </c>
    </row>
    <row r="24" spans="1:29" ht="45" customHeight="1" x14ac:dyDescent="0.25">
      <c r="B24" s="86" t="s">
        <v>271</v>
      </c>
      <c r="C24" s="280" t="s">
        <v>1517</v>
      </c>
      <c r="D24" s="281"/>
      <c r="E24" s="282"/>
      <c r="F24" s="87"/>
      <c r="G24" s="257"/>
      <c r="H24" s="255"/>
      <c r="I24" s="255"/>
      <c r="J24" s="255"/>
      <c r="K24" s="255"/>
      <c r="L24" s="255"/>
      <c r="M24" s="255"/>
      <c r="N24" s="255"/>
      <c r="O24" s="255"/>
      <c r="P24" s="255"/>
      <c r="Q24" s="255"/>
      <c r="R24" s="255"/>
      <c r="S24" s="255"/>
      <c r="T24" s="256"/>
      <c r="Z24" s="132" t="s">
        <v>1663</v>
      </c>
      <c r="AA24" s="33"/>
      <c r="AB24" s="38"/>
      <c r="AC24" s="58"/>
    </row>
    <row r="25" spans="1:29" s="1" customFormat="1" ht="31.5" customHeight="1" x14ac:dyDescent="0.25">
      <c r="A25" s="87"/>
      <c r="B25" s="88" t="s">
        <v>272</v>
      </c>
      <c r="C25" s="240" t="s">
        <v>1707</v>
      </c>
      <c r="D25" s="241"/>
      <c r="E25" s="242"/>
      <c r="F25"/>
      <c r="G25" s="257"/>
      <c r="H25" s="255"/>
      <c r="I25" s="255"/>
      <c r="J25" s="255"/>
      <c r="K25" s="255"/>
      <c r="L25" s="255"/>
      <c r="M25" s="255"/>
      <c r="N25" s="255"/>
      <c r="O25" s="255"/>
      <c r="P25" s="255"/>
      <c r="Q25" s="255"/>
      <c r="R25" s="255"/>
      <c r="S25" s="255"/>
      <c r="T25" s="256"/>
      <c r="U25"/>
      <c r="V25"/>
      <c r="W25"/>
      <c r="X25"/>
      <c r="Y25"/>
      <c r="Z25" s="132" t="s">
        <v>332</v>
      </c>
      <c r="AA25" s="33" t="str">
        <f>_xlfn.XLOOKUP(Z25,'XML Export Map'!B:B,'XML Export Map'!E:E,"")</f>
        <v>DropDown</v>
      </c>
      <c r="AB25" s="33">
        <f>_xlfn.XLOOKUP(Z25,'XML Export Map'!B:B,'XML Export Map'!G:G,"")</f>
        <v>0</v>
      </c>
      <c r="AC25"/>
    </row>
    <row r="26" spans="1:29" ht="31.5" customHeight="1" x14ac:dyDescent="0.25">
      <c r="B26" s="88" t="s">
        <v>273</v>
      </c>
      <c r="C26" s="243" t="s">
        <v>1672</v>
      </c>
      <c r="D26" s="244"/>
      <c r="E26" s="245"/>
      <c r="F26" s="1"/>
      <c r="G26" s="258"/>
      <c r="H26" s="259"/>
      <c r="I26" s="259"/>
      <c r="J26" s="259"/>
      <c r="K26" s="259"/>
      <c r="L26" s="259"/>
      <c r="M26" s="259"/>
      <c r="N26" s="259"/>
      <c r="O26" s="259"/>
      <c r="P26" s="259"/>
      <c r="Q26" s="259"/>
      <c r="R26" s="259"/>
      <c r="S26" s="259"/>
      <c r="T26" s="260"/>
      <c r="Z26" s="38" t="s">
        <v>307</v>
      </c>
      <c r="AA26" s="33" t="str">
        <f>_xlfn.XLOOKUP(Z26,'XML Export Map'!B:B,'XML Export Map'!E:E,"")</f>
        <v>Memo</v>
      </c>
      <c r="AB26" s="33">
        <f>_xlfn.XLOOKUP(Z26,'XML Export Map'!B:B,'XML Export Map'!G:G,"")</f>
        <v>5000</v>
      </c>
      <c r="AC26" s="169" t="s">
        <v>1671</v>
      </c>
    </row>
    <row r="27" spans="1:29" ht="15" customHeight="1" x14ac:dyDescent="0.25"/>
    <row r="28" spans="1:29" ht="15" customHeight="1" x14ac:dyDescent="0.25">
      <c r="AA28" s="32"/>
      <c r="AB28" s="38"/>
      <c r="AC28" s="34"/>
    </row>
    <row r="29" spans="1:29" ht="15" customHeight="1" x14ac:dyDescent="0.25"/>
  </sheetData>
  <sheetProtection algorithmName="SHA-512" hashValue="psN2bgikvVkUYsH4q1VZJB7u+w7prTV+w58uKkkQXySLACtnkg+VgkYkJvhXjj+mydABBulPz4ZqGtcvl2//Sw==" saltValue="R1ZHPovVXx9cF8U4Nc9Aeg==" spinCount="100000" sheet="1" objects="1" scenarios="1" formatCells="0" selectLockedCells="1"/>
  <mergeCells count="24">
    <mergeCell ref="G3:Q4"/>
    <mergeCell ref="B1:E1"/>
    <mergeCell ref="C18:E18"/>
    <mergeCell ref="C23:E23"/>
    <mergeCell ref="C24:E24"/>
    <mergeCell ref="C20:E20"/>
    <mergeCell ref="C21:E21"/>
    <mergeCell ref="C8:E8"/>
    <mergeCell ref="C25:E25"/>
    <mergeCell ref="C22:E22"/>
    <mergeCell ref="C26:E26"/>
    <mergeCell ref="C3:E3"/>
    <mergeCell ref="G9:T26"/>
    <mergeCell ref="C10:E10"/>
    <mergeCell ref="C9:E9"/>
    <mergeCell ref="C11:E11"/>
    <mergeCell ref="C12:E12"/>
    <mergeCell ref="C13:E13"/>
    <mergeCell ref="C14:E14"/>
    <mergeCell ref="C15:E15"/>
    <mergeCell ref="C16:E16"/>
    <mergeCell ref="D17:E17"/>
    <mergeCell ref="C19:E19"/>
    <mergeCell ref="I7:Q8"/>
  </mergeCells>
  <conditionalFormatting sqref="C11:E11">
    <cfRule type="expression" dxfId="5" priority="6">
      <formula>LEFT($C11,6)="Select"</formula>
    </cfRule>
  </conditionalFormatting>
  <conditionalFormatting sqref="C8:E8">
    <cfRule type="expression" dxfId="4" priority="5">
      <formula>LEFT($C$8,6)="Select"</formula>
    </cfRule>
  </conditionalFormatting>
  <conditionalFormatting sqref="C16:E16">
    <cfRule type="expression" dxfId="3" priority="4">
      <formula>LEFT($C16,6)="Select"</formula>
    </cfRule>
  </conditionalFormatting>
  <conditionalFormatting sqref="C19:E19">
    <cfRule type="expression" dxfId="2" priority="3">
      <formula>LEFT($C19,6)="Select"</formula>
    </cfRule>
  </conditionalFormatting>
  <conditionalFormatting sqref="C22:E22">
    <cfRule type="expression" dxfId="1" priority="2">
      <formula>LEFT($C22,6)="Select"</formula>
    </cfRule>
  </conditionalFormatting>
  <conditionalFormatting sqref="C25:E25">
    <cfRule type="expression" dxfId="0" priority="1">
      <formula>LEFT($C25,6)="Select"</formula>
    </cfRule>
  </conditionalFormatting>
  <dataValidations count="9">
    <dataValidation type="list" allowBlank="1" showInputMessage="1" showErrorMessage="1" sqref="C19:E19" xr:uid="{00000000-0002-0000-0300-000000000000}">
      <formula1>Partnership_Type</formula1>
    </dataValidation>
    <dataValidation type="list" allowBlank="1" showInputMessage="1" showErrorMessage="1" sqref="C22:E22" xr:uid="{00000000-0002-0000-0300-000001000000}">
      <formula1>Progress</formula1>
    </dataValidation>
    <dataValidation type="list" allowBlank="1" showInputMessage="1" showErrorMessage="1" sqref="C25:E25" xr:uid="{00000000-0002-0000-0300-000002000000}">
      <formula1>Final_Status</formula1>
    </dataValidation>
    <dataValidation type="list" allowBlank="1" showInputMessage="1" showErrorMessage="1" sqref="C16:E16" xr:uid="{00000000-0002-0000-0300-000003000000}">
      <formula1>Community</formula1>
    </dataValidation>
    <dataValidation operator="lessThanOrEqual" allowBlank="1" showErrorMessage="1" sqref="C12:E12" xr:uid="{00000000-0002-0000-0300-000004000000}"/>
    <dataValidation operator="lessThanOrEqual" allowBlank="1" showInputMessage="1" showErrorMessage="1" sqref="C10:E10" xr:uid="{00000000-0002-0000-0300-000005000000}"/>
    <dataValidation type="list" allowBlank="1" showInputMessage="1" showErrorMessage="1" sqref="C11:E11" xr:uid="{00000000-0002-0000-0300-000006000000}">
      <formula1>Project_Year</formula1>
    </dataValidation>
    <dataValidation type="textLength" operator="lessThanOrEqual" allowBlank="1" showInputMessage="1" showErrorMessage="1" error="Entry exceeds maximum length (1000)." sqref="D17:E17" xr:uid="{00000000-0002-0000-0300-000007000000}">
      <formula1>1000</formula1>
    </dataValidation>
    <dataValidation type="list" allowBlank="1" showInputMessage="1" showErrorMessage="1" sqref="C8:E8" xr:uid="{00000000-0002-0000-0300-000009000000}">
      <formula1>Reporting_Status</formula1>
    </dataValidation>
  </dataValidations>
  <pageMargins left="0.7" right="0.7" top="0.75" bottom="0.75" header="0.3" footer="0.3"/>
  <pageSetup scale="33" fitToHeight="0" orientation="portrait" r:id="rId1"/>
  <headerFooter>
    <oddFooter>&amp;LAugust 2017&amp;CModule 3, Section A: Community Initiative Status Form</oddFooter>
  </headerFooter>
  <cellWatches>
    <cellWatch r="I7"/>
  </cellWatches>
  <drawing r:id="rId2"/>
  <legacyDrawing r:id="rId3"/>
  <mc:AlternateContent xmlns:mc="http://schemas.openxmlformats.org/markup-compatibility/2006">
    <mc:Choice Requires="x14">
      <controls>
        <mc:AlternateContent xmlns:mc="http://schemas.openxmlformats.org/markup-compatibility/2006">
          <mc:Choice Requires="x14">
            <control shapeId="15395" r:id="rId4" name="cbA5_EMP">
              <controlPr locked="0" defaultSize="0" autoFill="0" autoLine="0" autoPict="0" macro="[0]!StatusForm_cbA5_Click">
                <anchor moveWithCells="1">
                  <from>
                    <xdr:col>2</xdr:col>
                    <xdr:colOff>190500</xdr:colOff>
                    <xdr:row>13</xdr:row>
                    <xdr:rowOff>133350</xdr:rowOff>
                  </from>
                  <to>
                    <xdr:col>2</xdr:col>
                    <xdr:colOff>1028700</xdr:colOff>
                    <xdr:row>13</xdr:row>
                    <xdr:rowOff>371475</xdr:rowOff>
                  </to>
                </anchor>
              </controlPr>
            </control>
          </mc:Choice>
        </mc:AlternateContent>
        <mc:AlternateContent xmlns:mc="http://schemas.openxmlformats.org/markup-compatibility/2006">
          <mc:Choice Requires="x14">
            <control shapeId="15397" r:id="rId5" name="cbA5_HOU">
              <controlPr locked="0" defaultSize="0" autoFill="0" autoLine="0" autoPict="0" macro="[0]!StatusForm_cbA5_Click">
                <anchor moveWithCells="1">
                  <from>
                    <xdr:col>2</xdr:col>
                    <xdr:colOff>190500</xdr:colOff>
                    <xdr:row>13</xdr:row>
                    <xdr:rowOff>400050</xdr:rowOff>
                  </from>
                  <to>
                    <xdr:col>2</xdr:col>
                    <xdr:colOff>1028700</xdr:colOff>
                    <xdr:row>13</xdr:row>
                    <xdr:rowOff>638175</xdr:rowOff>
                  </to>
                </anchor>
              </controlPr>
            </control>
          </mc:Choice>
        </mc:AlternateContent>
        <mc:AlternateContent xmlns:mc="http://schemas.openxmlformats.org/markup-compatibility/2006">
          <mc:Choice Requires="x14">
            <control shapeId="15398" r:id="rId6" name="cbA5_EDU">
              <controlPr locked="0" defaultSize="0" autoFill="0" autoLine="0" autoPict="0" macro="[0]!StatusForm_cbA5_Click">
                <anchor moveWithCells="1">
                  <from>
                    <xdr:col>2</xdr:col>
                    <xdr:colOff>1276350</xdr:colOff>
                    <xdr:row>13</xdr:row>
                    <xdr:rowOff>133350</xdr:rowOff>
                  </from>
                  <to>
                    <xdr:col>4</xdr:col>
                    <xdr:colOff>695325</xdr:colOff>
                    <xdr:row>13</xdr:row>
                    <xdr:rowOff>371475</xdr:rowOff>
                  </to>
                </anchor>
              </controlPr>
            </control>
          </mc:Choice>
        </mc:AlternateContent>
        <mc:AlternateContent xmlns:mc="http://schemas.openxmlformats.org/markup-compatibility/2006">
          <mc:Choice Requires="x14">
            <control shapeId="15400" r:id="rId7" name="cbA5_INF">
              <controlPr locked="0" defaultSize="0" autoFill="0" autoLine="0" autoPict="0" macro="[0]!StatusForm_cbA5_Click">
                <anchor moveWithCells="1">
                  <from>
                    <xdr:col>2</xdr:col>
                    <xdr:colOff>1266825</xdr:colOff>
                    <xdr:row>13</xdr:row>
                    <xdr:rowOff>400050</xdr:rowOff>
                  </from>
                  <to>
                    <xdr:col>4</xdr:col>
                    <xdr:colOff>685800</xdr:colOff>
                    <xdr:row>13</xdr:row>
                    <xdr:rowOff>638175</xdr:rowOff>
                  </to>
                </anchor>
              </controlPr>
            </control>
          </mc:Choice>
        </mc:AlternateContent>
        <mc:AlternateContent xmlns:mc="http://schemas.openxmlformats.org/markup-compatibility/2006">
          <mc:Choice Requires="x14">
            <control shapeId="15401" r:id="rId8" name="cbA5_HLTH">
              <controlPr locked="0" defaultSize="0" autoFill="0" autoLine="0" autoPict="0" macro="[0]!StatusForm_cbA5_Click">
                <anchor moveWithCells="1">
                  <from>
                    <xdr:col>4</xdr:col>
                    <xdr:colOff>1066800</xdr:colOff>
                    <xdr:row>13</xdr:row>
                    <xdr:rowOff>133350</xdr:rowOff>
                  </from>
                  <to>
                    <xdr:col>4</xdr:col>
                    <xdr:colOff>3143250</xdr:colOff>
                    <xdr:row>13</xdr:row>
                    <xdr:rowOff>371475</xdr:rowOff>
                  </to>
                </anchor>
              </controlPr>
            </control>
          </mc:Choice>
        </mc:AlternateContent>
        <mc:AlternateContent xmlns:mc="http://schemas.openxmlformats.org/markup-compatibility/2006">
          <mc:Choice Requires="x14">
            <control shapeId="15402" r:id="rId9" name="cbA5_CIVG">
              <controlPr locked="0" defaultSize="0" autoFill="0" autoLine="0" autoPict="0" macro="[0]!StatusForm_cbA5_Click">
                <anchor moveWithCells="1">
                  <from>
                    <xdr:col>4</xdr:col>
                    <xdr:colOff>1076325</xdr:colOff>
                    <xdr:row>13</xdr:row>
                    <xdr:rowOff>400050</xdr:rowOff>
                  </from>
                  <to>
                    <xdr:col>4</xdr:col>
                    <xdr:colOff>3686175</xdr:colOff>
                    <xdr:row>13</xdr:row>
                    <xdr:rowOff>638175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Employment">
    <tabColor rgb="FFFF0000"/>
    <pageSetUpPr fitToPage="1"/>
  </sheetPr>
  <dimension ref="A1:Q34"/>
  <sheetViews>
    <sheetView showGridLines="0" topLeftCell="A12" zoomScaleNormal="100" zoomScalePageLayoutView="90" workbookViewId="0">
      <selection activeCell="M27" sqref="M27"/>
    </sheetView>
  </sheetViews>
  <sheetFormatPr defaultColWidth="8.85546875" defaultRowHeight="15" customHeight="1" zeroHeight="1" x14ac:dyDescent="0.25"/>
  <cols>
    <col min="1" max="1" width="2.28515625" style="110" customWidth="1"/>
    <col min="2" max="3" width="8.85546875" style="110" customWidth="1"/>
    <col min="4" max="4" width="11.85546875" style="110" customWidth="1"/>
    <col min="5" max="5" width="32.7109375" style="110" customWidth="1"/>
    <col min="6" max="6" width="14" style="110" customWidth="1"/>
    <col min="7" max="8" width="12.85546875" style="110" customWidth="1"/>
    <col min="9" max="10" width="14.28515625" style="110" customWidth="1"/>
    <col min="11" max="11" width="11.7109375" style="110" customWidth="1"/>
    <col min="12" max="12" width="15" style="110" customWidth="1"/>
    <col min="13" max="13" width="3.28515625" style="110" customWidth="1"/>
    <col min="14" max="17" width="8.85546875" style="110" customWidth="1"/>
    <col min="18" max="16384" width="8.85546875" style="110"/>
  </cols>
  <sheetData>
    <row r="1" spans="1:17" ht="9" customHeight="1" x14ac:dyDescent="0.25">
      <c r="A1" s="146"/>
      <c r="M1" s="146"/>
    </row>
    <row r="2" spans="1:17" ht="17.649999999999999" customHeight="1" x14ac:dyDescent="0.25">
      <c r="B2" s="334" t="s">
        <v>1516</v>
      </c>
      <c r="C2" s="334"/>
      <c r="D2" s="334"/>
      <c r="E2" s="334"/>
      <c r="F2" s="334"/>
      <c r="G2" s="334"/>
      <c r="H2" s="334"/>
      <c r="I2" s="334"/>
      <c r="J2" s="334"/>
      <c r="K2" s="334"/>
      <c r="L2" s="334"/>
      <c r="M2" s="146"/>
    </row>
    <row r="3" spans="1:17" ht="17.649999999999999" customHeight="1" x14ac:dyDescent="0.25">
      <c r="B3" s="334" t="s">
        <v>97</v>
      </c>
      <c r="C3" s="334"/>
      <c r="D3" s="334"/>
      <c r="E3" s="334"/>
      <c r="F3" s="334"/>
      <c r="G3" s="334"/>
      <c r="H3" s="334"/>
      <c r="I3" s="334"/>
      <c r="J3" s="334"/>
      <c r="K3" s="334"/>
      <c r="L3" s="334"/>
      <c r="M3" s="146"/>
    </row>
    <row r="4" spans="1:17" ht="24" customHeight="1" x14ac:dyDescent="0.25">
      <c r="B4" s="335" t="s">
        <v>31</v>
      </c>
      <c r="C4" s="335"/>
      <c r="D4" s="335"/>
      <c r="E4" s="335"/>
      <c r="F4" s="335"/>
      <c r="G4" s="335"/>
      <c r="H4" s="335"/>
      <c r="I4" s="335"/>
      <c r="J4" s="335"/>
      <c r="K4" s="335"/>
      <c r="L4" s="335"/>
      <c r="M4" s="146"/>
    </row>
    <row r="5" spans="1:17" ht="15" customHeight="1" x14ac:dyDescent="0.25">
      <c r="B5" s="342" t="s">
        <v>1512</v>
      </c>
      <c r="C5" s="343"/>
      <c r="D5" s="344"/>
      <c r="E5" s="328" t="str">
        <f>IF(M3AgencyName="","",M3AgencyName)</f>
        <v>Alabama Council on Human Relations, Inc.</v>
      </c>
      <c r="F5" s="331"/>
      <c r="G5" s="331"/>
      <c r="H5" s="331"/>
      <c r="I5" s="331"/>
      <c r="J5" s="332"/>
      <c r="K5" s="65"/>
      <c r="L5" s="65"/>
      <c r="M5" s="146"/>
    </row>
    <row r="6" spans="1:17" ht="15" customHeight="1" x14ac:dyDescent="0.25">
      <c r="B6" s="342" t="s">
        <v>1138</v>
      </c>
      <c r="C6" s="343"/>
      <c r="D6" s="344"/>
      <c r="E6" s="328" t="str">
        <f>IF(M3StateName="","",M3StateName)</f>
        <v>Alabama</v>
      </c>
      <c r="F6" s="329"/>
      <c r="G6" s="329"/>
      <c r="H6" s="330"/>
      <c r="I6" s="147" t="s">
        <v>1606</v>
      </c>
      <c r="J6" s="148" t="str" cm="1">
        <f t="array" ref="J6">IF(M3UEI="","",M3UEI)</f>
        <v>183860386</v>
      </c>
      <c r="K6" s="65"/>
    </row>
    <row r="7" spans="1:17" ht="9" customHeight="1" x14ac:dyDescent="0.25">
      <c r="J7" s="149"/>
      <c r="K7" s="65"/>
      <c r="L7" s="149"/>
      <c r="M7" s="146"/>
    </row>
    <row r="8" spans="1:17" ht="51" customHeight="1" x14ac:dyDescent="0.25">
      <c r="B8" s="339" t="s">
        <v>22</v>
      </c>
      <c r="C8" s="338" t="s">
        <v>129</v>
      </c>
      <c r="D8" s="338"/>
      <c r="E8" s="338"/>
      <c r="F8" s="338"/>
      <c r="G8" s="338"/>
      <c r="H8" s="338"/>
      <c r="I8" s="68" t="s">
        <v>110</v>
      </c>
      <c r="J8" s="68" t="s">
        <v>1642</v>
      </c>
      <c r="K8" s="68" t="s">
        <v>1643</v>
      </c>
      <c r="L8" s="68" t="s">
        <v>1644</v>
      </c>
      <c r="M8" s="146"/>
    </row>
    <row r="9" spans="1:17" s="143" customFormat="1" ht="30.75" customHeight="1" x14ac:dyDescent="0.25">
      <c r="A9" s="8"/>
      <c r="B9" s="340"/>
      <c r="C9" s="336" t="s">
        <v>2024</v>
      </c>
      <c r="D9" s="337"/>
      <c r="E9" s="337"/>
      <c r="F9" s="337"/>
      <c r="G9" s="337"/>
      <c r="H9" s="337"/>
      <c r="I9" s="204"/>
      <c r="J9" s="224"/>
      <c r="K9" s="224"/>
      <c r="L9" s="205" t="str">
        <f>IFERROR(ROUND(K9/J9,2),"")</f>
        <v/>
      </c>
      <c r="M9" s="221"/>
      <c r="N9" s="8"/>
      <c r="O9" s="8"/>
      <c r="P9" s="8"/>
      <c r="Q9" s="8"/>
    </row>
    <row r="10" spans="1:17" s="143" customFormat="1" ht="15" customHeight="1" x14ac:dyDescent="0.25">
      <c r="A10" s="144"/>
      <c r="B10" s="341"/>
      <c r="C10" s="336" t="s">
        <v>2025</v>
      </c>
      <c r="D10" s="337"/>
      <c r="E10" s="337"/>
      <c r="F10" s="337"/>
      <c r="G10" s="337"/>
      <c r="H10" s="337"/>
      <c r="I10" s="204"/>
      <c r="J10" s="224"/>
      <c r="K10" s="224"/>
      <c r="L10" s="205" t="str">
        <f>IFERROR(ROUND(K10/J10,2),"")</f>
        <v/>
      </c>
      <c r="M10" s="202"/>
      <c r="N10" s="144"/>
      <c r="O10" s="144"/>
      <c r="P10" s="144"/>
      <c r="Q10" s="144"/>
    </row>
    <row r="11" spans="1:17" s="143" customFormat="1" ht="15" customHeight="1" x14ac:dyDescent="0.25">
      <c r="A11" s="8"/>
      <c r="B11" s="340"/>
      <c r="C11" s="336" t="s">
        <v>1947</v>
      </c>
      <c r="D11" s="336"/>
      <c r="E11" s="336"/>
      <c r="F11" s="336"/>
      <c r="G11" s="336"/>
      <c r="H11" s="336"/>
      <c r="I11" s="187"/>
      <c r="J11" s="183"/>
      <c r="K11" s="183"/>
      <c r="L11" s="156" t="str">
        <f>IFERROR(ROUND(K11/J11,2),"")</f>
        <v/>
      </c>
      <c r="M11" s="221"/>
      <c r="N11" s="8"/>
      <c r="O11" s="8"/>
      <c r="P11" s="8"/>
      <c r="Q11" s="8"/>
    </row>
    <row r="12" spans="1:17" s="143" customFormat="1" ht="15" customHeight="1" x14ac:dyDescent="0.25">
      <c r="A12" s="8"/>
      <c r="B12" s="340"/>
      <c r="C12" s="336" t="s">
        <v>2026</v>
      </c>
      <c r="D12" s="337"/>
      <c r="E12" s="337"/>
      <c r="F12" s="337"/>
      <c r="G12" s="337"/>
      <c r="H12" s="337"/>
      <c r="I12" s="204"/>
      <c r="J12" s="224"/>
      <c r="K12" s="224"/>
      <c r="L12" s="205" t="str">
        <f>IFERROR(ROUND(K12/J12,2),"")</f>
        <v/>
      </c>
      <c r="M12" s="221"/>
      <c r="N12" s="8"/>
      <c r="O12" s="8"/>
      <c r="P12" s="8"/>
      <c r="Q12" s="8"/>
    </row>
    <row r="13" spans="1:17" s="143" customFormat="1" ht="18" customHeight="1" x14ac:dyDescent="0.25">
      <c r="A13" s="8"/>
      <c r="B13" s="340"/>
      <c r="C13" s="336" t="s">
        <v>2027</v>
      </c>
      <c r="D13" s="337"/>
      <c r="E13" s="337"/>
      <c r="F13" s="337"/>
      <c r="G13" s="337"/>
      <c r="H13" s="337"/>
      <c r="I13" s="204"/>
      <c r="J13" s="224"/>
      <c r="K13" s="224"/>
      <c r="L13" s="205" t="str">
        <f>IFERROR(ROUND(K13/J13,2),"")</f>
        <v/>
      </c>
      <c r="M13" s="221"/>
      <c r="N13" s="8"/>
      <c r="O13" s="8"/>
      <c r="P13" s="8"/>
      <c r="Q13" s="8"/>
    </row>
    <row r="14" spans="1:17" ht="24" customHeight="1" x14ac:dyDescent="0.25">
      <c r="B14" s="350" t="s">
        <v>106</v>
      </c>
      <c r="C14" s="350"/>
      <c r="D14" s="350"/>
      <c r="E14" s="350"/>
      <c r="F14" s="350"/>
      <c r="G14" s="350"/>
      <c r="H14" s="350"/>
      <c r="I14" s="350"/>
      <c r="J14" s="350"/>
      <c r="K14" s="350"/>
      <c r="L14" s="350"/>
      <c r="M14" s="146"/>
    </row>
    <row r="15" spans="1:17" ht="15" hidden="1" customHeight="1" x14ac:dyDescent="0.25">
      <c r="D15" s="150"/>
      <c r="E15" s="150"/>
      <c r="F15" s="150"/>
      <c r="G15" s="150"/>
      <c r="H15" s="150"/>
      <c r="I15" s="150"/>
      <c r="M15" s="146"/>
    </row>
    <row r="16" spans="1:17" ht="49.5" customHeight="1" x14ac:dyDescent="0.25">
      <c r="B16" s="360" t="s">
        <v>21</v>
      </c>
      <c r="C16" s="358" t="s">
        <v>1645</v>
      </c>
      <c r="D16" s="358"/>
      <c r="E16" s="358"/>
      <c r="F16" s="358"/>
      <c r="G16" s="358"/>
      <c r="H16" s="358"/>
      <c r="I16" s="68" t="s">
        <v>111</v>
      </c>
      <c r="J16" s="68" t="s">
        <v>1646</v>
      </c>
      <c r="K16" s="68" t="s">
        <v>1647</v>
      </c>
      <c r="L16" s="68" t="s">
        <v>1644</v>
      </c>
      <c r="M16" s="146"/>
    </row>
    <row r="17" spans="1:17" ht="18" customHeight="1" x14ac:dyDescent="0.25">
      <c r="A17" s="206"/>
      <c r="B17" s="361"/>
      <c r="C17" s="333"/>
      <c r="D17" s="448"/>
      <c r="E17" s="448"/>
      <c r="F17" s="448"/>
      <c r="G17" s="448"/>
      <c r="H17" s="449"/>
      <c r="I17" s="207"/>
      <c r="J17" s="224"/>
      <c r="K17" s="224"/>
      <c r="L17" s="205" t="str">
        <f>IFERROR(ROUND(K17/J17,2),"")</f>
        <v/>
      </c>
      <c r="M17" s="146"/>
      <c r="N17" s="206"/>
      <c r="O17" s="206"/>
      <c r="P17" s="206"/>
      <c r="Q17" s="206"/>
    </row>
    <row r="18" spans="1:17" ht="18" customHeight="1" x14ac:dyDescent="0.25">
      <c r="A18" s="206"/>
      <c r="B18" s="361"/>
      <c r="C18" s="365"/>
      <c r="D18" s="450"/>
      <c r="E18" s="450"/>
      <c r="F18" s="450"/>
      <c r="G18" s="450"/>
      <c r="H18" s="451"/>
      <c r="I18" s="207"/>
      <c r="J18" s="224"/>
      <c r="K18" s="224"/>
      <c r="L18" s="205" t="str">
        <f>IFERROR(ROUND(K18/J18,2),"")</f>
        <v/>
      </c>
      <c r="M18" s="146"/>
      <c r="N18" s="206"/>
      <c r="O18" s="206"/>
      <c r="P18" s="206"/>
      <c r="Q18" s="206"/>
    </row>
    <row r="19" spans="1:17" ht="18.75" customHeight="1" x14ac:dyDescent="0.25">
      <c r="A19" s="206"/>
      <c r="B19" s="361"/>
      <c r="C19" s="452"/>
      <c r="D19" s="453"/>
      <c r="E19" s="453"/>
      <c r="F19" s="453"/>
      <c r="G19" s="453"/>
      <c r="H19" s="453"/>
      <c r="I19" s="207"/>
      <c r="J19" s="224"/>
      <c r="K19" s="224"/>
      <c r="L19" s="205" t="str">
        <f>IFERROR(ROUND(K19/J19,2),"")</f>
        <v/>
      </c>
      <c r="M19" s="146"/>
      <c r="N19" s="206"/>
      <c r="O19" s="206"/>
      <c r="P19" s="206"/>
      <c r="Q19" s="206"/>
    </row>
    <row r="20" spans="1:17" ht="8.25" customHeight="1" x14ac:dyDescent="0.25">
      <c r="M20" s="146"/>
    </row>
    <row r="21" spans="1:17" ht="72.75" customHeight="1" x14ac:dyDescent="0.25">
      <c r="B21" s="362" t="s">
        <v>29</v>
      </c>
      <c r="C21" s="353" t="s">
        <v>130</v>
      </c>
      <c r="D21" s="354"/>
      <c r="E21" s="355"/>
      <c r="F21" s="151" t="s">
        <v>111</v>
      </c>
      <c r="G21" s="151" t="s">
        <v>1648</v>
      </c>
      <c r="H21" s="152" t="s">
        <v>1649</v>
      </c>
      <c r="I21" s="152" t="s">
        <v>1650</v>
      </c>
      <c r="J21" s="152" t="s">
        <v>1651</v>
      </c>
      <c r="K21" s="152" t="s">
        <v>1652</v>
      </c>
      <c r="L21" s="153" t="s">
        <v>1653</v>
      </c>
      <c r="M21" s="146"/>
    </row>
    <row r="22" spans="1:17" ht="15" customHeight="1" x14ac:dyDescent="0.25">
      <c r="A22" s="206"/>
      <c r="B22" s="363"/>
      <c r="C22" s="336" t="s">
        <v>1967</v>
      </c>
      <c r="D22" s="337"/>
      <c r="E22" s="337"/>
      <c r="F22" s="219"/>
      <c r="G22" s="225"/>
      <c r="H22" s="226"/>
      <c r="I22" s="205" t="str">
        <f>IFERROR(ROUND((H22-G22)/G22,2),"")</f>
        <v/>
      </c>
      <c r="J22" s="226"/>
      <c r="K22" s="205" t="str">
        <f>IFERROR(ROUND((J22-G22)/G22,2),"")</f>
        <v/>
      </c>
      <c r="L22" s="205" t="str">
        <f>IFERROR(ROUND((J22-G22)/(H22-G22),2),"")</f>
        <v/>
      </c>
      <c r="M22" s="222"/>
      <c r="N22" s="206"/>
      <c r="O22" s="206"/>
      <c r="P22" s="206"/>
      <c r="Q22" s="206"/>
    </row>
    <row r="23" spans="1:17" ht="15" customHeight="1" x14ac:dyDescent="0.25">
      <c r="A23" s="206"/>
      <c r="B23" s="363"/>
      <c r="C23" s="336" t="s">
        <v>2028</v>
      </c>
      <c r="D23" s="337"/>
      <c r="E23" s="337"/>
      <c r="F23" s="219"/>
      <c r="G23" s="225"/>
      <c r="H23" s="226"/>
      <c r="I23" s="205" t="str">
        <f>IFERROR(ROUND((H23-G23)/G23,2),"")</f>
        <v/>
      </c>
      <c r="J23" s="226"/>
      <c r="K23" s="205" t="str">
        <f>IFERROR(ROUND((J23-G23)/G23,2),"")</f>
        <v/>
      </c>
      <c r="L23" s="205" t="str">
        <f>IFERROR(ROUND((J23-G23)/(H23-G23),2),"")</f>
        <v/>
      </c>
      <c r="M23" s="222"/>
      <c r="N23" s="206"/>
      <c r="O23" s="206"/>
      <c r="P23" s="206"/>
      <c r="Q23" s="206"/>
    </row>
    <row r="24" spans="1:17" ht="15" customHeight="1" x14ac:dyDescent="0.25">
      <c r="A24" s="206"/>
      <c r="B24" s="364"/>
      <c r="C24" s="356" t="s">
        <v>2029</v>
      </c>
      <c r="D24" s="357"/>
      <c r="E24" s="357"/>
      <c r="F24" s="219"/>
      <c r="G24" s="225"/>
      <c r="H24" s="226"/>
      <c r="I24" s="205" t="str">
        <f>IFERROR(ROUND((H24-G24)/G24,2),"")</f>
        <v/>
      </c>
      <c r="J24" s="226"/>
      <c r="K24" s="205" t="str">
        <f>IFERROR(ROUND((J24-G24)/G24,2),"")</f>
        <v/>
      </c>
      <c r="L24" s="205" t="str">
        <f>IFERROR(ROUND((J24-G24)/(H24-G24),2),"")</f>
        <v/>
      </c>
      <c r="M24" s="222"/>
      <c r="N24" s="206"/>
      <c r="O24" s="206"/>
      <c r="P24" s="206"/>
      <c r="Q24" s="206"/>
    </row>
    <row r="25" spans="1:17" ht="9" customHeight="1" x14ac:dyDescent="0.25">
      <c r="M25" s="146"/>
    </row>
    <row r="26" spans="1:17" ht="72.75" customHeight="1" x14ac:dyDescent="0.25">
      <c r="B26" s="351" t="s">
        <v>30</v>
      </c>
      <c r="C26" s="359" t="s">
        <v>1654</v>
      </c>
      <c r="D26" s="359"/>
      <c r="E26" s="359"/>
      <c r="F26" s="154" t="s">
        <v>111</v>
      </c>
      <c r="G26" s="151" t="s">
        <v>1648</v>
      </c>
      <c r="H26" s="154" t="s">
        <v>1649</v>
      </c>
      <c r="I26" s="154" t="s">
        <v>1650</v>
      </c>
      <c r="J26" s="154" t="s">
        <v>1651</v>
      </c>
      <c r="K26" s="154" t="s">
        <v>1652</v>
      </c>
      <c r="L26" s="154" t="s">
        <v>1653</v>
      </c>
      <c r="M26" s="146"/>
    </row>
    <row r="27" spans="1:17" ht="15" customHeight="1" x14ac:dyDescent="0.25">
      <c r="A27" s="145"/>
      <c r="B27" s="352"/>
      <c r="C27" s="348"/>
      <c r="D27" s="349"/>
      <c r="E27" s="349"/>
      <c r="F27" s="219"/>
      <c r="G27" s="225"/>
      <c r="H27" s="226"/>
      <c r="I27" s="205" t="str">
        <f>IFERROR(ROUND((H27-G27)/G27,2),"")</f>
        <v/>
      </c>
      <c r="J27" s="226"/>
      <c r="K27" s="205" t="str">
        <f>IFERROR(ROUND((J27-G27)/G27,2),"")</f>
        <v/>
      </c>
      <c r="L27" s="205" t="str">
        <f>IFERROR(ROUND((J27-G27)/(H27-G27),2),"")</f>
        <v/>
      </c>
      <c r="M27" s="203"/>
      <c r="N27" s="145"/>
      <c r="O27" s="145"/>
      <c r="P27" s="145"/>
      <c r="Q27" s="145"/>
    </row>
    <row r="28" spans="1:17" ht="15" customHeight="1" x14ac:dyDescent="0.25">
      <c r="A28" s="145"/>
      <c r="B28" s="352"/>
      <c r="C28" s="348"/>
      <c r="D28" s="349"/>
      <c r="E28" s="349"/>
      <c r="F28" s="219"/>
      <c r="G28" s="225"/>
      <c r="H28" s="226"/>
      <c r="I28" s="205" t="str">
        <f>IFERROR(ROUND((H28-G28)/G28,2),"")</f>
        <v/>
      </c>
      <c r="J28" s="226"/>
      <c r="K28" s="205" t="str">
        <f>IFERROR(ROUND((J28-G28)/G28,2),"")</f>
        <v/>
      </c>
      <c r="L28" s="205" t="str">
        <f>IFERROR(ROUND((J28-G28)/(H28-G28),2),"")</f>
        <v/>
      </c>
      <c r="M28" s="203"/>
      <c r="N28" s="145"/>
      <c r="O28" s="145"/>
      <c r="P28" s="145"/>
      <c r="Q28" s="145"/>
    </row>
    <row r="29" spans="1:17" ht="16.5" customHeight="1" x14ac:dyDescent="0.25">
      <c r="A29" s="145"/>
      <c r="B29" s="352"/>
      <c r="C29" s="348"/>
      <c r="D29" s="349"/>
      <c r="E29" s="349"/>
      <c r="F29" s="219"/>
      <c r="G29" s="225"/>
      <c r="H29" s="226"/>
      <c r="I29" s="205" t="str">
        <f>IFERROR(ROUND((H29-G29)/G29,2),"")</f>
        <v/>
      </c>
      <c r="J29" s="226"/>
      <c r="K29" s="205" t="str">
        <f>IFERROR(ROUND((J29-G29)/G29,2),"")</f>
        <v/>
      </c>
      <c r="L29" s="205" t="str">
        <f>IFERROR(ROUND((J29-G29)/(H29-G29),2),"")</f>
        <v/>
      </c>
      <c r="M29" s="203"/>
      <c r="N29" s="145"/>
      <c r="O29" s="145"/>
      <c r="P29" s="145"/>
      <c r="Q29" s="145"/>
    </row>
    <row r="30" spans="1:17" ht="3" customHeight="1" x14ac:dyDescent="0.25"/>
    <row r="31" spans="1:17" ht="15" customHeight="1" x14ac:dyDescent="0.25">
      <c r="B31" s="155" t="s">
        <v>107</v>
      </c>
      <c r="C31" s="155"/>
      <c r="D31" s="155"/>
      <c r="M31" s="146"/>
    </row>
    <row r="32" spans="1:17" ht="72" customHeight="1" x14ac:dyDescent="0.25">
      <c r="B32" s="345"/>
      <c r="C32" s="346"/>
      <c r="D32" s="346"/>
      <c r="E32" s="346"/>
      <c r="F32" s="346"/>
      <c r="G32" s="346"/>
      <c r="H32" s="346"/>
      <c r="I32" s="346"/>
      <c r="J32" s="346"/>
      <c r="K32" s="346"/>
      <c r="L32" s="347"/>
    </row>
    <row r="33" ht="25.15" customHeight="1" x14ac:dyDescent="0.25"/>
    <row r="34" ht="3" customHeight="1" x14ac:dyDescent="0.25"/>
  </sheetData>
  <sheetProtection algorithmName="SHA-512" hashValue="Ig8lyMY8gkRO12R98/sdcoeZshnceT/VWfviV39odvSA56Y15Ckgj28qzwXmC418FlBXMfEa5lkZT0sm34ivEA==" saltValue="14NH3Bj7viGLksVxtCnITw==" spinCount="100000" sheet="1" objects="1" scenarios="1" formatCells="0" selectLockedCells="1"/>
  <mergeCells count="31">
    <mergeCell ref="B32:L32"/>
    <mergeCell ref="C28:E28"/>
    <mergeCell ref="B14:L14"/>
    <mergeCell ref="C27:E27"/>
    <mergeCell ref="B26:B29"/>
    <mergeCell ref="C29:E29"/>
    <mergeCell ref="C21:E21"/>
    <mergeCell ref="C22:E22"/>
    <mergeCell ref="C23:E23"/>
    <mergeCell ref="C24:E24"/>
    <mergeCell ref="C16:H16"/>
    <mergeCell ref="C19:H19"/>
    <mergeCell ref="C26:E26"/>
    <mergeCell ref="B16:B19"/>
    <mergeCell ref="B21:B24"/>
    <mergeCell ref="C18:H18"/>
    <mergeCell ref="E6:H6"/>
    <mergeCell ref="E5:J5"/>
    <mergeCell ref="C17:H17"/>
    <mergeCell ref="B2:L2"/>
    <mergeCell ref="B3:L3"/>
    <mergeCell ref="B4:L4"/>
    <mergeCell ref="C13:H13"/>
    <mergeCell ref="C8:H8"/>
    <mergeCell ref="B8:B13"/>
    <mergeCell ref="C9:H9"/>
    <mergeCell ref="C10:H10"/>
    <mergeCell ref="C11:H11"/>
    <mergeCell ref="C12:H12"/>
    <mergeCell ref="B5:D5"/>
    <mergeCell ref="B6:D6"/>
  </mergeCells>
  <dataValidations count="4">
    <dataValidation type="whole" allowBlank="1" showInputMessage="1" showErrorMessage="1" error="Please enter a number between 0 and 99999999." sqref="J17:K19 J9:K13" xr:uid="{00000000-0002-0000-0400-000000000000}">
      <formula1>0</formula1>
      <formula2>99999999</formula2>
    </dataValidation>
    <dataValidation type="textLength" operator="lessThanOrEqual" allowBlank="1" showInputMessage="1" showErrorMessage="1" error="Entry exceeds maximum length (1000)." sqref="C17:H19 C27:E29" xr:uid="{00000000-0002-0000-0400-000002000000}">
      <formula1>1000</formula1>
    </dataValidation>
    <dataValidation type="textLength" operator="lessThanOrEqual" allowBlank="1" showInputMessage="1" showErrorMessage="1" error="Entry exceeds maximum length (5000)." sqref="B32:L32" xr:uid="{00000000-0002-0000-0400-000003000000}">
      <formula1>5000</formula1>
    </dataValidation>
    <dataValidation type="decimal" allowBlank="1" showInputMessage="1" showErrorMessage="1" error="Please enter a number between 0.0 and 100.0." sqref="J27:J29 J22:J24 G27:H29 G22:H24" xr:uid="{039229D6-5B26-4B88-931C-556FB6219755}">
      <formula1>0</formula1>
      <formula2>100</formula2>
    </dataValidation>
  </dataValidations>
  <pageMargins left="0.7" right="0.7" top="0.75" bottom="0.75" header="0.3" footer="0.3"/>
  <pageSetup scale="75" fitToHeight="0" orientation="landscape" r:id="rId1"/>
  <headerFooter>
    <oddFooter>&amp;LAugust 2017&amp;C
Module 3, Section B: Community NPIs - Employment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Education">
    <tabColor rgb="FFFFC000"/>
    <pageSetUpPr fitToPage="1"/>
  </sheetPr>
  <dimension ref="A1:P38"/>
  <sheetViews>
    <sheetView showGridLines="0" topLeftCell="A21" zoomScaleNormal="100" zoomScaleSheetLayoutView="70" zoomScalePageLayoutView="90" workbookViewId="0"/>
  </sheetViews>
  <sheetFormatPr defaultColWidth="0" defaultRowHeight="15" customHeight="1" zeroHeight="1" x14ac:dyDescent="0.25"/>
  <cols>
    <col min="1" max="1" width="2.28515625" customWidth="1"/>
    <col min="2" max="3" width="8.85546875" customWidth="1"/>
    <col min="4" max="4" width="11.85546875" customWidth="1"/>
    <col min="5" max="5" width="32.7109375" customWidth="1"/>
    <col min="6" max="6" width="14" customWidth="1"/>
    <col min="7" max="8" width="12.85546875" customWidth="1"/>
    <col min="9" max="10" width="14.28515625" customWidth="1"/>
    <col min="11" max="11" width="11.7109375" customWidth="1"/>
    <col min="12" max="12" width="15" customWidth="1"/>
    <col min="13" max="13" width="3.28515625" customWidth="1"/>
    <col min="14" max="14" width="36.5703125" hidden="1" customWidth="1"/>
    <col min="15" max="16" width="0" hidden="1" customWidth="1"/>
    <col min="17" max="16384" width="8.85546875" hidden="1"/>
  </cols>
  <sheetData>
    <row r="1" spans="1:16" ht="9" customHeight="1" x14ac:dyDescent="0.25">
      <c r="A1" s="4"/>
    </row>
    <row r="2" spans="1:16" ht="17.649999999999999" customHeight="1" x14ac:dyDescent="0.25">
      <c r="B2" s="334" t="s">
        <v>1516</v>
      </c>
      <c r="C2" s="334"/>
      <c r="D2" s="334"/>
      <c r="E2" s="334"/>
      <c r="F2" s="334"/>
      <c r="G2" s="334"/>
      <c r="H2" s="334"/>
      <c r="I2" s="334"/>
      <c r="J2" s="334"/>
      <c r="K2" s="334"/>
      <c r="L2" s="334"/>
    </row>
    <row r="3" spans="1:16" ht="17.649999999999999" customHeight="1" x14ac:dyDescent="0.25">
      <c r="B3" s="334" t="s">
        <v>97</v>
      </c>
      <c r="C3" s="334"/>
      <c r="D3" s="334"/>
      <c r="E3" s="334"/>
      <c r="F3" s="334"/>
      <c r="G3" s="334"/>
      <c r="H3" s="334"/>
      <c r="I3" s="334"/>
      <c r="J3" s="334"/>
      <c r="K3" s="334"/>
      <c r="L3" s="334"/>
    </row>
    <row r="4" spans="1:16" ht="24" customHeight="1" x14ac:dyDescent="0.25">
      <c r="B4" s="335" t="s">
        <v>33</v>
      </c>
      <c r="C4" s="335"/>
      <c r="D4" s="335"/>
      <c r="E4" s="335"/>
      <c r="F4" s="335"/>
      <c r="G4" s="335"/>
      <c r="H4" s="335"/>
      <c r="I4" s="335"/>
      <c r="J4" s="335"/>
      <c r="K4" s="335"/>
      <c r="L4" s="335"/>
    </row>
    <row r="5" spans="1:16" ht="15" customHeight="1" x14ac:dyDescent="0.25">
      <c r="B5" s="371" t="s">
        <v>1512</v>
      </c>
      <c r="C5" s="372"/>
      <c r="D5" s="373"/>
      <c r="E5" s="328" t="str">
        <f>IF(M3AgencyName="","",M3AgencyName)</f>
        <v>Alabama Council on Human Relations, Inc.</v>
      </c>
      <c r="F5" s="366"/>
      <c r="G5" s="366"/>
      <c r="H5" s="366"/>
      <c r="I5" s="366"/>
      <c r="J5" s="367"/>
      <c r="K5" s="66"/>
      <c r="L5" s="66"/>
    </row>
    <row r="6" spans="1:16" ht="15" customHeight="1" x14ac:dyDescent="0.25">
      <c r="B6" s="371" t="s">
        <v>1138</v>
      </c>
      <c r="C6" s="372"/>
      <c r="D6" s="373"/>
      <c r="E6" s="368" t="str">
        <f>IF(M3StateName="","",M3StateName)</f>
        <v>Alabama</v>
      </c>
      <c r="F6" s="369"/>
      <c r="G6" s="369"/>
      <c r="H6" s="370"/>
      <c r="I6" s="117" t="s">
        <v>1606</v>
      </c>
      <c r="J6" s="118" t="str" cm="1">
        <f t="array" ref="J6">IF(M3UEI="","",M3UEI)</f>
        <v>183860386</v>
      </c>
      <c r="K6" s="236"/>
    </row>
    <row r="7" spans="1:16" ht="9" customHeight="1" x14ac:dyDescent="0.25">
      <c r="J7" s="67"/>
      <c r="K7" s="237"/>
      <c r="L7" s="67"/>
    </row>
    <row r="8" spans="1:16" ht="49.5" customHeight="1" x14ac:dyDescent="0.25">
      <c r="B8" s="377" t="s">
        <v>22</v>
      </c>
      <c r="C8" s="374" t="s">
        <v>131</v>
      </c>
      <c r="D8" s="374"/>
      <c r="E8" s="374"/>
      <c r="F8" s="374"/>
      <c r="G8" s="374"/>
      <c r="H8" s="374"/>
      <c r="I8" s="69" t="s">
        <v>96</v>
      </c>
      <c r="J8" s="69" t="s">
        <v>23</v>
      </c>
      <c r="K8" s="69" t="s">
        <v>24</v>
      </c>
      <c r="L8" s="69" t="s">
        <v>25</v>
      </c>
    </row>
    <row r="9" spans="1:16" s="3" customFormat="1" ht="29.65" customHeight="1" x14ac:dyDescent="0.25">
      <c r="A9" s="8"/>
      <c r="B9" s="378"/>
      <c r="C9" s="375" t="s">
        <v>1990</v>
      </c>
      <c r="D9" s="376"/>
      <c r="E9" s="376"/>
      <c r="F9" s="376"/>
      <c r="G9" s="376"/>
      <c r="H9" s="376"/>
      <c r="I9" s="204"/>
      <c r="J9" s="224"/>
      <c r="K9" s="224"/>
      <c r="L9" s="205" t="str">
        <f t="shared" ref="L9:L14" si="0">IFERROR(ROUND(K9/J9,2),"")</f>
        <v/>
      </c>
      <c r="M9" s="8"/>
      <c r="N9" s="8"/>
      <c r="O9" s="8"/>
      <c r="P9" s="8"/>
    </row>
    <row r="10" spans="1:16" s="3" customFormat="1" ht="29.65" customHeight="1" x14ac:dyDescent="0.25">
      <c r="A10" s="144"/>
      <c r="B10" s="379"/>
      <c r="C10" s="375" t="s">
        <v>1991</v>
      </c>
      <c r="D10" s="376"/>
      <c r="E10" s="376"/>
      <c r="F10" s="376"/>
      <c r="G10" s="376"/>
      <c r="H10" s="376"/>
      <c r="I10" s="204"/>
      <c r="J10" s="224"/>
      <c r="K10" s="224"/>
      <c r="L10" s="205" t="str">
        <f t="shared" si="0"/>
        <v/>
      </c>
      <c r="M10" s="144"/>
      <c r="N10" s="144"/>
      <c r="O10" s="144"/>
      <c r="P10" s="144"/>
    </row>
    <row r="11" spans="1:16" s="143" customFormat="1" ht="34.5" customHeight="1" x14ac:dyDescent="0.25">
      <c r="A11" s="8"/>
      <c r="B11" s="378"/>
      <c r="C11" s="375" t="s">
        <v>1992</v>
      </c>
      <c r="D11" s="376"/>
      <c r="E11" s="376"/>
      <c r="F11" s="376"/>
      <c r="G11" s="376"/>
      <c r="H11" s="376"/>
      <c r="I11" s="204"/>
      <c r="J11" s="224"/>
      <c r="K11" s="224"/>
      <c r="L11" s="205" t="str">
        <f t="shared" si="0"/>
        <v/>
      </c>
      <c r="M11" s="8"/>
      <c r="N11" s="8"/>
      <c r="O11" s="8"/>
      <c r="P11" s="8"/>
    </row>
    <row r="12" spans="1:16" s="3" customFormat="1" ht="46.5" customHeight="1" x14ac:dyDescent="0.25">
      <c r="A12" s="8"/>
      <c r="B12" s="378"/>
      <c r="C12" s="375" t="s">
        <v>1993</v>
      </c>
      <c r="D12" s="376"/>
      <c r="E12" s="376"/>
      <c r="F12" s="376"/>
      <c r="G12" s="376"/>
      <c r="H12" s="376"/>
      <c r="I12" s="204"/>
      <c r="J12" s="224"/>
      <c r="K12" s="224"/>
      <c r="L12" s="205" t="str">
        <f t="shared" si="0"/>
        <v/>
      </c>
      <c r="M12" s="8"/>
      <c r="N12" s="8"/>
      <c r="O12" s="8"/>
      <c r="P12" s="8"/>
    </row>
    <row r="13" spans="1:16" s="3" customFormat="1" ht="45.75" customHeight="1" x14ac:dyDescent="0.25">
      <c r="A13" s="8"/>
      <c r="B13" s="378"/>
      <c r="C13" s="375" t="s">
        <v>1994</v>
      </c>
      <c r="D13" s="376"/>
      <c r="E13" s="376"/>
      <c r="F13" s="376"/>
      <c r="G13" s="376"/>
      <c r="H13" s="376"/>
      <c r="I13" s="204"/>
      <c r="J13" s="224"/>
      <c r="K13" s="224"/>
      <c r="L13" s="205" t="str">
        <f t="shared" si="0"/>
        <v/>
      </c>
      <c r="M13" s="8"/>
      <c r="N13" s="8"/>
      <c r="O13" s="8"/>
      <c r="P13" s="8"/>
    </row>
    <row r="14" spans="1:16" s="3" customFormat="1" ht="45.75" customHeight="1" x14ac:dyDescent="0.25">
      <c r="A14" s="8"/>
      <c r="B14" s="380"/>
      <c r="C14" s="375" t="s">
        <v>1995</v>
      </c>
      <c r="D14" s="376"/>
      <c r="E14" s="376"/>
      <c r="F14" s="376"/>
      <c r="G14" s="376"/>
      <c r="H14" s="376"/>
      <c r="I14" s="204"/>
      <c r="J14" s="224"/>
      <c r="K14" s="224"/>
      <c r="L14" s="205" t="str">
        <f t="shared" si="0"/>
        <v/>
      </c>
      <c r="M14" s="8"/>
      <c r="N14" s="8"/>
      <c r="O14" s="8"/>
      <c r="P14" s="8"/>
    </row>
    <row r="15" spans="1:16" ht="6" customHeight="1" x14ac:dyDescent="0.25">
      <c r="D15" s="71"/>
      <c r="E15" s="71"/>
      <c r="F15" s="71"/>
      <c r="G15" s="71"/>
      <c r="H15" s="71"/>
      <c r="I15" s="71"/>
    </row>
    <row r="16" spans="1:16" ht="49.5" customHeight="1" x14ac:dyDescent="0.25">
      <c r="B16" s="361" t="s">
        <v>21</v>
      </c>
      <c r="C16" s="382" t="s">
        <v>134</v>
      </c>
      <c r="D16" s="382"/>
      <c r="E16" s="382"/>
      <c r="F16" s="382"/>
      <c r="G16" s="382"/>
      <c r="H16" s="382"/>
      <c r="I16" s="69" t="s">
        <v>96</v>
      </c>
      <c r="J16" s="69" t="s">
        <v>23</v>
      </c>
      <c r="K16" s="69" t="s">
        <v>24</v>
      </c>
      <c r="L16" s="69" t="s">
        <v>25</v>
      </c>
      <c r="M16" s="146"/>
    </row>
    <row r="17" spans="1:16" ht="14.65" customHeight="1" x14ac:dyDescent="0.25">
      <c r="A17" s="206"/>
      <c r="B17" s="361"/>
      <c r="C17" s="383"/>
      <c r="D17" s="384"/>
      <c r="E17" s="384"/>
      <c r="F17" s="384"/>
      <c r="G17" s="384"/>
      <c r="H17" s="384"/>
      <c r="I17" s="207"/>
      <c r="J17" s="224"/>
      <c r="K17" s="224"/>
      <c r="L17" s="205" t="str">
        <f>IFERROR(ROUND(K17/J17,2),"")</f>
        <v/>
      </c>
      <c r="M17" s="146"/>
      <c r="N17" s="206"/>
      <c r="O17" s="206"/>
      <c r="P17" s="206"/>
    </row>
    <row r="18" spans="1:16" ht="14.65" customHeight="1" x14ac:dyDescent="0.25">
      <c r="A18" s="206"/>
      <c r="B18" s="361"/>
      <c r="C18" s="365"/>
      <c r="D18" s="446"/>
      <c r="E18" s="446"/>
      <c r="F18" s="446"/>
      <c r="G18" s="446"/>
      <c r="H18" s="447"/>
      <c r="I18" s="207"/>
      <c r="J18" s="224"/>
      <c r="K18" s="224"/>
      <c r="L18" s="205" t="str">
        <f>IFERROR(ROUND(K18/J18,2),"")</f>
        <v/>
      </c>
      <c r="M18" s="146"/>
      <c r="N18" s="206"/>
      <c r="O18" s="206"/>
      <c r="P18" s="206"/>
    </row>
    <row r="19" spans="1:16" ht="15" customHeight="1" x14ac:dyDescent="0.25">
      <c r="A19" s="206"/>
      <c r="B19" s="361"/>
      <c r="C19" s="383"/>
      <c r="D19" s="384"/>
      <c r="E19" s="384"/>
      <c r="F19" s="384"/>
      <c r="G19" s="384"/>
      <c r="H19" s="384"/>
      <c r="I19" s="207"/>
      <c r="J19" s="224"/>
      <c r="K19" s="224"/>
      <c r="L19" s="205" t="str">
        <f>IFERROR(ROUND(K19/J19,2),"")</f>
        <v/>
      </c>
      <c r="M19" s="146"/>
      <c r="N19" s="206"/>
      <c r="O19" s="206"/>
      <c r="P19" s="206"/>
    </row>
    <row r="20" spans="1:16" ht="9.75" customHeight="1" x14ac:dyDescent="0.25">
      <c r="M20" s="146"/>
    </row>
    <row r="21" spans="1:16" ht="72.75" customHeight="1" x14ac:dyDescent="0.25">
      <c r="B21" s="390" t="s">
        <v>29</v>
      </c>
      <c r="C21" s="392" t="s">
        <v>135</v>
      </c>
      <c r="D21" s="393"/>
      <c r="E21" s="394"/>
      <c r="F21" s="72" t="s">
        <v>96</v>
      </c>
      <c r="G21" s="72" t="s">
        <v>132</v>
      </c>
      <c r="H21" s="73" t="s">
        <v>128</v>
      </c>
      <c r="I21" s="73" t="s">
        <v>26</v>
      </c>
      <c r="J21" s="73" t="s">
        <v>133</v>
      </c>
      <c r="K21" s="73" t="s">
        <v>27</v>
      </c>
      <c r="L21" s="74" t="s">
        <v>28</v>
      </c>
    </row>
    <row r="22" spans="1:16" ht="33" customHeight="1" x14ac:dyDescent="0.25">
      <c r="A22" s="206"/>
      <c r="B22" s="363"/>
      <c r="C22" s="336" t="s">
        <v>1996</v>
      </c>
      <c r="D22" s="337"/>
      <c r="E22" s="337"/>
      <c r="F22" s="219"/>
      <c r="G22" s="225"/>
      <c r="H22" s="226"/>
      <c r="I22" s="205" t="str">
        <f t="shared" ref="I22:I30" si="1">IFERROR(ROUND((H22-G22)/G22,2),"")</f>
        <v/>
      </c>
      <c r="J22" s="226"/>
      <c r="K22" s="205" t="str">
        <f t="shared" ref="K22:K30" si="2">IFERROR(ROUND((J22-G22)/G22,2),"")</f>
        <v/>
      </c>
      <c r="L22" s="205" t="str">
        <f t="shared" ref="L22:L30" si="3">IFERROR(ROUND((J22-G22)/(H22-G22),2),"")</f>
        <v/>
      </c>
      <c r="M22" s="206"/>
      <c r="N22" s="206"/>
      <c r="O22" s="206"/>
      <c r="P22" s="206"/>
    </row>
    <row r="23" spans="1:16" ht="32.25" customHeight="1" x14ac:dyDescent="0.25">
      <c r="A23" s="206"/>
      <c r="B23" s="363"/>
      <c r="C23" s="336" t="s">
        <v>1997</v>
      </c>
      <c r="D23" s="337"/>
      <c r="E23" s="337"/>
      <c r="F23" s="219"/>
      <c r="G23" s="225"/>
      <c r="H23" s="226"/>
      <c r="I23" s="205" t="str">
        <f t="shared" si="1"/>
        <v/>
      </c>
      <c r="J23" s="226"/>
      <c r="K23" s="205" t="str">
        <f t="shared" si="2"/>
        <v/>
      </c>
      <c r="L23" s="205" t="str">
        <f t="shared" si="3"/>
        <v/>
      </c>
      <c r="M23" s="206"/>
      <c r="N23" s="206"/>
      <c r="O23" s="206"/>
      <c r="P23" s="206"/>
    </row>
    <row r="24" spans="1:16" ht="32.25" customHeight="1" x14ac:dyDescent="0.25">
      <c r="A24" s="145"/>
      <c r="B24" s="391"/>
      <c r="C24" s="336" t="s">
        <v>1998</v>
      </c>
      <c r="D24" s="337"/>
      <c r="E24" s="337"/>
      <c r="F24" s="219"/>
      <c r="G24" s="225"/>
      <c r="H24" s="226"/>
      <c r="I24" s="205" t="str">
        <f t="shared" si="1"/>
        <v/>
      </c>
      <c r="J24" s="226"/>
      <c r="K24" s="205" t="str">
        <f t="shared" si="2"/>
        <v/>
      </c>
      <c r="L24" s="205" t="str">
        <f t="shared" si="3"/>
        <v/>
      </c>
      <c r="M24" s="145"/>
      <c r="N24" s="145"/>
      <c r="O24" s="145"/>
      <c r="P24" s="145"/>
    </row>
    <row r="25" spans="1:16" ht="33" customHeight="1" x14ac:dyDescent="0.25">
      <c r="A25" s="206"/>
      <c r="B25" s="363"/>
      <c r="C25" s="336" t="s">
        <v>1999</v>
      </c>
      <c r="D25" s="337"/>
      <c r="E25" s="337"/>
      <c r="F25" s="219"/>
      <c r="G25" s="225"/>
      <c r="H25" s="226"/>
      <c r="I25" s="205" t="str">
        <f t="shared" si="1"/>
        <v/>
      </c>
      <c r="J25" s="226"/>
      <c r="K25" s="205" t="str">
        <f t="shared" si="2"/>
        <v/>
      </c>
      <c r="L25" s="205" t="str">
        <f t="shared" si="3"/>
        <v/>
      </c>
      <c r="M25" s="206"/>
      <c r="N25" s="206"/>
      <c r="O25" s="206"/>
      <c r="P25" s="206"/>
    </row>
    <row r="26" spans="1:16" ht="45" customHeight="1" x14ac:dyDescent="0.25">
      <c r="A26" s="206"/>
      <c r="B26" s="363"/>
      <c r="C26" s="336" t="s">
        <v>2000</v>
      </c>
      <c r="D26" s="337"/>
      <c r="E26" s="337"/>
      <c r="F26" s="219"/>
      <c r="G26" s="225"/>
      <c r="H26" s="226"/>
      <c r="I26" s="205" t="str">
        <f t="shared" si="1"/>
        <v/>
      </c>
      <c r="J26" s="226"/>
      <c r="K26" s="205" t="str">
        <f t="shared" si="2"/>
        <v/>
      </c>
      <c r="L26" s="205" t="str">
        <f t="shared" si="3"/>
        <v/>
      </c>
      <c r="M26" s="206"/>
      <c r="N26" s="8"/>
      <c r="O26" s="206"/>
      <c r="P26" s="206"/>
    </row>
    <row r="27" spans="1:16" ht="54.75" customHeight="1" x14ac:dyDescent="0.25">
      <c r="A27" s="206"/>
      <c r="B27" s="363"/>
      <c r="C27" s="336" t="s">
        <v>2001</v>
      </c>
      <c r="D27" s="337"/>
      <c r="E27" s="337"/>
      <c r="F27" s="219"/>
      <c r="G27" s="225"/>
      <c r="H27" s="226"/>
      <c r="I27" s="205" t="str">
        <f t="shared" si="1"/>
        <v/>
      </c>
      <c r="J27" s="226"/>
      <c r="K27" s="205" t="str">
        <f t="shared" si="2"/>
        <v/>
      </c>
      <c r="L27" s="205" t="str">
        <f t="shared" si="3"/>
        <v/>
      </c>
      <c r="M27" s="206"/>
      <c r="N27" s="8"/>
      <c r="O27" s="206"/>
      <c r="P27" s="206"/>
    </row>
    <row r="28" spans="1:16" ht="30.75" customHeight="1" x14ac:dyDescent="0.25">
      <c r="A28" s="206"/>
      <c r="B28" s="363"/>
      <c r="C28" s="356" t="s">
        <v>2002</v>
      </c>
      <c r="D28" s="357"/>
      <c r="E28" s="357"/>
      <c r="F28" s="219"/>
      <c r="G28" s="225"/>
      <c r="H28" s="226"/>
      <c r="I28" s="205" t="str">
        <f t="shared" si="1"/>
        <v/>
      </c>
      <c r="J28" s="226"/>
      <c r="K28" s="205" t="str">
        <f t="shared" si="2"/>
        <v/>
      </c>
      <c r="L28" s="205" t="str">
        <f t="shared" si="3"/>
        <v/>
      </c>
      <c r="M28" s="206"/>
      <c r="N28" s="206"/>
      <c r="O28" s="206"/>
      <c r="P28" s="206"/>
    </row>
    <row r="29" spans="1:16" ht="30.75" customHeight="1" x14ac:dyDescent="0.25">
      <c r="A29" s="206"/>
      <c r="B29" s="363"/>
      <c r="C29" s="356" t="s">
        <v>2003</v>
      </c>
      <c r="D29" s="357"/>
      <c r="E29" s="357"/>
      <c r="F29" s="219"/>
      <c r="G29" s="225"/>
      <c r="H29" s="226"/>
      <c r="I29" s="205" t="str">
        <f t="shared" si="1"/>
        <v/>
      </c>
      <c r="J29" s="226"/>
      <c r="K29" s="205" t="str">
        <f t="shared" si="2"/>
        <v/>
      </c>
      <c r="L29" s="205" t="str">
        <f t="shared" si="3"/>
        <v/>
      </c>
      <c r="M29" s="206"/>
      <c r="N29" s="206"/>
      <c r="O29" s="206"/>
      <c r="P29" s="206"/>
    </row>
    <row r="30" spans="1:16" ht="27.75" customHeight="1" x14ac:dyDescent="0.25">
      <c r="A30" s="206"/>
      <c r="B30" s="364"/>
      <c r="C30" s="356" t="s">
        <v>2004</v>
      </c>
      <c r="D30" s="357"/>
      <c r="E30" s="357"/>
      <c r="F30" s="219"/>
      <c r="G30" s="225"/>
      <c r="H30" s="226"/>
      <c r="I30" s="205" t="str">
        <f t="shared" si="1"/>
        <v/>
      </c>
      <c r="J30" s="226"/>
      <c r="K30" s="205" t="str">
        <f t="shared" si="2"/>
        <v/>
      </c>
      <c r="L30" s="205" t="str">
        <f t="shared" si="3"/>
        <v/>
      </c>
      <c r="M30" s="206"/>
      <c r="N30" s="206"/>
      <c r="O30" s="206"/>
      <c r="P30" s="206"/>
    </row>
    <row r="31" spans="1:16" ht="15" customHeight="1" x14ac:dyDescent="0.25"/>
    <row r="32" spans="1:16" ht="72.75" customHeight="1" x14ac:dyDescent="0.25">
      <c r="B32" s="385" t="s">
        <v>30</v>
      </c>
      <c r="C32" s="386" t="s">
        <v>136</v>
      </c>
      <c r="D32" s="386"/>
      <c r="E32" s="386"/>
      <c r="F32" s="75" t="s">
        <v>32</v>
      </c>
      <c r="G32" s="72" t="s">
        <v>132</v>
      </c>
      <c r="H32" s="75" t="s">
        <v>128</v>
      </c>
      <c r="I32" s="75" t="s">
        <v>26</v>
      </c>
      <c r="J32" s="75" t="s">
        <v>133</v>
      </c>
      <c r="K32" s="75" t="s">
        <v>27</v>
      </c>
      <c r="L32" s="75" t="s">
        <v>28</v>
      </c>
    </row>
    <row r="33" spans="1:16" ht="15" customHeight="1" x14ac:dyDescent="0.25">
      <c r="A33" s="145"/>
      <c r="B33" s="352"/>
      <c r="C33" s="348"/>
      <c r="D33" s="349"/>
      <c r="E33" s="349"/>
      <c r="F33" s="219"/>
      <c r="G33" s="225"/>
      <c r="H33" s="226"/>
      <c r="I33" s="205" t="str">
        <f>IFERROR(ROUND((H33-G33)/G33,2),"")</f>
        <v/>
      </c>
      <c r="J33" s="226"/>
      <c r="K33" s="205" t="str">
        <f>IFERROR(ROUND((J33-G33)/G33,2),"")</f>
        <v/>
      </c>
      <c r="L33" s="205" t="str">
        <f>IFERROR(ROUND((J33-G33)/(H33-G33),2),"")</f>
        <v/>
      </c>
      <c r="M33" s="145"/>
      <c r="N33" s="145"/>
      <c r="O33" s="145"/>
      <c r="P33" s="145"/>
    </row>
    <row r="34" spans="1:16" ht="15" customHeight="1" x14ac:dyDescent="0.25">
      <c r="A34" s="145"/>
      <c r="B34" s="352"/>
      <c r="C34" s="381"/>
      <c r="D34" s="446"/>
      <c r="E34" s="447"/>
      <c r="F34" s="219"/>
      <c r="G34" s="225"/>
      <c r="H34" s="226"/>
      <c r="I34" s="205" t="str">
        <f>IFERROR(ROUND((H34-G34)/G34,2),"")</f>
        <v/>
      </c>
      <c r="J34" s="226"/>
      <c r="K34" s="205" t="str">
        <f>IFERROR(ROUND((J34-G34)/G34,2),"")</f>
        <v/>
      </c>
      <c r="L34" s="205" t="str">
        <f>IFERROR(ROUND((J34-G34)/(H34-G34),2),"")</f>
        <v/>
      </c>
      <c r="M34" s="145"/>
      <c r="N34" s="145"/>
      <c r="O34" s="145"/>
      <c r="P34" s="145"/>
    </row>
    <row r="35" spans="1:16" ht="15" customHeight="1" x14ac:dyDescent="0.25">
      <c r="A35" s="145"/>
      <c r="B35" s="352"/>
      <c r="C35" s="348"/>
      <c r="D35" s="349"/>
      <c r="E35" s="349"/>
      <c r="F35" s="219"/>
      <c r="G35" s="225"/>
      <c r="H35" s="226"/>
      <c r="I35" s="205" t="str">
        <f>IFERROR(ROUND((H35-G35)/G35,2),"")</f>
        <v/>
      </c>
      <c r="J35" s="226"/>
      <c r="K35" s="205" t="str">
        <f>IFERROR(ROUND((J35-G35)/G35,2),"")</f>
        <v/>
      </c>
      <c r="L35" s="205" t="str">
        <f>IFERROR(ROUND((J35-G35)/(H35-G35),2),"")</f>
        <v/>
      </c>
      <c r="M35" s="145"/>
      <c r="N35" s="145"/>
      <c r="O35" s="145"/>
      <c r="P35" s="145"/>
    </row>
    <row r="36" spans="1:16" ht="20.25" customHeight="1" x14ac:dyDescent="0.25">
      <c r="B36" s="76" t="s">
        <v>107</v>
      </c>
      <c r="C36" s="76"/>
      <c r="D36" s="76"/>
    </row>
    <row r="37" spans="1:16" ht="72" customHeight="1" x14ac:dyDescent="0.25">
      <c r="B37" s="387"/>
      <c r="C37" s="388"/>
      <c r="D37" s="388"/>
      <c r="E37" s="388"/>
      <c r="F37" s="388"/>
      <c r="G37" s="388"/>
      <c r="H37" s="388"/>
      <c r="I37" s="388"/>
      <c r="J37" s="388"/>
      <c r="K37" s="388"/>
      <c r="L37" s="389"/>
    </row>
    <row r="38" spans="1:16" ht="15" customHeight="1" x14ac:dyDescent="0.25"/>
  </sheetData>
  <sheetProtection algorithmName="SHA-512" hashValue="7EKh55YjUnoJ+r5Ihk8HUR1oHjzFpI81mPD7zTo2S1jALBUHOLiG7Vv1xtnKaWjgMC86NRwOYABBOs72ir5vzA==" saltValue="IX1/MyA5DpDgvnbuRjNbdQ==" spinCount="100000" sheet="1" objects="1" scenarios="1" formatCells="0" selectLockedCells="1"/>
  <mergeCells count="37">
    <mergeCell ref="B37:L37"/>
    <mergeCell ref="C33:E33"/>
    <mergeCell ref="C35:E35"/>
    <mergeCell ref="B21:B30"/>
    <mergeCell ref="C21:E21"/>
    <mergeCell ref="C22:E22"/>
    <mergeCell ref="C18:H18"/>
    <mergeCell ref="C34:E34"/>
    <mergeCell ref="B16:B19"/>
    <mergeCell ref="C16:H16"/>
    <mergeCell ref="C17:H17"/>
    <mergeCell ref="C19:H19"/>
    <mergeCell ref="B32:B35"/>
    <mergeCell ref="C26:E26"/>
    <mergeCell ref="C29:E29"/>
    <mergeCell ref="C30:E30"/>
    <mergeCell ref="C28:E28"/>
    <mergeCell ref="C27:E27"/>
    <mergeCell ref="C23:E23"/>
    <mergeCell ref="C24:E24"/>
    <mergeCell ref="C25:E25"/>
    <mergeCell ref="C32:E32"/>
    <mergeCell ref="C8:H8"/>
    <mergeCell ref="C9:H9"/>
    <mergeCell ref="B8:B14"/>
    <mergeCell ref="C10:H10"/>
    <mergeCell ref="C11:H11"/>
    <mergeCell ref="C13:H13"/>
    <mergeCell ref="C12:H12"/>
    <mergeCell ref="C14:H14"/>
    <mergeCell ref="E5:J5"/>
    <mergeCell ref="E6:H6"/>
    <mergeCell ref="B2:L2"/>
    <mergeCell ref="B3:L3"/>
    <mergeCell ref="B4:L4"/>
    <mergeCell ref="B5:D5"/>
    <mergeCell ref="B6:D6"/>
  </mergeCells>
  <dataValidations count="4">
    <dataValidation type="whole" allowBlank="1" showInputMessage="1" showErrorMessage="1" error="Please enter a number between 0 and 99999999." sqref="J17:K19 J9:K14" xr:uid="{00000000-0002-0000-0500-000000000000}">
      <formula1>0</formula1>
      <formula2>99999999</formula2>
    </dataValidation>
    <dataValidation type="textLength" operator="lessThanOrEqual" allowBlank="1" showInputMessage="1" showErrorMessage="1" error="Please enter a number between 1000 and ." sqref="C33:E35 C17:H19" xr:uid="{00000000-0002-0000-0500-000002000000}">
      <formula1>1000</formula1>
    </dataValidation>
    <dataValidation type="textLength" operator="lessThanOrEqual" allowBlank="1" showInputMessage="1" showErrorMessage="1" error="Please enter a number between 5000 and ." sqref="B37:L37" xr:uid="{00000000-0002-0000-0500-000003000000}">
      <formula1>5000</formula1>
    </dataValidation>
    <dataValidation type="decimal" allowBlank="1" showInputMessage="1" showErrorMessage="1" error="Please enter a number between 0.0 and 100.0." sqref="J23:J30 J33:J35 G33:H35 G22:H30" xr:uid="{7B85CD75-BD84-4AF9-AB07-1C91FCF2B0E6}">
      <formula1>0</formula1>
      <formula2>100</formula2>
    </dataValidation>
  </dataValidations>
  <pageMargins left="0.7" right="0.7" top="0.75" bottom="0.75" header="0.3" footer="0.3"/>
  <pageSetup scale="75" fitToHeight="0" orientation="landscape" r:id="rId1"/>
  <headerFooter>
    <oddFooter xml:space="preserve">&amp;LAugust 2017&amp;C
Module 3, Section B: Community NPIs - Education and Cognitive Development </oddFooter>
  </headerFooter>
  <rowBreaks count="1" manualBreakCount="1">
    <brk id="2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Status Form</vt:lpstr>
      <vt:lpstr>CNPIs Employment</vt:lpstr>
      <vt:lpstr>CNPIs Education</vt:lpstr>
      <vt:lpstr>CNPIs Infrastructure Asset</vt:lpstr>
      <vt:lpstr>CNPIs Housing</vt:lpstr>
      <vt:lpstr>CNPIs Health and Social</vt:lpstr>
      <vt:lpstr>CNPIs G2 Civic Engagement</vt:lpstr>
      <vt:lpstr>CNPIs G3 Civic Engagement</vt:lpstr>
      <vt:lpstr>CNPIs List</vt:lpstr>
      <vt:lpstr>Strategies List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Cook</dc:creator>
  <cp:lastModifiedBy>Tiffany Jarvis</cp:lastModifiedBy>
  <cp:lastPrinted>2026-06-24T21:35:52Z</cp:lastPrinted>
  <dcterms:created xsi:type="dcterms:W3CDTF">2015-10-07T13:27:37Z</dcterms:created>
  <dcterms:modified xsi:type="dcterms:W3CDTF">2026-07-13T16:35:18Z</dcterms:modified>
</cp:coreProperties>
</file>