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sepa.sharepoint.com/sites/EPCRA_Resources/Shared Documents/ICR Files/ICRs_311-312_Chemical Inventories/ICR_EPCRA Sections 311 and 312_Tier II ICRs/2026 Renewal ICR/"/>
    </mc:Choice>
  </mc:AlternateContent>
  <xr:revisionPtr revIDLastSave="2310" documentId="8_{9E66AF0B-AA18-4275-BDE5-DAB0B4874455}" xr6:coauthVersionLast="47" xr6:coauthVersionMax="47" xr10:uidLastSave="{6BA4B5CF-DB77-4B87-8BF1-ECA7BFD75746}"/>
  <bookViews>
    <workbookView xWindow="-108" yWindow="-108" windowWidth="23256" windowHeight="13896" activeTab="1" xr2:uid="{00000000-000D-0000-FFFF-FFFF00000000}"/>
  </bookViews>
  <sheets>
    <sheet name="2021_v16" sheetId="1" r:id="rId1"/>
    <sheet name="2021_v16 Corrected Values" sheetId="2" r:id="rId2"/>
    <sheet name="1352.19 Renewal" sheetId="3" r:id="rId3"/>
    <sheet name="ICR .19 Renewal Tables" sheetId="10" r:id="rId4"/>
    <sheet name="BLS ECEC Dec 2025 - Private" sheetId="6" r:id="rId5"/>
    <sheet name="BLS ECEC Dec 2025 - Public" sheetId="11" r:id="rId6"/>
    <sheet name="GDP Price Deflator" sheetId="12" r:id="rId7"/>
    <sheet name="Agency Labor Rates" sheetId="7" r:id="rId8"/>
  </sheets>
  <definedNames>
    <definedName name="_Ref221186082" localSheetId="3">'ICR .19 Renewal Tables'!$A$3</definedName>
    <definedName name="ect_table3.f.1" localSheetId="5">'BLS ECEC Dec 2025 - Public'!$A$25</definedName>
    <definedName name="ect_table3.f.2" localSheetId="5">'BLS ECEC Dec 2025 - Public'!$A$26</definedName>
    <definedName name="ect_table4.f.1" localSheetId="4">'BLS ECEC Dec 2025 - Private'!$A$150</definedName>
    <definedName name="ect_table4.f.2" localSheetId="4">'BLS ECEC Dec 2025 - Private'!$A$151</definedName>
    <definedName name="ect_table4.f.3" localSheetId="4">'BLS ECEC Dec 2025 - Private'!$A$152</definedName>
    <definedName name="ect_table4.f.4" localSheetId="4">'BLS ECEC Dec 2025 - Private'!$A$153</definedName>
    <definedName name="FRTable">#REF!</definedName>
    <definedName name="PRIVATE_DATAS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8" i="10" l="1"/>
  <c r="G68" i="10"/>
  <c r="K115" i="3"/>
  <c r="G93" i="2"/>
  <c r="G80" i="2"/>
  <c r="F80" i="2"/>
  <c r="G94" i="3"/>
  <c r="G81" i="3"/>
  <c r="F81" i="3"/>
  <c r="G23" i="10"/>
  <c r="F23" i="10"/>
  <c r="E23" i="10"/>
  <c r="D23" i="10"/>
  <c r="C23" i="10"/>
  <c r="A121" i="3"/>
  <c r="L114" i="3"/>
  <c r="L113" i="3"/>
  <c r="L115" i="3"/>
  <c r="L108" i="3"/>
  <c r="K108" i="3"/>
  <c r="L107" i="3"/>
  <c r="K107" i="3"/>
  <c r="J108" i="3"/>
  <c r="J107" i="3"/>
  <c r="J109" i="3" s="1"/>
  <c r="L109" i="3"/>
  <c r="L99" i="3"/>
  <c r="D96" i="10"/>
  <c r="D95" i="10"/>
  <c r="D94" i="10"/>
  <c r="D89" i="10"/>
  <c r="D88" i="10"/>
  <c r="D83" i="10"/>
  <c r="D82" i="10"/>
  <c r="F76" i="10"/>
  <c r="F61" i="10"/>
  <c r="C62" i="10"/>
  <c r="C61" i="10"/>
  <c r="D55" i="10"/>
  <c r="C55" i="10"/>
  <c r="D54" i="10"/>
  <c r="C54" i="10"/>
  <c r="D53" i="10"/>
  <c r="C53" i="10"/>
  <c r="D52" i="10"/>
  <c r="C52" i="10"/>
  <c r="D51" i="10"/>
  <c r="C51" i="10"/>
  <c r="C44" i="10"/>
  <c r="C43" i="10"/>
  <c r="C42" i="10"/>
  <c r="C41" i="10"/>
  <c r="E35" i="10"/>
  <c r="E34" i="10"/>
  <c r="E33" i="10"/>
  <c r="E32" i="10"/>
  <c r="E31" i="10"/>
  <c r="E30" i="10"/>
  <c r="E28" i="10"/>
  <c r="D28" i="10"/>
  <c r="E27" i="10"/>
  <c r="D27" i="10"/>
  <c r="E26" i="10"/>
  <c r="D26" i="10"/>
  <c r="E25" i="10"/>
  <c r="D25" i="10"/>
  <c r="E24" i="10"/>
  <c r="D24" i="10"/>
  <c r="C28" i="10"/>
  <c r="C27" i="10"/>
  <c r="C26" i="10"/>
  <c r="C25" i="10"/>
  <c r="C24" i="10"/>
  <c r="E22" i="10"/>
  <c r="H63" i="3"/>
  <c r="H62" i="3"/>
  <c r="H8" i="12"/>
  <c r="K109" i="3" l="1"/>
  <c r="K63" i="3"/>
  <c r="K62" i="3"/>
  <c r="C44" i="3"/>
  <c r="D35" i="10" s="1"/>
  <c r="C43" i="3"/>
  <c r="D34" i="10" s="1"/>
  <c r="C42" i="3"/>
  <c r="D33" i="10" s="1"/>
  <c r="C40" i="3"/>
  <c r="D32" i="10" s="1"/>
  <c r="C39" i="3"/>
  <c r="D31" i="10" s="1"/>
  <c r="C38" i="3"/>
  <c r="D30" i="10" s="1"/>
  <c r="B44" i="3"/>
  <c r="C35" i="10" s="1"/>
  <c r="B43" i="3"/>
  <c r="C34" i="10" s="1"/>
  <c r="B42" i="3"/>
  <c r="C33" i="10" s="1"/>
  <c r="B40" i="3"/>
  <c r="C32" i="10" s="1"/>
  <c r="B39" i="3"/>
  <c r="C31" i="10" s="1"/>
  <c r="B38" i="3"/>
  <c r="C30" i="10" s="1"/>
  <c r="C21" i="3"/>
  <c r="D22" i="10" s="1"/>
  <c r="B21" i="3"/>
  <c r="C22" i="10" s="1"/>
  <c r="E14" i="3"/>
  <c r="C16" i="10" s="1"/>
  <c r="E13" i="3"/>
  <c r="C15" i="10" s="1"/>
  <c r="E12" i="3"/>
  <c r="E9" i="3"/>
  <c r="E8" i="3"/>
  <c r="E7" i="3"/>
  <c r="C8" i="10" s="1"/>
  <c r="E4" i="3"/>
  <c r="C7" i="10" s="1"/>
  <c r="E3" i="3"/>
  <c r="E2" i="3"/>
  <c r="C5" i="10" s="1"/>
  <c r="B14" i="3"/>
  <c r="B13" i="3"/>
  <c r="B12" i="3"/>
  <c r="B9" i="3"/>
  <c r="B8" i="3"/>
  <c r="B7" i="3"/>
  <c r="B4" i="3"/>
  <c r="B3" i="3"/>
  <c r="B2" i="3"/>
  <c r="C9" i="10" l="1"/>
  <c r="C10" i="10"/>
  <c r="C14" i="10"/>
  <c r="C3" i="3"/>
  <c r="C2" i="3"/>
  <c r="C6" i="10"/>
  <c r="C4" i="3"/>
  <c r="G91" i="1" l="1"/>
  <c r="E42" i="3"/>
  <c r="G68" i="1"/>
  <c r="C69" i="3"/>
  <c r="D61" i="10" s="1"/>
  <c r="E40" i="3"/>
  <c r="E32" i="3"/>
  <c r="F28" i="10" s="1"/>
  <c r="E30" i="3"/>
  <c r="F27" i="10" s="1"/>
  <c r="E29" i="3"/>
  <c r="F26" i="10" s="1"/>
  <c r="E28" i="3"/>
  <c r="F25" i="10" s="1"/>
  <c r="E26" i="3"/>
  <c r="F24" i="10" s="1"/>
  <c r="E25" i="3"/>
  <c r="D115" i="3"/>
  <c r="D97" i="10" s="1"/>
  <c r="B92" i="3"/>
  <c r="B91" i="3"/>
  <c r="B90" i="3"/>
  <c r="B88" i="3"/>
  <c r="B87" i="3"/>
  <c r="B86" i="3"/>
  <c r="B80" i="3"/>
  <c r="B78" i="3"/>
  <c r="B77" i="3"/>
  <c r="B76" i="3"/>
  <c r="B74" i="3"/>
  <c r="E73" i="3"/>
  <c r="F62" i="10" s="1"/>
  <c r="D73" i="3"/>
  <c r="E62" i="10" s="1"/>
  <c r="C73" i="3"/>
  <c r="D62" i="10" s="1"/>
  <c r="F63" i="3"/>
  <c r="G54" i="10" s="1"/>
  <c r="E63" i="3"/>
  <c r="F54" i="10" s="1"/>
  <c r="D63" i="3"/>
  <c r="E54" i="10" s="1"/>
  <c r="B55" i="3"/>
  <c r="C45" i="10" s="1"/>
  <c r="D54" i="3"/>
  <c r="E44" i="10" s="1"/>
  <c r="C54" i="3"/>
  <c r="D53" i="3"/>
  <c r="C53" i="3"/>
  <c r="D52" i="3"/>
  <c r="C52" i="3"/>
  <c r="D51" i="3"/>
  <c r="C51" i="3"/>
  <c r="D41" i="10" s="1"/>
  <c r="N91" i="2"/>
  <c r="K92" i="2"/>
  <c r="K93" i="2" s="1"/>
  <c r="K91" i="2"/>
  <c r="G91" i="2"/>
  <c r="G72" i="2"/>
  <c r="G68" i="2"/>
  <c r="F54" i="2"/>
  <c r="F53" i="2"/>
  <c r="F52" i="2"/>
  <c r="F51" i="2"/>
  <c r="F50" i="2"/>
  <c r="N45" i="2"/>
  <c r="N43" i="2"/>
  <c r="F44" i="2"/>
  <c r="N44" i="2" s="1"/>
  <c r="K45" i="2"/>
  <c r="K44" i="2"/>
  <c r="F43" i="2"/>
  <c r="F42" i="2"/>
  <c r="F41" i="2"/>
  <c r="F39" i="2"/>
  <c r="F38" i="2"/>
  <c r="F37" i="2"/>
  <c r="F31" i="2"/>
  <c r="F29" i="2"/>
  <c r="F28" i="2"/>
  <c r="F27" i="2"/>
  <c r="F25" i="2"/>
  <c r="F24" i="2"/>
  <c r="F20" i="2"/>
  <c r="B116" i="2"/>
  <c r="D114" i="2"/>
  <c r="E106" i="2"/>
  <c r="E112" i="2" s="1"/>
  <c r="E91" i="2"/>
  <c r="D91" i="2"/>
  <c r="B91" i="2"/>
  <c r="C91" i="2" s="1"/>
  <c r="F91" i="2" s="1"/>
  <c r="H90" i="2"/>
  <c r="E90" i="2"/>
  <c r="D90" i="2"/>
  <c r="C90" i="2"/>
  <c r="F90" i="2" s="1"/>
  <c r="B90" i="2"/>
  <c r="B89" i="2"/>
  <c r="H89" i="2" s="1"/>
  <c r="B87" i="2"/>
  <c r="H87" i="2" s="1"/>
  <c r="H86" i="2"/>
  <c r="B86" i="2"/>
  <c r="E86" i="2" s="1"/>
  <c r="H85" i="2"/>
  <c r="B85" i="2"/>
  <c r="B92" i="2" s="1"/>
  <c r="B79" i="2"/>
  <c r="H79" i="2" s="1"/>
  <c r="H77" i="2"/>
  <c r="B77" i="2"/>
  <c r="E77" i="2" s="1"/>
  <c r="H76" i="2"/>
  <c r="B76" i="2"/>
  <c r="E76" i="2" s="1"/>
  <c r="H75" i="2"/>
  <c r="C75" i="2"/>
  <c r="B75" i="2"/>
  <c r="E75" i="2" s="1"/>
  <c r="E73" i="2"/>
  <c r="B73" i="2"/>
  <c r="D73" i="2" s="1"/>
  <c r="E72" i="2"/>
  <c r="D72" i="2"/>
  <c r="C72" i="2"/>
  <c r="F72" i="2" s="1"/>
  <c r="D68" i="2"/>
  <c r="C68" i="2"/>
  <c r="F68" i="2" s="1"/>
  <c r="F69" i="2" s="1"/>
  <c r="H63" i="2"/>
  <c r="H62" i="2"/>
  <c r="F62" i="2"/>
  <c r="E62" i="2"/>
  <c r="D62" i="2"/>
  <c r="H61" i="2"/>
  <c r="D61" i="2"/>
  <c r="E60" i="2"/>
  <c r="D59" i="2"/>
  <c r="D54" i="2"/>
  <c r="B54" i="2"/>
  <c r="D53" i="2"/>
  <c r="C53" i="2"/>
  <c r="G62" i="2" s="1"/>
  <c r="E52" i="2"/>
  <c r="D52" i="2"/>
  <c r="E61" i="2" s="1"/>
  <c r="C52" i="2"/>
  <c r="D51" i="2"/>
  <c r="C51" i="2"/>
  <c r="D60" i="2" s="1"/>
  <c r="F60" i="2" s="1"/>
  <c r="E50" i="2"/>
  <c r="D50" i="2"/>
  <c r="E59" i="2" s="1"/>
  <c r="C50" i="2"/>
  <c r="C54" i="2" s="1"/>
  <c r="E43" i="2"/>
  <c r="E42" i="2"/>
  <c r="E41" i="2"/>
  <c r="E39" i="2"/>
  <c r="E38" i="2"/>
  <c r="E37" i="2"/>
  <c r="E14" i="2"/>
  <c r="E13" i="2"/>
  <c r="G61" i="2" s="1"/>
  <c r="E12" i="2"/>
  <c r="E9" i="2"/>
  <c r="E8" i="2"/>
  <c r="E7" i="2"/>
  <c r="E4" i="2"/>
  <c r="F4" i="2" s="1"/>
  <c r="E3" i="2"/>
  <c r="F3" i="2" s="1"/>
  <c r="F2" i="2"/>
  <c r="E2" i="2"/>
  <c r="F93" i="1"/>
  <c r="F27" i="1"/>
  <c r="F25" i="1"/>
  <c r="H91" i="3" l="1"/>
  <c r="K91" i="3" s="1"/>
  <c r="C74" i="10"/>
  <c r="E60" i="3"/>
  <c r="F51" i="10" s="1"/>
  <c r="E41" i="10"/>
  <c r="E54" i="3"/>
  <c r="F44" i="10" s="1"/>
  <c r="D44" i="10"/>
  <c r="H90" i="3"/>
  <c r="K90" i="3" s="1"/>
  <c r="C73" i="10"/>
  <c r="F33" i="10"/>
  <c r="G42" i="3"/>
  <c r="H92" i="3"/>
  <c r="K92" i="3" s="1"/>
  <c r="C75" i="10"/>
  <c r="D61" i="3"/>
  <c r="D42" i="10"/>
  <c r="E61" i="3"/>
  <c r="F52" i="10" s="1"/>
  <c r="E42" i="10"/>
  <c r="C63" i="10"/>
  <c r="H74" i="3"/>
  <c r="K74" i="3" s="1"/>
  <c r="D62" i="3"/>
  <c r="E53" i="10" s="1"/>
  <c r="D43" i="10"/>
  <c r="C76" i="3"/>
  <c r="D64" i="10" s="1"/>
  <c r="C64" i="10"/>
  <c r="H76" i="3"/>
  <c r="H81" i="3" s="1"/>
  <c r="K81" i="3" s="1"/>
  <c r="E62" i="3"/>
  <c r="F53" i="10" s="1"/>
  <c r="E43" i="10"/>
  <c r="C77" i="3"/>
  <c r="D65" i="10" s="1"/>
  <c r="H77" i="3"/>
  <c r="C65" i="10"/>
  <c r="E78" i="3"/>
  <c r="F66" i="10" s="1"/>
  <c r="H78" i="3"/>
  <c r="C66" i="10"/>
  <c r="E80" i="3"/>
  <c r="F67" i="10" s="1"/>
  <c r="H80" i="3"/>
  <c r="K80" i="3" s="1"/>
  <c r="C67" i="10"/>
  <c r="E86" i="3"/>
  <c r="F70" i="10" s="1"/>
  <c r="H86" i="3"/>
  <c r="K86" i="3" s="1"/>
  <c r="C70" i="10"/>
  <c r="E87" i="3"/>
  <c r="F71" i="10" s="1"/>
  <c r="H87" i="3"/>
  <c r="K87" i="3" s="1"/>
  <c r="C71" i="10"/>
  <c r="F32" i="10"/>
  <c r="G40" i="3"/>
  <c r="E88" i="3"/>
  <c r="F72" i="10" s="1"/>
  <c r="H88" i="3"/>
  <c r="K88" i="3" s="1"/>
  <c r="C72" i="10"/>
  <c r="E39" i="3"/>
  <c r="E52" i="3"/>
  <c r="F42" i="10" s="1"/>
  <c r="H64" i="3"/>
  <c r="F4" i="3"/>
  <c r="F2" i="3"/>
  <c r="F54" i="3"/>
  <c r="F51" i="3"/>
  <c r="D74" i="3"/>
  <c r="E63" i="10" s="1"/>
  <c r="E77" i="3"/>
  <c r="F65" i="10" s="1"/>
  <c r="C86" i="3"/>
  <c r="D70" i="10" s="1"/>
  <c r="C74" i="3"/>
  <c r="D63" i="10" s="1"/>
  <c r="D77" i="3"/>
  <c r="E65" i="10" s="1"/>
  <c r="E74" i="3"/>
  <c r="F63" i="10" s="1"/>
  <c r="F3" i="3"/>
  <c r="F73" i="3"/>
  <c r="G62" i="10" s="1"/>
  <c r="D76" i="3"/>
  <c r="E64" i="10" s="1"/>
  <c r="E76" i="3"/>
  <c r="E43" i="3"/>
  <c r="C90" i="3"/>
  <c r="D73" i="10" s="1"/>
  <c r="E44" i="3"/>
  <c r="D69" i="3"/>
  <c r="E21" i="3"/>
  <c r="F22" i="10" s="1"/>
  <c r="E38" i="3"/>
  <c r="D86" i="3"/>
  <c r="E70" i="10" s="1"/>
  <c r="B93" i="3"/>
  <c r="C76" i="10" s="1"/>
  <c r="E53" i="3"/>
  <c r="F43" i="10" s="1"/>
  <c r="F53" i="3"/>
  <c r="D91" i="3"/>
  <c r="E74" i="10" s="1"/>
  <c r="C80" i="3"/>
  <c r="D67" i="10" s="1"/>
  <c r="C88" i="3"/>
  <c r="D72" i="10" s="1"/>
  <c r="D90" i="3"/>
  <c r="E91" i="3"/>
  <c r="F74" i="10" s="1"/>
  <c r="D60" i="3"/>
  <c r="E51" i="10" s="1"/>
  <c r="C78" i="3"/>
  <c r="D66" i="10" s="1"/>
  <c r="D80" i="3"/>
  <c r="E67" i="10" s="1"/>
  <c r="C87" i="3"/>
  <c r="D71" i="10" s="1"/>
  <c r="D88" i="3"/>
  <c r="E72" i="10" s="1"/>
  <c r="E90" i="3"/>
  <c r="F73" i="10" s="1"/>
  <c r="C55" i="3"/>
  <c r="D45" i="10" s="1"/>
  <c r="C92" i="3"/>
  <c r="D75" i="10" s="1"/>
  <c r="E51" i="3"/>
  <c r="F41" i="10" s="1"/>
  <c r="D55" i="3"/>
  <c r="E45" i="10" s="1"/>
  <c r="C91" i="3"/>
  <c r="D74" i="10" s="1"/>
  <c r="D92" i="3"/>
  <c r="E75" i="10" s="1"/>
  <c r="E92" i="3"/>
  <c r="F75" i="10" s="1"/>
  <c r="D78" i="3"/>
  <c r="E66" i="10" s="1"/>
  <c r="D87" i="3"/>
  <c r="E71" i="10" s="1"/>
  <c r="F52" i="3"/>
  <c r="G77" i="2"/>
  <c r="F61" i="2"/>
  <c r="H92" i="2"/>
  <c r="E63" i="2"/>
  <c r="G75" i="2"/>
  <c r="G85" i="2"/>
  <c r="G89" i="2"/>
  <c r="G90" i="2"/>
  <c r="G79" i="2"/>
  <c r="F59" i="2"/>
  <c r="F63" i="2" s="1"/>
  <c r="B106" i="2" s="1"/>
  <c r="C89" i="2"/>
  <c r="F89" i="2" s="1"/>
  <c r="C79" i="2"/>
  <c r="C87" i="2"/>
  <c r="H73" i="2"/>
  <c r="H80" i="2" s="1"/>
  <c r="C77" i="2"/>
  <c r="D79" i="2"/>
  <c r="C86" i="2"/>
  <c r="F86" i="2" s="1"/>
  <c r="D87" i="2"/>
  <c r="E89" i="2"/>
  <c r="G73" i="2"/>
  <c r="G86" i="2"/>
  <c r="E51" i="2"/>
  <c r="E54" i="2" s="1"/>
  <c r="E53" i="2"/>
  <c r="C76" i="2"/>
  <c r="D77" i="2"/>
  <c r="E79" i="2"/>
  <c r="C85" i="2"/>
  <c r="D86" i="2"/>
  <c r="E87" i="2"/>
  <c r="H91" i="2"/>
  <c r="E107" i="2"/>
  <c r="D89" i="2"/>
  <c r="D63" i="2"/>
  <c r="D76" i="2"/>
  <c r="G76" i="2"/>
  <c r="G87" i="2"/>
  <c r="C73" i="2"/>
  <c r="F73" i="2" s="1"/>
  <c r="D75" i="2"/>
  <c r="F75" i="2" s="1"/>
  <c r="E85" i="2"/>
  <c r="G60" i="2"/>
  <c r="D85" i="2"/>
  <c r="D92" i="2" s="1"/>
  <c r="F20" i="1"/>
  <c r="F34" i="10" l="1"/>
  <c r="G43" i="3"/>
  <c r="G41" i="10"/>
  <c r="J51" i="3"/>
  <c r="C13" i="10"/>
  <c r="G42" i="10"/>
  <c r="J52" i="3"/>
  <c r="F30" i="10"/>
  <c r="G38" i="3"/>
  <c r="F31" i="10"/>
  <c r="G39" i="3"/>
  <c r="F62" i="3"/>
  <c r="G53" i="10" s="1"/>
  <c r="F69" i="3"/>
  <c r="E61" i="10"/>
  <c r="F76" i="3"/>
  <c r="G64" i="10" s="1"/>
  <c r="F64" i="10"/>
  <c r="G63" i="3"/>
  <c r="G44" i="10"/>
  <c r="J54" i="3"/>
  <c r="G43" i="10"/>
  <c r="J53" i="3"/>
  <c r="C11" i="10"/>
  <c r="C12" i="10"/>
  <c r="E64" i="3"/>
  <c r="F55" i="10" s="1"/>
  <c r="F90" i="3"/>
  <c r="G73" i="10" s="1"/>
  <c r="E73" i="10"/>
  <c r="F35" i="10"/>
  <c r="G44" i="3"/>
  <c r="F61" i="3"/>
  <c r="G52" i="10" s="1"/>
  <c r="E52" i="10"/>
  <c r="E107" i="3"/>
  <c r="E88" i="10" s="1"/>
  <c r="K64" i="3"/>
  <c r="E55" i="3"/>
  <c r="F45" i="10" s="1"/>
  <c r="F74" i="3"/>
  <c r="G63" i="10" s="1"/>
  <c r="H93" i="3"/>
  <c r="F26" i="3"/>
  <c r="F28" i="3"/>
  <c r="F40" i="3"/>
  <c r="F30" i="3"/>
  <c r="F44" i="3"/>
  <c r="F32" i="3"/>
  <c r="F38" i="3"/>
  <c r="F43" i="3"/>
  <c r="F21" i="3"/>
  <c r="G62" i="3"/>
  <c r="G60" i="3"/>
  <c r="F77" i="3"/>
  <c r="G65" i="10" s="1"/>
  <c r="F55" i="3"/>
  <c r="G61" i="3"/>
  <c r="F42" i="3"/>
  <c r="F39" i="3"/>
  <c r="F80" i="3"/>
  <c r="G67" i="10" s="1"/>
  <c r="F25" i="3"/>
  <c r="J25" i="3" s="1"/>
  <c r="F29" i="3"/>
  <c r="F86" i="3"/>
  <c r="G70" i="10" s="1"/>
  <c r="F88" i="3"/>
  <c r="G72" i="10" s="1"/>
  <c r="F91" i="3"/>
  <c r="G74" i="10" s="1"/>
  <c r="D93" i="3"/>
  <c r="E76" i="10" s="1"/>
  <c r="F87" i="3"/>
  <c r="G71" i="10" s="1"/>
  <c r="C93" i="3"/>
  <c r="D76" i="10" s="1"/>
  <c r="F78" i="3"/>
  <c r="G66" i="10" s="1"/>
  <c r="D64" i="3"/>
  <c r="E55" i="10" s="1"/>
  <c r="F60" i="3"/>
  <c r="G51" i="10" s="1"/>
  <c r="F92" i="3"/>
  <c r="G75" i="10" s="1"/>
  <c r="B112" i="2"/>
  <c r="B107" i="2"/>
  <c r="H93" i="2"/>
  <c r="E98" i="2" s="1"/>
  <c r="G59" i="2"/>
  <c r="G63" i="2" s="1"/>
  <c r="C106" i="2" s="1"/>
  <c r="F76" i="2"/>
  <c r="F93" i="2" s="1"/>
  <c r="B98" i="2" s="1"/>
  <c r="J99" i="3" s="1"/>
  <c r="F77" i="2"/>
  <c r="F87" i="2"/>
  <c r="G69" i="2"/>
  <c r="F85" i="2"/>
  <c r="F92" i="2" s="1"/>
  <c r="C92" i="2"/>
  <c r="F79" i="2"/>
  <c r="G92" i="2"/>
  <c r="E113" i="1"/>
  <c r="G35" i="10" l="1"/>
  <c r="J44" i="3"/>
  <c r="G33" i="10"/>
  <c r="J42" i="3"/>
  <c r="G78" i="3"/>
  <c r="G27" i="10"/>
  <c r="J30" i="3"/>
  <c r="G88" i="3"/>
  <c r="G32" i="10"/>
  <c r="J40" i="3"/>
  <c r="G45" i="10"/>
  <c r="J55" i="3"/>
  <c r="G74" i="3"/>
  <c r="G24" i="10"/>
  <c r="J26" i="3"/>
  <c r="H51" i="10"/>
  <c r="J60" i="3"/>
  <c r="H54" i="10"/>
  <c r="J63" i="3"/>
  <c r="H53" i="10"/>
  <c r="J62" i="3"/>
  <c r="G22" i="10"/>
  <c r="J21" i="3"/>
  <c r="G26" i="10"/>
  <c r="J29" i="3"/>
  <c r="G34" i="10"/>
  <c r="J43" i="3"/>
  <c r="F70" i="3"/>
  <c r="G61" i="10"/>
  <c r="G80" i="3"/>
  <c r="G28" i="10"/>
  <c r="J32" i="3"/>
  <c r="G31" i="10"/>
  <c r="J39" i="3"/>
  <c r="H52" i="10"/>
  <c r="J61" i="3"/>
  <c r="G76" i="3"/>
  <c r="G25" i="10"/>
  <c r="J28" i="3"/>
  <c r="G86" i="3"/>
  <c r="G30" i="10"/>
  <c r="J38" i="3"/>
  <c r="H94" i="3"/>
  <c r="E99" i="3" s="1"/>
  <c r="K93" i="3"/>
  <c r="E113" i="3"/>
  <c r="E95" i="10" s="1"/>
  <c r="E108" i="3"/>
  <c r="E89" i="10" s="1"/>
  <c r="G87" i="3"/>
  <c r="G91" i="3"/>
  <c r="F45" i="3"/>
  <c r="J45" i="3" s="1"/>
  <c r="G69" i="3"/>
  <c r="G92" i="3"/>
  <c r="G90" i="3"/>
  <c r="G77" i="3"/>
  <c r="F64" i="3"/>
  <c r="G55" i="10" s="1"/>
  <c r="G73" i="3"/>
  <c r="G64" i="3"/>
  <c r="F93" i="3"/>
  <c r="B99" i="2"/>
  <c r="B111" i="2"/>
  <c r="B113" i="2" s="1"/>
  <c r="F106" i="2"/>
  <c r="C112" i="2"/>
  <c r="F112" i="2" s="1"/>
  <c r="C107" i="2"/>
  <c r="F107" i="2" s="1"/>
  <c r="E99" i="2"/>
  <c r="E111" i="2"/>
  <c r="E113" i="2" s="1"/>
  <c r="E114" i="2" s="1"/>
  <c r="H91" i="1"/>
  <c r="H90" i="1"/>
  <c r="H89" i="1"/>
  <c r="H87" i="1"/>
  <c r="H86" i="1"/>
  <c r="H85" i="1"/>
  <c r="H79" i="1"/>
  <c r="H77" i="1"/>
  <c r="H76" i="1"/>
  <c r="H75" i="1"/>
  <c r="H73" i="1"/>
  <c r="H62" i="1"/>
  <c r="H61" i="1"/>
  <c r="C98" i="2" l="1"/>
  <c r="K99" i="3" s="1"/>
  <c r="N92" i="2"/>
  <c r="N93" i="2" s="1"/>
  <c r="B114" i="2"/>
  <c r="J113" i="3"/>
  <c r="F94" i="3"/>
  <c r="G76" i="10"/>
  <c r="C107" i="3"/>
  <c r="C88" i="10" s="1"/>
  <c r="H55" i="10"/>
  <c r="J64" i="3"/>
  <c r="H65" i="10"/>
  <c r="J77" i="3"/>
  <c r="H67" i="10"/>
  <c r="J80" i="3"/>
  <c r="H73" i="10"/>
  <c r="J90" i="3"/>
  <c r="H75" i="10"/>
  <c r="J92" i="3"/>
  <c r="G70" i="3"/>
  <c r="J70" i="3" s="1"/>
  <c r="H61" i="10"/>
  <c r="J69" i="3"/>
  <c r="H64" i="10"/>
  <c r="J76" i="3"/>
  <c r="H72" i="10"/>
  <c r="J88" i="3"/>
  <c r="H74" i="10"/>
  <c r="J91" i="3"/>
  <c r="H71" i="10"/>
  <c r="J87" i="3"/>
  <c r="L100" i="3"/>
  <c r="L101" i="3" s="1"/>
  <c r="E82" i="10"/>
  <c r="H66" i="10"/>
  <c r="J78" i="3"/>
  <c r="H62" i="10"/>
  <c r="J73" i="3"/>
  <c r="H63" i="10"/>
  <c r="J74" i="3"/>
  <c r="H70" i="10"/>
  <c r="J86" i="3"/>
  <c r="K94" i="3"/>
  <c r="E100" i="3"/>
  <c r="E83" i="10" s="1"/>
  <c r="E112" i="3"/>
  <c r="G93" i="3"/>
  <c r="F107" i="3"/>
  <c r="F88" i="10" s="1"/>
  <c r="C113" i="3"/>
  <c r="C108" i="3"/>
  <c r="B107" i="3"/>
  <c r="B88" i="10" s="1"/>
  <c r="E14" i="1"/>
  <c r="E13" i="1"/>
  <c r="E12" i="1"/>
  <c r="E9" i="1"/>
  <c r="E8" i="1"/>
  <c r="E7" i="1"/>
  <c r="E4" i="1"/>
  <c r="F4" i="1" s="1"/>
  <c r="E3" i="1"/>
  <c r="F3" i="1" s="1"/>
  <c r="E2" i="1"/>
  <c r="F2" i="1" s="1"/>
  <c r="C99" i="2" l="1"/>
  <c r="F99" i="2" s="1"/>
  <c r="F98" i="2"/>
  <c r="C111" i="2"/>
  <c r="C113" i="2" s="1"/>
  <c r="F108" i="3"/>
  <c r="F89" i="10" s="1"/>
  <c r="C89" i="10"/>
  <c r="F113" i="3"/>
  <c r="F95" i="10" s="1"/>
  <c r="C95" i="10"/>
  <c r="B99" i="3"/>
  <c r="G77" i="10"/>
  <c r="E114" i="3"/>
  <c r="E94" i="10"/>
  <c r="J81" i="3"/>
  <c r="H76" i="10"/>
  <c r="J93" i="3"/>
  <c r="B108" i="3"/>
  <c r="B89" i="10" s="1"/>
  <c r="B113" i="3"/>
  <c r="F43" i="1"/>
  <c r="F39" i="1"/>
  <c r="F28" i="1"/>
  <c r="F42" i="1"/>
  <c r="F41" i="1"/>
  <c r="F31" i="1"/>
  <c r="F38" i="1"/>
  <c r="F24" i="1"/>
  <c r="F37" i="1"/>
  <c r="F29" i="1"/>
  <c r="F53" i="1"/>
  <c r="F52" i="1"/>
  <c r="F51" i="1"/>
  <c r="F50" i="1"/>
  <c r="B116" i="1"/>
  <c r="H63" i="1"/>
  <c r="E106" i="1" s="1"/>
  <c r="E112" i="1" s="1"/>
  <c r="F111" i="2" l="1"/>
  <c r="F113" i="2" s="1"/>
  <c r="F114" i="2" s="1"/>
  <c r="C114" i="2"/>
  <c r="K113" i="3"/>
  <c r="B95" i="10"/>
  <c r="J100" i="3"/>
  <c r="J101" i="3" s="1"/>
  <c r="B82" i="10"/>
  <c r="B112" i="3"/>
  <c r="B94" i="10" s="1"/>
  <c r="B100" i="3"/>
  <c r="B83" i="10" s="1"/>
  <c r="E115" i="3"/>
  <c r="E97" i="10" s="1"/>
  <c r="E96" i="10"/>
  <c r="H77" i="10"/>
  <c r="J94" i="3"/>
  <c r="C99" i="3"/>
  <c r="E43" i="1"/>
  <c r="E42" i="1"/>
  <c r="E41" i="1"/>
  <c r="E39" i="1"/>
  <c r="E38" i="1"/>
  <c r="E37" i="1"/>
  <c r="C112" i="3" l="1"/>
  <c r="K100" i="3"/>
  <c r="K101" i="3" s="1"/>
  <c r="C82" i="10"/>
  <c r="B114" i="3"/>
  <c r="J114" i="3" s="1"/>
  <c r="J115" i="3" s="1"/>
  <c r="C100" i="3"/>
  <c r="F99" i="3"/>
  <c r="F82" i="10" s="1"/>
  <c r="B79" i="1"/>
  <c r="B77" i="1"/>
  <c r="B76" i="1"/>
  <c r="C114" i="3" l="1"/>
  <c r="K114" i="3" s="1"/>
  <c r="C94" i="10"/>
  <c r="F100" i="3"/>
  <c r="F83" i="10" s="1"/>
  <c r="C83" i="10"/>
  <c r="F112" i="3"/>
  <c r="B115" i="3"/>
  <c r="B97" i="10" s="1"/>
  <c r="B96" i="10"/>
  <c r="B75" i="1"/>
  <c r="B73" i="1"/>
  <c r="H80" i="1" s="1"/>
  <c r="F114" i="3" l="1"/>
  <c r="F94" i="10"/>
  <c r="C115" i="3"/>
  <c r="C97" i="10" s="1"/>
  <c r="C96" i="10"/>
  <c r="B54" i="1"/>
  <c r="F115" i="3" l="1"/>
  <c r="F97" i="10" s="1"/>
  <c r="F96" i="10"/>
  <c r="D52" i="1"/>
  <c r="E61" i="1" s="1"/>
  <c r="C52" i="1"/>
  <c r="D61" i="1" s="1"/>
  <c r="C51" i="1"/>
  <c r="E51" i="1" s="1"/>
  <c r="D53" i="1"/>
  <c r="C53" i="1"/>
  <c r="D51" i="1"/>
  <c r="E60" i="1" s="1"/>
  <c r="D50" i="1"/>
  <c r="C50" i="1"/>
  <c r="D59" i="1" l="1"/>
  <c r="C54" i="1"/>
  <c r="E59" i="1"/>
  <c r="F59" i="1" s="1"/>
  <c r="D54" i="1"/>
  <c r="E53" i="1"/>
  <c r="E52" i="1"/>
  <c r="F61" i="1"/>
  <c r="D60" i="1"/>
  <c r="F60" i="1" s="1"/>
  <c r="E50" i="1"/>
  <c r="F62" i="1"/>
  <c r="E62" i="1"/>
  <c r="E63" i="1" s="1"/>
  <c r="D62" i="1"/>
  <c r="B91" i="1"/>
  <c r="B90" i="1"/>
  <c r="B89" i="1"/>
  <c r="B87" i="1"/>
  <c r="B86" i="1"/>
  <c r="B85" i="1"/>
  <c r="C87" i="1" l="1"/>
  <c r="C89" i="1"/>
  <c r="C90" i="1"/>
  <c r="C86" i="1"/>
  <c r="H92" i="1"/>
  <c r="H93" i="1" s="1"/>
  <c r="E98" i="1" s="1"/>
  <c r="C91" i="1"/>
  <c r="E54" i="1"/>
  <c r="F63" i="1"/>
  <c r="B106" i="1" s="1"/>
  <c r="D63" i="1"/>
  <c r="D85" i="1"/>
  <c r="C85" i="1"/>
  <c r="C92" i="1" s="1"/>
  <c r="B92" i="1"/>
  <c r="B112" i="1"/>
  <c r="E107" i="1"/>
  <c r="B107" i="1"/>
  <c r="E99" i="1" l="1"/>
  <c r="E111" i="1"/>
  <c r="E114" i="1" s="1"/>
  <c r="D114" i="1"/>
  <c r="E91" i="1"/>
  <c r="D91" i="1"/>
  <c r="E90" i="1"/>
  <c r="D90" i="1"/>
  <c r="E89" i="1"/>
  <c r="D89" i="1"/>
  <c r="E87" i="1"/>
  <c r="D87" i="1"/>
  <c r="E86" i="1"/>
  <c r="D86" i="1"/>
  <c r="E85" i="1"/>
  <c r="F85" i="1" s="1"/>
  <c r="E79" i="1"/>
  <c r="D79" i="1"/>
  <c r="C79" i="1"/>
  <c r="E77" i="1"/>
  <c r="D77" i="1"/>
  <c r="C77" i="1"/>
  <c r="E76" i="1"/>
  <c r="D76" i="1"/>
  <c r="C76" i="1"/>
  <c r="E75" i="1"/>
  <c r="D75" i="1"/>
  <c r="C75" i="1"/>
  <c r="E73" i="1"/>
  <c r="D73" i="1"/>
  <c r="C73" i="1"/>
  <c r="E72" i="1"/>
  <c r="D72" i="1"/>
  <c r="C72" i="1"/>
  <c r="D68" i="1"/>
  <c r="C68" i="1"/>
  <c r="F75" i="1" l="1"/>
  <c r="F79" i="1"/>
  <c r="F87" i="1"/>
  <c r="F86" i="1"/>
  <c r="F89" i="1"/>
  <c r="F77" i="1"/>
  <c r="D92" i="1"/>
  <c r="F90" i="1"/>
  <c r="F91" i="1"/>
  <c r="F76" i="1"/>
  <c r="F73" i="1"/>
  <c r="F72" i="1"/>
  <c r="F68" i="1"/>
  <c r="F69" i="1" s="1"/>
  <c r="G62" i="1"/>
  <c r="G61" i="1"/>
  <c r="G60" i="1"/>
  <c r="G59" i="1"/>
  <c r="G86" i="1"/>
  <c r="F92" i="1" l="1"/>
  <c r="G63" i="1"/>
  <c r="C106" i="1" s="1"/>
  <c r="C107" i="1" s="1"/>
  <c r="F80" i="1"/>
  <c r="F54" i="1"/>
  <c r="G73" i="1"/>
  <c r="G72" i="1"/>
  <c r="G90" i="1"/>
  <c r="G89" i="1"/>
  <c r="G87" i="1"/>
  <c r="G85" i="1"/>
  <c r="G77" i="1"/>
  <c r="G79" i="1"/>
  <c r="G92" i="1" l="1"/>
  <c r="C112" i="1"/>
  <c r="F112" i="1" s="1"/>
  <c r="F106" i="1"/>
  <c r="F107" i="1"/>
  <c r="G76" i="1"/>
  <c r="G75" i="1"/>
  <c r="G80" i="1" l="1"/>
  <c r="G93" i="1" s="1"/>
  <c r="C98" i="1" s="1"/>
  <c r="G69" i="1"/>
  <c r="F44" i="1"/>
  <c r="B98" i="1"/>
  <c r="B111" i="1" l="1"/>
  <c r="B113" i="1" s="1"/>
  <c r="B114" i="1" s="1"/>
  <c r="B99" i="1"/>
  <c r="F98" i="1"/>
  <c r="C111" i="1"/>
  <c r="C99" i="1"/>
  <c r="F99" i="1" s="1"/>
  <c r="F111" i="1" l="1"/>
  <c r="F113" i="1" s="1"/>
  <c r="F114" i="1" s="1"/>
  <c r="C113" i="1"/>
  <c r="C114" i="1" s="1"/>
</calcChain>
</file>

<file path=xl/sharedStrings.xml><?xml version="1.0" encoding="utf-8"?>
<sst xmlns="http://schemas.openxmlformats.org/spreadsheetml/2006/main" count="1015" uniqueCount="337">
  <si>
    <t>MANUFACTURER</t>
  </si>
  <si>
    <t>WGHTED AVER  2018</t>
  </si>
  <si>
    <t>Updated Dec 2020</t>
  </si>
  <si>
    <t>Weighted Average</t>
  </si>
  <si>
    <t>manager</t>
  </si>
  <si>
    <t>technical</t>
  </si>
  <si>
    <t>clerical</t>
  </si>
  <si>
    <t>NON-MANUFACTURER</t>
  </si>
  <si>
    <t>SERCs and LEPCs</t>
  </si>
  <si>
    <t>Wage rates updated using % increases from March 2018 through Dec. 2020 from Tables 9 and 4 in BLS</t>
  </si>
  <si>
    <t>Exhibit 1 - Unit costs and burdens - updated from 2018, using updated wage rates</t>
  </si>
  <si>
    <t>Information Collection Activity</t>
  </si>
  <si>
    <t>Management</t>
  </si>
  <si>
    <t>Technical</t>
  </si>
  <si>
    <t>Clerical</t>
  </si>
  <si>
    <t>Total Hours</t>
  </si>
  <si>
    <t>Annual Unit Cost</t>
  </si>
  <si>
    <t xml:space="preserve">RULE FAMILIARIZATION </t>
  </si>
  <si>
    <t xml:space="preserve">  Read and understand regulations </t>
  </si>
  <si>
    <t>SDS REPORTING</t>
  </si>
  <si>
    <t>Basic Reporting</t>
  </si>
  <si>
    <t>Determine which chemicals meet/exceed the thresholds (new facilities)</t>
  </si>
  <si>
    <t>Submit SDSs to SERC, LEPC, and fire department (new facilities)</t>
  </si>
  <si>
    <t>Alternative Reporting</t>
  </si>
  <si>
    <t xml:space="preserve">Submit list of hazardous chemicals grouped by hazard category (new facilities) </t>
  </si>
  <si>
    <t>Submit revised SDSs (new and currently covered facilities)</t>
  </si>
  <si>
    <t>Submit new SDSs (new and currently covered facilities)</t>
  </si>
  <si>
    <t>Additional Reporting</t>
  </si>
  <si>
    <t>Submit SDS upon request (new and currently covered facilities)</t>
  </si>
  <si>
    <t>INVENTORY REPORTING</t>
  </si>
  <si>
    <t xml:space="preserve">Basic Reporting </t>
  </si>
  <si>
    <t>Develop and submit Tier II (new and currently covered facilities</t>
  </si>
  <si>
    <t>Manufacturers</t>
  </si>
  <si>
    <t xml:space="preserve">Small </t>
  </si>
  <si>
    <t>Medium</t>
  </si>
  <si>
    <t>Large</t>
  </si>
  <si>
    <t>Non-manufacturers</t>
  </si>
  <si>
    <t>Small</t>
  </si>
  <si>
    <t xml:space="preserve">Exhibit 2 - State/local government - unit costs and burdens per gov't - </t>
  </si>
  <si>
    <t>Management Hrs</t>
  </si>
  <si>
    <t>Technical Hrs</t>
  </si>
  <si>
    <t>Clerical Hrs</t>
  </si>
  <si>
    <t xml:space="preserve">INFORMATION REQUESTS </t>
  </si>
  <si>
    <t>File and maintain annual inventory forms and data</t>
  </si>
  <si>
    <t>Input data and maintain database of 312 data</t>
  </si>
  <si>
    <t>Provide SDSs upon written request</t>
  </si>
  <si>
    <t>Provide Tier II information upon written request</t>
  </si>
  <si>
    <t>Total</t>
  </si>
  <si>
    <t>Exhibit 3 - State and Local Gov't Annual Burden and Cost</t>
  </si>
  <si>
    <t>Number of Respondents</t>
  </si>
  <si>
    <t>Total Annual Hours</t>
  </si>
  <si>
    <t>Annual Cost</t>
  </si>
  <si>
    <t>O&amp;M</t>
  </si>
  <si>
    <t>INFORMATION REQUESTS</t>
  </si>
  <si>
    <t>File &amp; maintain annual inventory forms and data</t>
  </si>
  <si>
    <t xml:space="preserve">LEPCs provide SDS on written request </t>
  </si>
  <si>
    <t>SERCs and LEPCs provide Tier II information upon written request</t>
  </si>
  <si>
    <t xml:space="preserve">Total </t>
  </si>
  <si>
    <t>Exhibit 4 - Facilities</t>
  </si>
  <si>
    <t>Total Burden Hours</t>
  </si>
  <si>
    <t>O&amp;M costs</t>
  </si>
  <si>
    <t>Subtotal</t>
  </si>
  <si>
    <t>GRAND TOTAL  (Facilities)</t>
  </si>
  <si>
    <t>Exhibit 5 - Facilities</t>
  </si>
  <si>
    <t>Labor Cost</t>
  </si>
  <si>
    <t>Capital Cost</t>
  </si>
  <si>
    <t>O&amp;M Cost</t>
  </si>
  <si>
    <t>Total Cost</t>
  </si>
  <si>
    <t>Annual</t>
  </si>
  <si>
    <t>Three-Year</t>
  </si>
  <si>
    <t>States accepting paper Tier 2 forms</t>
  </si>
  <si>
    <t>IA, KS, MN, NB, NH</t>
  </si>
  <si>
    <t>NY, OH, OK, SD,VT</t>
  </si>
  <si>
    <t>IA</t>
  </si>
  <si>
    <t>Exhibit 6-- LEPCs and SERCs</t>
  </si>
  <si>
    <t>Exhibit 7 - Public Burden</t>
  </si>
  <si>
    <t>Hours</t>
  </si>
  <si>
    <t>Facilities</t>
  </si>
  <si>
    <t xml:space="preserve">                                                   </t>
  </si>
  <si>
    <t>2021 ICR has a significant miscalculation.</t>
  </si>
  <si>
    <t>2021 ICR value</t>
  </si>
  <si>
    <t>2021 correct #</t>
  </si>
  <si>
    <t>Unit deviation</t>
  </si>
  <si>
    <t>2021 ICR sum</t>
  </si>
  <si>
    <t>Large Facility</t>
  </si>
  <si>
    <t>Grand Total</t>
  </si>
  <si>
    <t>2nd FR says 6,963,271</t>
  </si>
  <si>
    <t>2nd FR notice says $1,715,094</t>
  </si>
  <si>
    <t>Table 1.1.9. Implicit Price Deflators for Gross Domestic Product</t>
  </si>
  <si>
    <t>[Index numbers, 2017=100]</t>
  </si>
  <si>
    <t>Bureau of Economic Analysis</t>
  </si>
  <si>
    <t>Line</t>
  </si>
  <si>
    <t/>
  </si>
  <si>
    <t>2021</t>
  </si>
  <si>
    <t>2022</t>
  </si>
  <si>
    <t>2023</t>
  </si>
  <si>
    <t>2024</t>
  </si>
  <si>
    <t>2025</t>
  </si>
  <si>
    <t>1</t>
  </si>
  <si>
    <t xml:space="preserve">        Gross domestic product</t>
  </si>
  <si>
    <t>2</t>
  </si>
  <si>
    <t>Personal consumption expenditures</t>
  </si>
  <si>
    <t>3</t>
  </si>
  <si>
    <t xml:space="preserve">    Goods</t>
  </si>
  <si>
    <t>4</t>
  </si>
  <si>
    <t xml:space="preserve">        Durable goods</t>
  </si>
  <si>
    <t>5</t>
  </si>
  <si>
    <t xml:space="preserve">        Nondurable goods</t>
  </si>
  <si>
    <t>6</t>
  </si>
  <si>
    <t xml:space="preserve">    Services</t>
  </si>
  <si>
    <t>7</t>
  </si>
  <si>
    <t>Gross private domestic investment</t>
  </si>
  <si>
    <t>8</t>
  </si>
  <si>
    <t xml:space="preserve">    Fixed investment</t>
  </si>
  <si>
    <t>9</t>
  </si>
  <si>
    <t xml:space="preserve">        Nonresidential</t>
  </si>
  <si>
    <t>10</t>
  </si>
  <si>
    <t xml:space="preserve">            Structures</t>
  </si>
  <si>
    <t>11</t>
  </si>
  <si>
    <t xml:space="preserve">            Equipment</t>
  </si>
  <si>
    <t>12</t>
  </si>
  <si>
    <t xml:space="preserve">            Intellectual property products</t>
  </si>
  <si>
    <t>13</t>
  </si>
  <si>
    <t xml:space="preserve">        Residential</t>
  </si>
  <si>
    <t>14</t>
  </si>
  <si>
    <t xml:space="preserve">    Change in private inventories</t>
  </si>
  <si>
    <t>---</t>
  </si>
  <si>
    <t>15</t>
  </si>
  <si>
    <t>Net exports of goods and services</t>
  </si>
  <si>
    <t>16</t>
  </si>
  <si>
    <t xml:space="preserve">    Exports</t>
  </si>
  <si>
    <t>17</t>
  </si>
  <si>
    <t xml:space="preserve">        Goods</t>
  </si>
  <si>
    <t>18</t>
  </si>
  <si>
    <t xml:space="preserve">        Services</t>
  </si>
  <si>
    <t>19</t>
  </si>
  <si>
    <t xml:space="preserve">    Imports</t>
  </si>
  <si>
    <t>20</t>
  </si>
  <si>
    <t>21</t>
  </si>
  <si>
    <t>22</t>
  </si>
  <si>
    <t>Government consumption expenditures and gross investment</t>
  </si>
  <si>
    <t>23</t>
  </si>
  <si>
    <t xml:space="preserve">    Federal</t>
  </si>
  <si>
    <t>24</t>
  </si>
  <si>
    <t xml:space="preserve">        National defense</t>
  </si>
  <si>
    <t>25</t>
  </si>
  <si>
    <t xml:space="preserve">        Nondefense</t>
  </si>
  <si>
    <t>26</t>
  </si>
  <si>
    <t xml:space="preserve">    State and local</t>
  </si>
  <si>
    <t>Addendum:</t>
  </si>
  <si>
    <t>27</t>
  </si>
  <si>
    <t xml:space="preserve">    Gross national product</t>
  </si>
  <si>
    <t>Table 4. Private industry workers by occupational and industry group</t>
  </si>
  <si>
    <t>Series</t>
  </si>
  <si>
    <t>Total compensation(1)</t>
  </si>
  <si>
    <t>Wages and salaries</t>
  </si>
  <si>
    <t>Total benefits</t>
  </si>
  <si>
    <t>Paid leave</t>
  </si>
  <si>
    <t>Supplemental pay</t>
  </si>
  <si>
    <t>Insurance</t>
  </si>
  <si>
    <t>Retirement and savings</t>
  </si>
  <si>
    <t>Legally required benefits</t>
  </si>
  <si>
    <t>Cost ($)</t>
  </si>
  <si>
    <t>Percent</t>
  </si>
  <si>
    <t>Private industry workers</t>
  </si>
  <si>
    <t>Occupational group</t>
  </si>
  <si>
    <t>Management, professional, and related occupations</t>
  </si>
  <si>
    <t>Management, business, and financial occupations</t>
  </si>
  <si>
    <t>Professional and related occupations</t>
  </si>
  <si>
    <t>Sales and office occupations</t>
  </si>
  <si>
    <t>Sales and related occupations</t>
  </si>
  <si>
    <t>Office and administrative support occupations</t>
  </si>
  <si>
    <t>Service occupations</t>
  </si>
  <si>
    <t>Natural resources, construction, and maintenance occupations</t>
  </si>
  <si>
    <t>Construction, extraction, farming, fishing, and forestry occupations</t>
  </si>
  <si>
    <t>Installation, maintenance, and repair occupations</t>
  </si>
  <si>
    <t>Production, transportation, and material moving occupations</t>
  </si>
  <si>
    <t>Production occupations</t>
  </si>
  <si>
    <t>Transportation and material moving occupations</t>
  </si>
  <si>
    <t>Industry and occupational group</t>
  </si>
  <si>
    <t>Goods-producing industries(2)</t>
  </si>
  <si>
    <t>Construction, extraction, farming, fishing and forestry occupations</t>
  </si>
  <si>
    <t>Construction industry</t>
  </si>
  <si>
    <t>Manufacturing industry</t>
  </si>
  <si>
    <t>Aircraft manufacturing industry</t>
  </si>
  <si>
    <t>Service-providing industries(3)</t>
  </si>
  <si>
    <t>Trade, transportation, and utilities industry</t>
  </si>
  <si>
    <t>Wholesale trade industry</t>
  </si>
  <si>
    <t>Retail trade industry</t>
  </si>
  <si>
    <t>Transportation and warehousing industry</t>
  </si>
  <si>
    <t>Utilities industry</t>
  </si>
  <si>
    <t>Information industry</t>
  </si>
  <si>
    <t>Financial activities industry</t>
  </si>
  <si>
    <t>Finance and insurance industry</t>
  </si>
  <si>
    <t>Credit intermediation and related activities industry</t>
  </si>
  <si>
    <t>Insurance carriers and related activities industry</t>
  </si>
  <si>
    <t>Real estate and rental and leasing industry</t>
  </si>
  <si>
    <t>Professional and business services industry</t>
  </si>
  <si>
    <t>Professional, scientific, and technical services industry</t>
  </si>
  <si>
    <t>Administrative and waste services industry</t>
  </si>
  <si>
    <t>Education and health services industry</t>
  </si>
  <si>
    <t>Educational services industry</t>
  </si>
  <si>
    <t>Junior colleges, colleges, universities and professional schools industry</t>
  </si>
  <si>
    <t>Health care and social assistance industry</t>
  </si>
  <si>
    <t>Registered nurse occupations</t>
  </si>
  <si>
    <t>Hospitals industry</t>
  </si>
  <si>
    <t>Nursing and residential care facilities industry</t>
  </si>
  <si>
    <t>Nursing care facilities industry</t>
  </si>
  <si>
    <t>Leisure and hospitality industry</t>
  </si>
  <si>
    <t>Accommodation and food services industry</t>
  </si>
  <si>
    <t>Other services industry</t>
  </si>
  <si>
    <t>Footnotes</t>
  </si>
  <si>
    <t>SALARY TABLE 2025-DCB</t>
  </si>
  <si>
    <t>Salary Table 2025-DCB</t>
  </si>
  <si>
    <t>Incorporating the 1.7% General Schedule Increase and a Locality Payment of 33.94%</t>
  </si>
  <si>
    <t>For the Locality Pay Area of Washington-Baltimore-Arlington, DC-MD-VA-WV-PA</t>
  </si>
  <si>
    <t>Total Increase: 2.22%</t>
  </si>
  <si>
    <t>Effective January 2025</t>
  </si>
  <si>
    <t>Hourly Basic (B) Rates by Grade and Step</t>
  </si>
  <si>
    <t>Hourly Title 5 Overtime (O) Rates for FLSA-Exempt Employees by Grade and Step</t>
  </si>
  <si>
    <t>Grade</t>
  </si>
  <si>
    <t>B/O</t>
  </si>
  <si>
    <t>Step 1</t>
  </si>
  <si>
    <t>Step 2</t>
  </si>
  <si>
    <t>Step 3</t>
  </si>
  <si>
    <t>Step 4</t>
  </si>
  <si>
    <t>Step 5</t>
  </si>
  <si>
    <t>Step 6</t>
  </si>
  <si>
    <t>Step 7</t>
  </si>
  <si>
    <t>Step 8</t>
  </si>
  <si>
    <t>Step 9</t>
  </si>
  <si>
    <t>Step 10</t>
  </si>
  <si>
    <t>B</t>
  </si>
  <si>
    <t>O</t>
  </si>
  <si>
    <t>TOTAL</t>
  </si>
  <si>
    <t>Manufacturing Facilities</t>
  </si>
  <si>
    <t>Non-Manufacturing Facilities</t>
  </si>
  <si>
    <t>Manager</t>
  </si>
  <si>
    <t>Facilities, Weighted Average</t>
  </si>
  <si>
    <t>Labor Rate per Hour</t>
  </si>
  <si>
    <t>Entity Type</t>
  </si>
  <si>
    <t>Entity and Labor Category</t>
  </si>
  <si>
    <t>Management Hours</t>
  </si>
  <si>
    <t>Technical Hours</t>
  </si>
  <si>
    <t>Clerical Hours</t>
  </si>
  <si>
    <t>Rule Familiarization</t>
  </si>
  <si>
    <t>For release 10:00 a.m. (ET) Friday, March 20, 2026</t>
  </si>
  <si>
    <t>(4)4.74</t>
  </si>
  <si>
    <t>(4)0.34</t>
  </si>
  <si>
    <t>(4)1.2</t>
  </si>
  <si>
    <t>(4)0.26</t>
  </si>
  <si>
    <r>
      <t>(1) </t>
    </r>
    <r>
      <rPr>
        <sz val="8"/>
        <color rgb="FF333333"/>
        <rFont val="Tahoma"/>
        <family val="2"/>
      </rPr>
      <t>Includes costs for wages and salaries and benefits.</t>
    </r>
  </si>
  <si>
    <r>
      <t>(2) </t>
    </r>
    <r>
      <rPr>
        <sz val="8"/>
        <color rgb="FF333333"/>
        <rFont val="Tahoma"/>
        <family val="2"/>
      </rPr>
      <t>Includes mining, construction, and manufacturing. The agriculture, forestry, farming, and hunting sector is excluded.</t>
    </r>
  </si>
  <si>
    <r>
      <t>(3) </t>
    </r>
    <r>
      <rPr>
        <sz val="8"/>
        <color rgb="FF333333"/>
        <rFont val="Tahoma"/>
        <family val="2"/>
      </rPr>
      <t>Includes utilities; wholesale trade; retail trade; transportation and warehousing; information; finance and insurance; real estate and rental and leasing; professional, scientific, and technical services; management of companies and enterprises; administrative and waste services; educational services; health care and social assistance; arts, entertainment and recreation; accommodation and food services; and other services, except public administration.</t>
    </r>
  </si>
  <si>
    <r>
      <t>(4) </t>
    </r>
    <r>
      <rPr>
        <sz val="8"/>
        <color rgb="FF333333"/>
        <rFont val="Tahoma"/>
        <family val="2"/>
      </rPr>
      <t>The relative standard error for this estimate is equal to or greater than 30 percent.</t>
    </r>
  </si>
  <si>
    <r>
      <t xml:space="preserve">Table 4. Employer Costs for Employee Compensation for private industry workers by occupational and industry group </t>
    </r>
    <r>
      <rPr>
        <sz val="10"/>
        <color rgb="FF660000"/>
        <rFont val="Tahoma"/>
        <family val="2"/>
      </rPr>
      <t>[December 2025]</t>
    </r>
  </si>
  <si>
    <t>Table 4. Private industry workers by occupational and industry group - 2025 Q04 Results, https://www.bls.gov/news.release/ecec.t04.htm. Labor rates are based on the Manufacturing industry, with management labor based on Management, business, and financial occupations, technical labor based on Professional and related occupations, and clerical labor based on Office and administrative support occupations</t>
  </si>
  <si>
    <t>Updated Dec 2020 (1352.16 labor rates)</t>
  </si>
  <si>
    <t>Updated Dec 2025 (1352.19 labor rates)</t>
  </si>
  <si>
    <t>State and local government workers</t>
  </si>
  <si>
    <t>Management, professional, and related</t>
  </si>
  <si>
    <t>Professional and related</t>
  </si>
  <si>
    <t>Teachers(2)</t>
  </si>
  <si>
    <t>Primary, secondary, and special education school teachers</t>
  </si>
  <si>
    <t>Sales and office</t>
  </si>
  <si>
    <t>Office and administrative support</t>
  </si>
  <si>
    <t>Service</t>
  </si>
  <si>
    <t>Industry group</t>
  </si>
  <si>
    <t>Education and health services</t>
  </si>
  <si>
    <t>Educational services</t>
  </si>
  <si>
    <t>Elementary and secondary schools</t>
  </si>
  <si>
    <t>Junior colleges, colleges, and universities</t>
  </si>
  <si>
    <t>Health care and social assistance</t>
  </si>
  <si>
    <t>Hospitals</t>
  </si>
  <si>
    <t>Public administration</t>
  </si>
  <si>
    <r>
      <t>(2) </t>
    </r>
    <r>
      <rPr>
        <sz val="8"/>
        <color rgb="FF333333"/>
        <rFont val="Tahoma"/>
        <family val="2"/>
      </rPr>
      <t>Includes postsecondary teachers; primary, secondary, and special education teachers; and other teachers and instructors.</t>
    </r>
  </si>
  <si>
    <t>Table 3. State and local government workers by occupational and industry group</t>
  </si>
  <si>
    <r>
      <t>Table 3. Employer Costs for Employee Compensation for state and local government workers by occupational and industry group</t>
    </r>
    <r>
      <rPr>
        <sz val="11"/>
        <color rgb="FF660000"/>
        <rFont val="Calibri"/>
        <family val="2"/>
        <scheme val="minor"/>
      </rPr>
      <t>[Dec. 2025]</t>
    </r>
  </si>
  <si>
    <t>BLS ECEC: Table 4. Private industry workers by occupational and industry group, December 2025; and, Table 3. Employer Costs for Employee Compensation for state and local government workers by occupational and industry group, December 2025. https://www.bls.gov/news.release/ecec.t04.htm; https://www.bls.gov/news.release/ecec.t03.htm</t>
  </si>
  <si>
    <t>Private labor rates are based on the Manufacturing industry, with management labor based on Management, business, and financial occupations, technical labor based on Professional and related occupations, and clerical labor based on Office and administrative support occupations. SERC and LEPC labor rates are based on state and local government workers</t>
  </si>
  <si>
    <t xml:space="preserve">Read and understand regulations </t>
  </si>
  <si>
    <t xml:space="preserve">Submit SDSs to SERCs, LEPCs, and fire dept. </t>
  </si>
  <si>
    <t>Submit list of hazardous chemicals grouped by hazard category (new facilities)</t>
  </si>
  <si>
    <t xml:space="preserve">Submit revised SDSs </t>
  </si>
  <si>
    <t xml:space="preserve">Submit new SDSs </t>
  </si>
  <si>
    <t xml:space="preserve">Submit SDS upon request </t>
  </si>
  <si>
    <t>Estimated Unit Burden and Labor Costs -- Facilities</t>
  </si>
  <si>
    <t>Difference between .19 &amp; .16 (corrected)</t>
  </si>
  <si>
    <t>implied number of chemicals per facility @1.3 hrs per chemical</t>
  </si>
  <si>
    <t>Labor</t>
  </si>
  <si>
    <t>Change in hours</t>
  </si>
  <si>
    <t>Last Revised on: March 13, 2026 - Next Release Date April 9, 2026</t>
  </si>
  <si>
    <t>Estimated Unit Burden and Labor Costs - State and Local Governments</t>
  </si>
  <si>
    <t>Exhibit 3: Sections 311 and 312 Reporting and Recordkeeping Requirements</t>
  </si>
  <si>
    <t>Estimated Annual Burden and Labor Costs - State and Local Governments</t>
  </si>
  <si>
    <t>Estimated Annual Burden and Labor Costs - Facilities</t>
  </si>
  <si>
    <t xml:space="preserve"> </t>
  </si>
  <si>
    <t>Annual Total</t>
  </si>
  <si>
    <t>Three-Year Total</t>
  </si>
  <si>
    <t xml:space="preserve">Information Collection Activity </t>
  </si>
  <si>
    <t>Activity Detail</t>
  </si>
  <si>
    <t>SDS Basic Reporting</t>
  </si>
  <si>
    <t>Submit SDSs to SERCs, LEPCs, and fire dept. (new facilities only)</t>
  </si>
  <si>
    <t>SDS Alternative Reporting</t>
  </si>
  <si>
    <t>Submit revised SDSs (new and current facilities)</t>
  </si>
  <si>
    <t>Submit SDS upon request (new and current facilities)</t>
  </si>
  <si>
    <t>SDS Additional Reporting</t>
  </si>
  <si>
    <t>Inventory Reporting</t>
  </si>
  <si>
    <t>Manufacturers, Small</t>
  </si>
  <si>
    <t>Manufacturers, Medium</t>
  </si>
  <si>
    <t>Manufacturers, Large</t>
  </si>
  <si>
    <t>Non-Manufacturers, Small</t>
  </si>
  <si>
    <t>Non-Manufacturers, Medium</t>
  </si>
  <si>
    <t>Non-Manufacturers, Large</t>
  </si>
  <si>
    <t>Information Requests</t>
  </si>
  <si>
    <t>Total Annual Cost</t>
  </si>
  <si>
    <t>Total  Burden Hours</t>
  </si>
  <si>
    <t>Time Period</t>
  </si>
  <si>
    <t>Exhibit 1: Respondent Labor Rates </t>
  </si>
  <si>
    <t>Exhibit 2: Section 311 and 312 Reporting and Recordkeeping Requirements</t>
  </si>
  <si>
    <t>Exhibit 4: Sections 311 and 312 Reporting and Recordkeeping Requirements</t>
  </si>
  <si>
    <t>Exhibit 5: Section 311 and 312 Reporting and Recordkeeping Requirement</t>
  </si>
  <si>
    <t>Exhibit 6: Summary of Total Burden and Cost Estimates - Facilities</t>
  </si>
  <si>
    <t>Exhibit 7: Summary of Total Burden and Cost Estimates – SERCs and LEPCs</t>
  </si>
  <si>
    <t>Exhibit 8: Total Public Burden</t>
  </si>
  <si>
    <t>Exhibit 2 - Unit costs and burdens - updated from 2018, using updated wage rates</t>
  </si>
  <si>
    <t xml:space="preserve">Exhibit 3 - State/local government - unit costs and burdens per gov't - </t>
  </si>
  <si>
    <t>Exhibit 4 - State and Local Gov't Annual Burden and Cost</t>
  </si>
  <si>
    <t>Exhibit 6 - Facilities</t>
  </si>
  <si>
    <t>Exhibit 7-- LEPCs and SERCs</t>
  </si>
  <si>
    <t>Exhibit 8 - Public Burden</t>
  </si>
  <si>
    <t>1352.19 Renewal</t>
  </si>
  <si>
    <t>Change in labor cost</t>
  </si>
  <si>
    <t>Change in O&amp;M cost</t>
  </si>
  <si>
    <t>SERCs/LEPCs</t>
  </si>
  <si>
    <t>FACILITIES</t>
  </si>
  <si>
    <t>Agency Non-Labor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</si>
</sst>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0.0"/>
    <numFmt numFmtId="167" formatCode="[$$-409]#,##0_);\([$$-409]#,##0\)"/>
    <numFmt numFmtId="168" formatCode="_(&quot;$&quot;* #,##0_);_(&quot;$&quot;* \(#,##0\);_(&quot;$&quot;* &quot;-&quot;??_);_(@_)"/>
    <numFmt numFmtId="169" formatCode="0.000"/>
  </numFmts>
  <fonts count="62" x14ac:knownFonts="1">
    <font>
      <sz val="11"/>
      <color theme="1"/>
      <name val="Calibri"/>
      <family val="2"/>
      <scheme val="minor"/>
    </font>
    <font>
      <b/>
      <sz val="11"/>
      <color theme="1"/>
      <name val="Calibri"/>
      <family val="2"/>
      <scheme val="minor"/>
    </font>
    <font>
      <sz val="10"/>
      <color theme="1"/>
      <name val="Times New Roman"/>
      <family val="1"/>
    </font>
    <font>
      <sz val="11"/>
      <color theme="1"/>
      <name val="Times New Roman"/>
      <family val="1"/>
    </font>
    <font>
      <sz val="9"/>
      <color rgb="FF000000"/>
      <name val="Arial"/>
      <family val="2"/>
    </font>
    <font>
      <b/>
      <sz val="9"/>
      <color rgb="FF000000"/>
      <name val="Arial"/>
      <family val="2"/>
    </font>
    <font>
      <sz val="9"/>
      <color theme="1"/>
      <name val="Arial"/>
      <family val="2"/>
    </font>
    <font>
      <b/>
      <sz val="9"/>
      <color theme="1"/>
      <name val="Arial"/>
      <family val="2"/>
    </font>
    <font>
      <sz val="9"/>
      <color rgb="FF000000"/>
      <name val="Times New Roman"/>
      <family val="1"/>
    </font>
    <font>
      <sz val="9"/>
      <color theme="1"/>
      <name val="Times New Roman"/>
      <family val="1"/>
    </font>
    <font>
      <b/>
      <sz val="10"/>
      <color rgb="FF000000"/>
      <name val="Times New Roman"/>
      <family val="1"/>
    </font>
    <font>
      <sz val="10"/>
      <color rgb="FF000000"/>
      <name val="Times New Roman"/>
      <family val="1"/>
    </font>
    <font>
      <b/>
      <i/>
      <sz val="10"/>
      <color rgb="FF000000"/>
      <name val="Times New Roman"/>
      <family val="1"/>
    </font>
    <font>
      <sz val="9"/>
      <name val="Times New Roman"/>
      <family val="1"/>
    </font>
    <font>
      <sz val="10"/>
      <name val="Times New Roman"/>
      <family val="1"/>
    </font>
    <font>
      <b/>
      <sz val="9"/>
      <color theme="1"/>
      <name val="Times New Roman"/>
      <family val="1"/>
    </font>
    <font>
      <sz val="10"/>
      <color theme="9" tint="-0.499984740745262"/>
      <name val="Times New Roman"/>
      <family val="1"/>
    </font>
    <font>
      <b/>
      <sz val="10"/>
      <color theme="1"/>
      <name val="Times New Roman"/>
      <family val="1"/>
    </font>
    <font>
      <sz val="12"/>
      <color rgb="FF000000"/>
      <name val="Times New Roman"/>
      <family val="1"/>
    </font>
    <font>
      <b/>
      <sz val="12"/>
      <color rgb="FF000000"/>
      <name val="Times New Roman"/>
      <family val="1"/>
    </font>
    <font>
      <sz val="12"/>
      <name val="Times New Roman"/>
      <family val="1"/>
    </font>
    <font>
      <sz val="12"/>
      <color theme="1"/>
      <name val="Times New Roman"/>
      <family val="1"/>
    </font>
    <font>
      <sz val="11"/>
      <color theme="1"/>
      <name val="Calibri"/>
      <family val="2"/>
      <scheme val="minor"/>
    </font>
    <font>
      <b/>
      <sz val="11"/>
      <color theme="1"/>
      <name val="Times New Roman"/>
      <family val="1"/>
    </font>
    <font>
      <sz val="11"/>
      <color rgb="FF006100"/>
      <name val="Calibri"/>
      <family val="2"/>
      <scheme val="minor"/>
    </font>
    <font>
      <sz val="11"/>
      <color rgb="FF9C0006"/>
      <name val="Calibri"/>
      <family val="2"/>
      <scheme val="minor"/>
    </font>
    <font>
      <sz val="9"/>
      <color rgb="FFC00000"/>
      <name val="Arial"/>
      <family val="2"/>
    </font>
    <font>
      <sz val="11"/>
      <color rgb="FFC00000"/>
      <name val="Calibri"/>
      <family val="2"/>
      <scheme val="minor"/>
    </font>
    <font>
      <b/>
      <sz val="9"/>
      <color rgb="FFC00000"/>
      <name val="Arial"/>
      <family val="2"/>
    </font>
    <font>
      <sz val="11"/>
      <color rgb="FFFF0000"/>
      <name val="Calibri"/>
      <family val="2"/>
      <scheme val="minor"/>
    </font>
    <font>
      <u/>
      <sz val="11"/>
      <color theme="10"/>
      <name val="Calibri"/>
      <family val="2"/>
      <scheme val="minor"/>
    </font>
    <font>
      <sz val="11"/>
      <color indexed="8"/>
      <name val="Calibri"/>
      <family val="2"/>
      <scheme val="minor"/>
    </font>
    <font>
      <b/>
      <sz val="14"/>
      <name val="Calibri"/>
      <family val="2"/>
    </font>
    <font>
      <sz val="13"/>
      <name val="Calibri"/>
      <family val="2"/>
    </font>
    <font>
      <b/>
      <sz val="11"/>
      <color indexed="9"/>
      <name val="Calibri"/>
      <family val="2"/>
    </font>
    <font>
      <b/>
      <sz val="11"/>
      <name val="Calibri"/>
      <family val="2"/>
    </font>
    <font>
      <sz val="10"/>
      <color rgb="FF183061"/>
      <name val="Tahoma"/>
      <family val="2"/>
    </font>
    <font>
      <sz val="10"/>
      <color theme="1"/>
      <name val="Tahoma"/>
      <family val="2"/>
    </font>
    <font>
      <sz val="10"/>
      <color rgb="FF000000"/>
      <name val="Tahoma"/>
      <family val="2"/>
    </font>
    <font>
      <b/>
      <sz val="10"/>
      <color rgb="FF660000"/>
      <name val="Tahoma"/>
      <family val="2"/>
    </font>
    <font>
      <sz val="10"/>
      <color rgb="FF660000"/>
      <name val="Tahoma"/>
      <family val="2"/>
    </font>
    <font>
      <i/>
      <u/>
      <sz val="10"/>
      <color theme="10"/>
      <name val="Calibri"/>
      <family val="2"/>
      <scheme val="minor"/>
    </font>
    <font>
      <b/>
      <sz val="10"/>
      <color rgb="FF1B1B1B"/>
      <name val="Segoe UI"/>
      <family val="2"/>
    </font>
    <font>
      <sz val="10"/>
      <color rgb="FF1B1B1B"/>
      <name val="Segoe UI"/>
      <family val="2"/>
    </font>
    <font>
      <b/>
      <sz val="9.9"/>
      <color rgb="FF1B1B1B"/>
      <name val="Arial"/>
      <family val="2"/>
    </font>
    <font>
      <sz val="9.9"/>
      <color rgb="FF1B1B1B"/>
      <name val="Arial"/>
      <family val="2"/>
    </font>
    <font>
      <sz val="10"/>
      <color rgb="FF1B1B1B"/>
      <name val="Arial"/>
      <family val="2"/>
    </font>
    <font>
      <sz val="10"/>
      <color theme="1"/>
      <name val="Calibri"/>
      <family val="2"/>
      <scheme val="minor"/>
    </font>
    <font>
      <b/>
      <sz val="8"/>
      <color rgb="FF000000"/>
      <name val="Tahoma"/>
      <family val="2"/>
    </font>
    <font>
      <b/>
      <sz val="8"/>
      <color rgb="FF333333"/>
      <name val="Tahoma"/>
      <family val="2"/>
    </font>
    <font>
      <sz val="8"/>
      <color rgb="FF000000"/>
      <name val="Tahoma"/>
      <family val="2"/>
    </font>
    <font>
      <sz val="8"/>
      <color rgb="FF333333"/>
      <name val="Tahoma"/>
      <family val="2"/>
    </font>
    <font>
      <u/>
      <sz val="8"/>
      <color rgb="FF003399"/>
      <name val="Tahoma"/>
      <family val="2"/>
    </font>
    <font>
      <sz val="15"/>
      <color rgb="FF183061"/>
      <name val="Tahoma"/>
      <family val="2"/>
    </font>
    <font>
      <sz val="8"/>
      <color rgb="FF000000"/>
      <name val="Arial"/>
      <family val="2"/>
    </font>
    <font>
      <b/>
      <sz val="9"/>
      <color rgb="FF660000"/>
      <name val="Calibri"/>
      <family val="2"/>
      <scheme val="minor"/>
    </font>
    <font>
      <sz val="11"/>
      <color rgb="FF66000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sz val="9"/>
      <name val="Arial"/>
      <family val="2"/>
    </font>
    <font>
      <sz val="10"/>
      <color rgb="FF9C0006"/>
      <name val="Times New Roman"/>
      <family val="1"/>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darkGray">
        <bgColor indexed="12"/>
      </patternFill>
    </fill>
    <fill>
      <patternFill patternType="solid">
        <fgColor rgb="FFFFFFFF"/>
        <bgColor indexed="64"/>
      </patternFill>
    </fill>
    <fill>
      <patternFill patternType="solid">
        <fgColor rgb="FFDDDDDD"/>
        <bgColor indexed="64"/>
      </patternFill>
    </fill>
    <fill>
      <patternFill patternType="solid">
        <fgColor rgb="FFEEEEEE"/>
        <bgColor indexed="64"/>
      </patternFill>
    </fill>
    <fill>
      <patternFill patternType="solid">
        <fgColor rgb="FFDBEAFF"/>
        <bgColor indexed="64"/>
      </patternFill>
    </fill>
    <fill>
      <patternFill patternType="solid">
        <fgColor rgb="FFEEF4FF"/>
        <bgColor indexed="64"/>
      </patternFill>
    </fill>
    <fill>
      <patternFill patternType="solid">
        <fgColor rgb="FFE6E6E6"/>
        <bgColor indexed="64"/>
      </patternFill>
    </fill>
    <fill>
      <patternFill patternType="solid">
        <fgColor rgb="FF00FF00"/>
        <bgColor indexed="64"/>
      </patternFill>
    </fill>
    <fill>
      <patternFill patternType="solid">
        <fgColor rgb="FFD9D9D9"/>
        <bgColor indexed="64"/>
      </patternFill>
    </fill>
  </fills>
  <borders count="6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rgb="FFAAAAAA"/>
      </bottom>
      <diagonal/>
    </border>
    <border>
      <left style="medium">
        <color rgb="FFAAAAAA"/>
      </left>
      <right style="medium">
        <color rgb="FFAAAAAA"/>
      </right>
      <top style="medium">
        <color rgb="FFAAAAAA"/>
      </top>
      <bottom/>
      <diagonal/>
    </border>
    <border>
      <left style="medium">
        <color rgb="FFAAAAAA"/>
      </left>
      <right/>
      <top style="medium">
        <color rgb="FFAAAAAA"/>
      </top>
      <bottom style="medium">
        <color rgb="FFAAAAAA"/>
      </bottom>
      <diagonal/>
    </border>
    <border>
      <left/>
      <right style="medium">
        <color rgb="FFAAAAAA"/>
      </right>
      <top style="medium">
        <color rgb="FFAAAAAA"/>
      </top>
      <bottom style="medium">
        <color rgb="FFAAAAAA"/>
      </bottom>
      <diagonal/>
    </border>
    <border>
      <left style="medium">
        <color rgb="FFAAAAAA"/>
      </left>
      <right style="medium">
        <color rgb="FFAAAAAA"/>
      </right>
      <top/>
      <bottom style="medium">
        <color rgb="FFAAAAAA"/>
      </bottom>
      <diagonal/>
    </border>
    <border>
      <left style="medium">
        <color rgb="FFAAAAAA"/>
      </left>
      <right style="medium">
        <color rgb="FFAAAAAA"/>
      </right>
      <top style="medium">
        <color rgb="FFAAAAAA"/>
      </top>
      <bottom style="medium">
        <color rgb="FFAAAAAA"/>
      </bottom>
      <diagonal/>
    </border>
    <border>
      <left/>
      <right/>
      <top style="medium">
        <color rgb="FFAAAAAA"/>
      </top>
      <bottom style="medium">
        <color rgb="FFAAAAAA"/>
      </bottom>
      <diagonal/>
    </border>
    <border>
      <left style="medium">
        <color rgb="FFAAAAAA"/>
      </left>
      <right/>
      <top style="medium">
        <color rgb="FFAAAAAA"/>
      </top>
      <bottom/>
      <diagonal/>
    </border>
    <border>
      <left/>
      <right/>
      <top style="medium">
        <color rgb="FFAAAAAA"/>
      </top>
      <bottom/>
      <diagonal/>
    </border>
    <border>
      <left/>
      <right style="medium">
        <color rgb="FFAAAAAA"/>
      </right>
      <top style="medium">
        <color rgb="FFAAAAAA"/>
      </top>
      <bottom/>
      <diagonal/>
    </border>
    <border>
      <left style="medium">
        <color rgb="FFAAAAAA"/>
      </left>
      <right/>
      <top/>
      <bottom/>
      <diagonal/>
    </border>
    <border>
      <left/>
      <right style="medium">
        <color rgb="FFAAAAAA"/>
      </right>
      <top/>
      <bottom/>
      <diagonal/>
    </border>
    <border>
      <left style="medium">
        <color rgb="FFAAAAAA"/>
      </left>
      <right/>
      <top/>
      <bottom style="medium">
        <color rgb="FFAAAAAA"/>
      </bottom>
      <diagonal/>
    </border>
    <border>
      <left/>
      <right style="medium">
        <color rgb="FFAAAAAA"/>
      </right>
      <top/>
      <bottom style="medium">
        <color rgb="FFAAAAAA"/>
      </bottom>
      <diagonal/>
    </border>
    <border>
      <left style="medium">
        <color rgb="FF1B1B1B"/>
      </left>
      <right style="medium">
        <color rgb="FF1B1B1B"/>
      </right>
      <top style="medium">
        <color rgb="FF1B1B1B"/>
      </top>
      <bottom style="medium">
        <color rgb="FF1B1B1B"/>
      </bottom>
      <diagonal/>
    </border>
    <border>
      <left style="medium">
        <color rgb="FF1B1B1B"/>
      </left>
      <right style="medium">
        <color rgb="FF1B1B1B"/>
      </right>
      <top style="medium">
        <color rgb="FF1B1B1B"/>
      </top>
      <bottom/>
      <diagonal/>
    </border>
    <border>
      <left style="medium">
        <color rgb="FF1B1B1B"/>
      </left>
      <right style="medium">
        <color rgb="FF1B1B1B"/>
      </right>
      <top/>
      <bottom style="medium">
        <color rgb="FF1B1B1B"/>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6">
    <xf numFmtId="0" fontId="0" fillId="0" borderId="0"/>
    <xf numFmtId="44" fontId="22" fillId="0" borderId="0" applyFont="0" applyFill="0" applyBorder="0" applyAlignment="0" applyProtection="0"/>
    <xf numFmtId="0" fontId="24" fillId="2" borderId="0" applyNumberFormat="0" applyBorder="0" applyAlignment="0" applyProtection="0"/>
    <xf numFmtId="0" fontId="25" fillId="3" borderId="0" applyNumberFormat="0" applyBorder="0" applyAlignment="0" applyProtection="0"/>
    <xf numFmtId="0" fontId="30" fillId="0" borderId="0" applyNumberFormat="0" applyFill="0" applyBorder="0" applyAlignment="0" applyProtection="0"/>
    <xf numFmtId="0" fontId="31" fillId="0" borderId="0"/>
  </cellStyleXfs>
  <cellXfs count="472">
    <xf numFmtId="0" fontId="0" fillId="0" borderId="0" xfId="0"/>
    <xf numFmtId="164" fontId="0" fillId="0" borderId="0" xfId="0" applyNumberFormat="1"/>
    <xf numFmtId="0" fontId="1" fillId="0" borderId="0" xfId="0" applyFont="1"/>
    <xf numFmtId="0" fontId="1" fillId="0" borderId="0" xfId="0" applyFont="1" applyAlignment="1">
      <alignment horizontal="right"/>
    </xf>
    <xf numFmtId="0" fontId="7" fillId="0" borderId="0" xfId="0" applyFont="1"/>
    <xf numFmtId="0" fontId="6" fillId="0" borderId="0" xfId="0" applyFont="1"/>
    <xf numFmtId="8" fontId="6" fillId="0" borderId="0" xfId="0" applyNumberFormat="1" applyFont="1"/>
    <xf numFmtId="0" fontId="4" fillId="0" borderId="0" xfId="0" applyFont="1" applyAlignment="1">
      <alignment horizontal="center" vertical="center"/>
    </xf>
    <xf numFmtId="0" fontId="5" fillId="0" borderId="0" xfId="0" applyFont="1" applyAlignment="1">
      <alignment vertical="center" wrapText="1"/>
    </xf>
    <xf numFmtId="0" fontId="6" fillId="0" borderId="5" xfId="0" applyFont="1" applyBorder="1"/>
    <xf numFmtId="0" fontId="3" fillId="0" borderId="0" xfId="0" applyFont="1"/>
    <xf numFmtId="0" fontId="10" fillId="0" borderId="1" xfId="0" applyFont="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8" fontId="11" fillId="0" borderId="4" xfId="0" applyNumberFormat="1" applyFont="1" applyBorder="1" applyAlignment="1">
      <alignment horizontal="right" vertical="center" wrapText="1"/>
    </xf>
    <xf numFmtId="164" fontId="2" fillId="0" borderId="1" xfId="0" applyNumberFormat="1" applyFont="1" applyBorder="1"/>
    <xf numFmtId="0" fontId="11" fillId="0" borderId="3" xfId="0" applyFont="1" applyBorder="1" applyAlignment="1">
      <alignment horizontal="center" vertical="center" wrapText="1"/>
    </xf>
    <xf numFmtId="0" fontId="12" fillId="0" borderId="3" xfId="0" applyFont="1" applyBorder="1" applyAlignment="1">
      <alignment horizontal="right" vertical="center" wrapText="1"/>
    </xf>
    <xf numFmtId="0" fontId="11" fillId="0" borderId="3" xfId="0" applyFont="1" applyBorder="1" applyAlignment="1">
      <alignment horizontal="righ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166" fontId="14" fillId="0" borderId="4" xfId="0" applyNumberFormat="1" applyFont="1" applyBorder="1" applyAlignment="1">
      <alignment horizontal="center" vertical="center" wrapText="1"/>
    </xf>
    <xf numFmtId="6" fontId="11" fillId="0" borderId="4" xfId="0" applyNumberFormat="1" applyFont="1" applyBorder="1" applyAlignment="1">
      <alignment horizontal="right" vertical="center" wrapText="1"/>
    </xf>
    <xf numFmtId="0" fontId="10" fillId="0" borderId="1" xfId="0" applyFont="1" applyBorder="1" applyAlignment="1">
      <alignment horizontal="right" vertical="center"/>
    </xf>
    <xf numFmtId="0" fontId="2" fillId="0" borderId="1" xfId="0" applyFont="1" applyBorder="1" applyAlignment="1">
      <alignment horizontal="center"/>
    </xf>
    <xf numFmtId="166" fontId="2" fillId="0" borderId="1" xfId="0" applyNumberFormat="1" applyFont="1" applyBorder="1" applyAlignment="1">
      <alignment horizontal="center"/>
    </xf>
    <xf numFmtId="6" fontId="2" fillId="0" borderId="1" xfId="0" applyNumberFormat="1" applyFont="1" applyBorder="1"/>
    <xf numFmtId="0" fontId="11" fillId="0" borderId="3" xfId="0" applyFont="1" applyBorder="1" applyAlignment="1">
      <alignment vertical="top" wrapText="1"/>
    </xf>
    <xf numFmtId="3" fontId="11" fillId="0" borderId="4" xfId="0" applyNumberFormat="1" applyFont="1" applyBorder="1" applyAlignment="1">
      <alignment horizontal="center" vertical="center"/>
    </xf>
    <xf numFmtId="0" fontId="11" fillId="0" borderId="4" xfId="0" applyFont="1" applyBorder="1" applyAlignment="1">
      <alignment horizontal="center" vertical="center"/>
    </xf>
    <xf numFmtId="3" fontId="14" fillId="0" borderId="4" xfId="0" applyNumberFormat="1" applyFont="1" applyBorder="1" applyAlignment="1">
      <alignment horizontal="center" vertical="center"/>
    </xf>
    <xf numFmtId="0" fontId="11" fillId="0" borderId="3" xfId="0" applyFont="1" applyBorder="1" applyAlignment="1">
      <alignment horizontal="left" vertical="top"/>
    </xf>
    <xf numFmtId="3" fontId="11" fillId="0" borderId="4" xfId="0" applyNumberFormat="1" applyFont="1" applyBorder="1" applyAlignment="1">
      <alignment horizontal="center" vertical="center" wrapText="1"/>
    </xf>
    <xf numFmtId="0" fontId="11" fillId="0" borderId="1" xfId="0" applyFont="1" applyBorder="1" applyAlignment="1">
      <alignment vertical="center" wrapText="1"/>
    </xf>
    <xf numFmtId="3" fontId="11" fillId="0" borderId="2" xfId="0" applyNumberFormat="1" applyFont="1" applyBorder="1" applyAlignment="1">
      <alignment horizontal="center" vertical="center" wrapText="1"/>
    </xf>
    <xf numFmtId="0" fontId="11" fillId="0" borderId="6" xfId="0" applyFont="1" applyBorder="1" applyAlignment="1">
      <alignment horizontal="center" vertical="center"/>
    </xf>
    <xf numFmtId="3" fontId="14" fillId="0" borderId="6" xfId="0" applyNumberFormat="1" applyFont="1" applyBorder="1" applyAlignment="1">
      <alignment horizontal="center" vertical="center"/>
    </xf>
    <xf numFmtId="3" fontId="14" fillId="0" borderId="1" xfId="0" applyNumberFormat="1" applyFont="1" applyBorder="1" applyAlignment="1">
      <alignment horizontal="center" vertical="center"/>
    </xf>
    <xf numFmtId="3" fontId="14" fillId="0" borderId="2" xfId="0" applyNumberFormat="1" applyFont="1" applyBorder="1" applyAlignment="1">
      <alignment horizontal="center"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3" fontId="10" fillId="0" borderId="1" xfId="0" applyNumberFormat="1" applyFont="1" applyBorder="1" applyAlignment="1">
      <alignment horizontal="center" vertical="center"/>
    </xf>
    <xf numFmtId="3" fontId="10" fillId="0" borderId="4" xfId="0" applyNumberFormat="1" applyFont="1" applyBorder="1" applyAlignment="1">
      <alignment horizontal="center" vertical="center" wrapText="1"/>
    </xf>
    <xf numFmtId="6" fontId="10"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4" fontId="11" fillId="0" borderId="4" xfId="0" applyNumberFormat="1" applyFont="1" applyBorder="1" applyAlignment="1">
      <alignment horizontal="center" vertical="center" wrapText="1"/>
    </xf>
    <xf numFmtId="6" fontId="16" fillId="0" borderId="4" xfId="0" applyNumberFormat="1" applyFont="1" applyBorder="1" applyAlignment="1">
      <alignment horizontal="right" vertical="center" wrapText="1"/>
    </xf>
    <xf numFmtId="0" fontId="16" fillId="0" borderId="4" xfId="0" applyFont="1" applyBorder="1" applyAlignment="1">
      <alignment horizontal="right" vertical="center" wrapText="1"/>
    </xf>
    <xf numFmtId="3" fontId="10" fillId="0" borderId="4" xfId="0" applyNumberFormat="1" applyFont="1" applyBorder="1" applyAlignment="1">
      <alignment horizontal="right" vertical="center" wrapText="1"/>
    </xf>
    <xf numFmtId="6" fontId="17" fillId="0" borderId="4" xfId="0" applyNumberFormat="1" applyFont="1" applyBorder="1" applyAlignment="1">
      <alignment horizontal="right" vertical="center" wrapText="1"/>
    </xf>
    <xf numFmtId="0" fontId="10"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3" fontId="13" fillId="0" borderId="1" xfId="0" applyNumberFormat="1" applyFont="1" applyBorder="1" applyAlignment="1">
      <alignment horizontal="center" vertical="center" wrapText="1"/>
    </xf>
    <xf numFmtId="6" fontId="13" fillId="0" borderId="1" xfId="0" applyNumberFormat="1" applyFont="1" applyBorder="1" applyAlignment="1">
      <alignment horizontal="center" vertical="center" wrapText="1"/>
    </xf>
    <xf numFmtId="165" fontId="13" fillId="0" borderId="1" xfId="0" applyNumberFormat="1" applyFont="1" applyBorder="1"/>
    <xf numFmtId="0" fontId="15" fillId="0" borderId="8" xfId="0" applyFont="1" applyBorder="1" applyAlignment="1">
      <alignment horizontal="center" vertical="center" wrapText="1"/>
    </xf>
    <xf numFmtId="0" fontId="9" fillId="0" borderId="8" xfId="0" applyFont="1" applyBorder="1" applyAlignment="1">
      <alignment horizontal="left" vertical="center" wrapText="1"/>
    </xf>
    <xf numFmtId="3" fontId="9" fillId="0" borderId="8" xfId="0" applyNumberFormat="1" applyFont="1" applyBorder="1" applyAlignment="1">
      <alignment horizontal="center" vertical="center" wrapText="1"/>
    </xf>
    <xf numFmtId="6" fontId="8" fillId="0" borderId="8" xfId="0" applyNumberFormat="1" applyFont="1" applyBorder="1" applyAlignment="1">
      <alignment horizontal="center" vertical="center"/>
    </xf>
    <xf numFmtId="6" fontId="9" fillId="0" borderId="8" xfId="0" applyNumberFormat="1" applyFont="1" applyBorder="1" applyAlignment="1">
      <alignment horizontal="center" vertical="center" wrapText="1"/>
    </xf>
    <xf numFmtId="165" fontId="9" fillId="0" borderId="8" xfId="0" applyNumberFormat="1" applyFont="1" applyBorder="1" applyAlignment="1">
      <alignment horizontal="right" vertical="center" wrapText="1"/>
    </xf>
    <xf numFmtId="0" fontId="18" fillId="0" borderId="1" xfId="0" applyFont="1" applyBorder="1" applyAlignment="1">
      <alignment vertical="center" wrapText="1"/>
    </xf>
    <xf numFmtId="0" fontId="19" fillId="0" borderId="1" xfId="0" applyFont="1" applyBorder="1" applyAlignment="1">
      <alignment horizontal="center" vertical="center" wrapText="1"/>
    </xf>
    <xf numFmtId="3" fontId="20" fillId="0" borderId="1" xfId="0" applyNumberFormat="1" applyFont="1" applyBorder="1" applyAlignment="1">
      <alignment vertical="center" wrapText="1"/>
    </xf>
    <xf numFmtId="6" fontId="20" fillId="0" borderId="1" xfId="0" applyNumberFormat="1" applyFont="1" applyBorder="1" applyAlignment="1">
      <alignment vertical="center" wrapText="1"/>
    </xf>
    <xf numFmtId="6" fontId="18" fillId="0" borderId="1" xfId="0" applyNumberFormat="1" applyFont="1" applyBorder="1" applyAlignment="1">
      <alignment vertical="center" wrapText="1"/>
    </xf>
    <xf numFmtId="0" fontId="18" fillId="0" borderId="9" xfId="0" applyFont="1" applyBorder="1" applyAlignment="1">
      <alignment vertical="center" wrapText="1"/>
    </xf>
    <xf numFmtId="3" fontId="18" fillId="0" borderId="1" xfId="0" applyNumberFormat="1" applyFont="1" applyBorder="1" applyAlignment="1">
      <alignment vertical="center" wrapText="1"/>
    </xf>
    <xf numFmtId="0" fontId="19" fillId="0" borderId="1" xfId="0" applyFont="1" applyBorder="1" applyAlignment="1">
      <alignment vertical="center" wrapText="1"/>
    </xf>
    <xf numFmtId="3" fontId="19" fillId="0" borderId="1" xfId="0" applyNumberFormat="1" applyFont="1" applyBorder="1" applyAlignment="1">
      <alignment vertical="center" wrapText="1"/>
    </xf>
    <xf numFmtId="165" fontId="19" fillId="0" borderId="1" xfId="0" applyNumberFormat="1" applyFont="1" applyBorder="1" applyAlignment="1">
      <alignment vertical="center" wrapText="1"/>
    </xf>
    <xf numFmtId="3" fontId="21" fillId="0" borderId="1" xfId="0" applyNumberFormat="1" applyFont="1" applyBorder="1" applyAlignment="1">
      <alignment horizontal="right" vertical="center" wrapText="1"/>
    </xf>
    <xf numFmtId="165" fontId="21" fillId="0" borderId="1" xfId="0" applyNumberFormat="1" applyFont="1" applyBorder="1" applyAlignment="1">
      <alignment horizontal="right" vertical="center" wrapText="1"/>
    </xf>
    <xf numFmtId="3" fontId="16" fillId="0" borderId="4" xfId="0" applyNumberFormat="1" applyFont="1" applyBorder="1" applyAlignment="1">
      <alignment horizontal="center" vertical="center" wrapText="1"/>
    </xf>
    <xf numFmtId="0" fontId="16" fillId="0" borderId="4" xfId="0" applyFont="1" applyBorder="1" applyAlignment="1">
      <alignment vertical="center" wrapText="1"/>
    </xf>
    <xf numFmtId="3" fontId="16" fillId="0" borderId="4" xfId="0" applyNumberFormat="1" applyFont="1" applyBorder="1" applyAlignment="1">
      <alignment vertical="center" wrapText="1"/>
    </xf>
    <xf numFmtId="0" fontId="10" fillId="0" borderId="10" xfId="0" applyFont="1" applyBorder="1" applyAlignment="1">
      <alignment horizontal="center" vertical="center" wrapText="1"/>
    </xf>
    <xf numFmtId="167" fontId="0" fillId="0" borderId="0" xfId="0" applyNumberFormat="1"/>
    <xf numFmtId="6" fontId="10" fillId="0" borderId="12" xfId="0" applyNumberFormat="1" applyFont="1" applyBorder="1" applyAlignment="1">
      <alignment horizontal="center" vertical="center"/>
    </xf>
    <xf numFmtId="6" fontId="10" fillId="0" borderId="12" xfId="0" applyNumberFormat="1" applyFont="1" applyBorder="1" applyAlignment="1">
      <alignment horizontal="center" vertical="center" wrapText="1"/>
    </xf>
    <xf numFmtId="0" fontId="23" fillId="0" borderId="11" xfId="0" applyFont="1" applyBorder="1" applyAlignment="1">
      <alignment vertical="center" wrapText="1"/>
    </xf>
    <xf numFmtId="168" fontId="3" fillId="0" borderId="11" xfId="1" applyNumberFormat="1" applyFont="1" applyBorder="1" applyAlignment="1">
      <alignment vertical="center" wrapText="1"/>
    </xf>
    <xf numFmtId="168" fontId="3" fillId="0" borderId="11" xfId="1" applyNumberFormat="1" applyFont="1" applyBorder="1" applyAlignment="1">
      <alignment vertical="center"/>
    </xf>
    <xf numFmtId="6" fontId="10" fillId="0" borderId="11" xfId="0" applyNumberFormat="1" applyFont="1" applyBorder="1" applyAlignment="1">
      <alignment horizontal="center" vertical="center"/>
    </xf>
    <xf numFmtId="0" fontId="10" fillId="0" borderId="7" xfId="0" applyFont="1" applyBorder="1" applyAlignment="1">
      <alignment horizontal="center" vertical="center" wrapText="1"/>
    </xf>
    <xf numFmtId="0" fontId="10" fillId="4" borderId="3" xfId="0" applyFont="1" applyFill="1" applyBorder="1" applyAlignment="1">
      <alignment vertical="center" wrapText="1"/>
    </xf>
    <xf numFmtId="0" fontId="11" fillId="4" borderId="3" xfId="0" applyFont="1" applyFill="1" applyBorder="1" applyAlignment="1">
      <alignment vertical="center" wrapText="1"/>
    </xf>
    <xf numFmtId="0" fontId="11" fillId="4" borderId="4" xfId="0" applyFont="1" applyFill="1" applyBorder="1" applyAlignment="1">
      <alignment horizontal="center" vertical="center" wrapText="1"/>
    </xf>
    <xf numFmtId="8" fontId="11" fillId="4" borderId="4" xfId="0" applyNumberFormat="1" applyFont="1" applyFill="1" applyBorder="1" applyAlignment="1">
      <alignment horizontal="right" vertical="center" wrapText="1"/>
    </xf>
    <xf numFmtId="0" fontId="26" fillId="0" borderId="0" xfId="0" applyFont="1"/>
    <xf numFmtId="0" fontId="12" fillId="4" borderId="3" xfId="0" applyFont="1" applyFill="1" applyBorder="1" applyAlignment="1">
      <alignment horizontal="right" vertical="center" wrapText="1"/>
    </xf>
    <xf numFmtId="0" fontId="11" fillId="4" borderId="3" xfId="0" applyFont="1" applyFill="1" applyBorder="1" applyAlignment="1">
      <alignment horizontal="right" vertical="center" wrapText="1"/>
    </xf>
    <xf numFmtId="8" fontId="6" fillId="4" borderId="0" xfId="0" applyNumberFormat="1" applyFont="1" applyFill="1"/>
    <xf numFmtId="8" fontId="0" fillId="0" borderId="0" xfId="0" applyNumberFormat="1"/>
    <xf numFmtId="0" fontId="27" fillId="0" borderId="0" xfId="0" applyFont="1"/>
    <xf numFmtId="8" fontId="27" fillId="0" borderId="0" xfId="0" applyNumberFormat="1" applyFont="1"/>
    <xf numFmtId="3" fontId="11" fillId="4" borderId="4" xfId="0" applyNumberFormat="1" applyFont="1" applyFill="1" applyBorder="1" applyAlignment="1">
      <alignment horizontal="center" vertical="center" wrapText="1"/>
    </xf>
    <xf numFmtId="6" fontId="11" fillId="4" borderId="4" xfId="0" applyNumberFormat="1" applyFont="1" applyFill="1" applyBorder="1" applyAlignment="1">
      <alignment horizontal="right" vertical="center" wrapText="1"/>
    </xf>
    <xf numFmtId="8" fontId="25" fillId="3" borderId="4" xfId="3" applyNumberFormat="1" applyBorder="1" applyAlignment="1">
      <alignment horizontal="right" vertical="center" wrapText="1"/>
    </xf>
    <xf numFmtId="8" fontId="25" fillId="3" borderId="0" xfId="3" applyNumberFormat="1"/>
    <xf numFmtId="6" fontId="25" fillId="3" borderId="4" xfId="3" applyNumberFormat="1" applyBorder="1" applyAlignment="1">
      <alignment horizontal="right" vertical="center" wrapText="1"/>
    </xf>
    <xf numFmtId="0" fontId="10" fillId="4" borderId="3" xfId="0" applyFont="1" applyFill="1" applyBorder="1" applyAlignment="1">
      <alignment horizontal="right" vertical="center" wrapText="1"/>
    </xf>
    <xf numFmtId="0" fontId="10" fillId="4" borderId="3" xfId="0" applyFont="1" applyFill="1" applyBorder="1" applyAlignment="1">
      <alignment horizontal="center" vertical="center" wrapText="1"/>
    </xf>
    <xf numFmtId="6" fontId="17" fillId="4" borderId="4" xfId="0" applyNumberFormat="1" applyFont="1" applyFill="1" applyBorder="1" applyAlignment="1">
      <alignment horizontal="right" vertical="center" wrapText="1"/>
    </xf>
    <xf numFmtId="167" fontId="0" fillId="5" borderId="0" xfId="0" applyNumberFormat="1" applyFill="1"/>
    <xf numFmtId="0" fontId="0" fillId="5" borderId="0" xfId="0" applyFill="1"/>
    <xf numFmtId="6" fontId="17" fillId="5" borderId="4" xfId="0" applyNumberFormat="1" applyFont="1" applyFill="1" applyBorder="1" applyAlignment="1">
      <alignment horizontal="right" vertical="center" wrapText="1"/>
    </xf>
    <xf numFmtId="6" fontId="10" fillId="5" borderId="4" xfId="0" applyNumberFormat="1" applyFont="1" applyFill="1" applyBorder="1" applyAlignment="1">
      <alignment horizontal="right" vertical="center" wrapText="1"/>
    </xf>
    <xf numFmtId="2" fontId="11" fillId="0" borderId="4" xfId="0" applyNumberFormat="1" applyFont="1" applyBorder="1" applyAlignment="1">
      <alignment horizontal="center" vertical="center" wrapText="1"/>
    </xf>
    <xf numFmtId="6" fontId="17" fillId="6" borderId="4" xfId="0" applyNumberFormat="1" applyFont="1" applyFill="1" applyBorder="1" applyAlignment="1">
      <alignment horizontal="right" vertical="center" wrapText="1"/>
    </xf>
    <xf numFmtId="44" fontId="6" fillId="0" borderId="0" xfId="1" applyFont="1"/>
    <xf numFmtId="3" fontId="25" fillId="3" borderId="1" xfId="3" applyNumberFormat="1" applyBorder="1" applyAlignment="1">
      <alignment horizontal="center" vertical="center" wrapText="1"/>
    </xf>
    <xf numFmtId="3" fontId="27" fillId="0" borderId="0" xfId="0" applyNumberFormat="1" applyFont="1"/>
    <xf numFmtId="0" fontId="6" fillId="0" borderId="0" xfId="0" applyFont="1" applyAlignment="1">
      <alignment horizontal="right"/>
    </xf>
    <xf numFmtId="0" fontId="7" fillId="0" borderId="0" xfId="0" applyFont="1" applyAlignment="1">
      <alignment horizontal="right"/>
    </xf>
    <xf numFmtId="0" fontId="1" fillId="7" borderId="1" xfId="0" applyFont="1" applyFill="1" applyBorder="1"/>
    <xf numFmtId="8" fontId="0" fillId="0" borderId="13" xfId="0" applyNumberFormat="1" applyBorder="1"/>
    <xf numFmtId="8" fontId="0" fillId="0" borderId="14" xfId="0" applyNumberFormat="1" applyBorder="1"/>
    <xf numFmtId="8" fontId="0" fillId="0" borderId="3" xfId="0" applyNumberFormat="1" applyBorder="1"/>
    <xf numFmtId="6" fontId="24" fillId="2" borderId="1" xfId="2" applyNumberFormat="1" applyBorder="1" applyAlignment="1">
      <alignment horizontal="center" vertical="center" wrapText="1"/>
    </xf>
    <xf numFmtId="165" fontId="0" fillId="0" borderId="0" xfId="0" applyNumberFormat="1"/>
    <xf numFmtId="0" fontId="0" fillId="0" borderId="0" xfId="0" applyAlignment="1">
      <alignment horizontal="right"/>
    </xf>
    <xf numFmtId="6" fontId="0" fillId="0" borderId="0" xfId="0" applyNumberFormat="1"/>
    <xf numFmtId="6" fontId="1" fillId="0" borderId="0" xfId="0" applyNumberFormat="1" applyFont="1"/>
    <xf numFmtId="44" fontId="29" fillId="0" borderId="0" xfId="1" applyFont="1"/>
    <xf numFmtId="0" fontId="36" fillId="0" borderId="0" xfId="0" applyFont="1" applyAlignment="1">
      <alignment horizontal="left" vertical="center"/>
    </xf>
    <xf numFmtId="0" fontId="37" fillId="0" borderId="0" xfId="0" applyFont="1"/>
    <xf numFmtId="0" fontId="38" fillId="0" borderId="0" xfId="0" applyFont="1" applyAlignment="1">
      <alignment horizontal="left" vertical="center" wrapText="1"/>
    </xf>
    <xf numFmtId="0" fontId="41" fillId="0" borderId="0" xfId="4" applyFont="1"/>
    <xf numFmtId="0" fontId="42" fillId="0" borderId="0" xfId="0" applyFont="1" applyAlignment="1">
      <alignment vertical="center"/>
    </xf>
    <xf numFmtId="0" fontId="43" fillId="0" borderId="0" xfId="0" applyFont="1" applyAlignment="1">
      <alignment vertical="center"/>
    </xf>
    <xf numFmtId="0" fontId="44" fillId="14" borderId="29" xfId="0" applyFont="1" applyFill="1" applyBorder="1" applyAlignment="1">
      <alignment horizontal="center" vertical="center"/>
    </xf>
    <xf numFmtId="0" fontId="45" fillId="9" borderId="29" xfId="0" applyFont="1" applyFill="1" applyBorder="1" applyAlignment="1">
      <alignment horizontal="center" vertical="center"/>
    </xf>
    <xf numFmtId="0" fontId="46" fillId="9" borderId="29" xfId="0" applyFont="1" applyFill="1" applyBorder="1" applyAlignment="1">
      <alignment vertical="center"/>
    </xf>
    <xf numFmtId="0" fontId="28" fillId="0" borderId="0" xfId="0" applyFont="1"/>
    <xf numFmtId="0" fontId="0" fillId="0" borderId="14" xfId="0" applyBorder="1"/>
    <xf numFmtId="0" fontId="2" fillId="0" borderId="0" xfId="0" applyFont="1"/>
    <xf numFmtId="6" fontId="0" fillId="0" borderId="14" xfId="0" applyNumberFormat="1" applyBorder="1"/>
    <xf numFmtId="6" fontId="16" fillId="0" borderId="42" xfId="0" applyNumberFormat="1" applyFont="1" applyBorder="1" applyAlignment="1">
      <alignment horizontal="right" vertical="center" wrapText="1"/>
    </xf>
    <xf numFmtId="6" fontId="16" fillId="0" borderId="44" xfId="0" applyNumberFormat="1" applyFont="1" applyBorder="1" applyAlignment="1">
      <alignment horizontal="right" vertical="center" wrapText="1"/>
    </xf>
    <xf numFmtId="6" fontId="11" fillId="0" borderId="43" xfId="0" applyNumberFormat="1" applyFont="1" applyBorder="1" applyAlignment="1">
      <alignment horizontal="right" vertical="center" wrapText="1"/>
    </xf>
    <xf numFmtId="6" fontId="11" fillId="0" borderId="42" xfId="0" applyNumberFormat="1" applyFont="1" applyBorder="1" applyAlignment="1">
      <alignment horizontal="right" vertical="center" wrapText="1"/>
    </xf>
    <xf numFmtId="0" fontId="1" fillId="0" borderId="11" xfId="0" applyFont="1" applyBorder="1"/>
    <xf numFmtId="0" fontId="17" fillId="0" borderId="0" xfId="0" applyFont="1"/>
    <xf numFmtId="6" fontId="11" fillId="0" borderId="44" xfId="0" applyNumberFormat="1" applyFont="1" applyBorder="1" applyAlignment="1">
      <alignment horizontal="right" vertical="center" wrapText="1"/>
    </xf>
    <xf numFmtId="0" fontId="11" fillId="0" borderId="44" xfId="0" applyFont="1" applyBorder="1" applyAlignment="1">
      <alignment horizontal="center" vertical="center" wrapText="1"/>
    </xf>
    <xf numFmtId="6" fontId="0" fillId="0" borderId="11" xfId="0" applyNumberFormat="1" applyBorder="1"/>
    <xf numFmtId="0" fontId="31" fillId="0" borderId="0" xfId="5"/>
    <xf numFmtId="0" fontId="38" fillId="0" borderId="0" xfId="0" applyFont="1" applyAlignment="1">
      <alignment horizontal="left" vertical="center"/>
    </xf>
    <xf numFmtId="0" fontId="48" fillId="10" borderId="20" xfId="0" applyFont="1" applyFill="1" applyBorder="1" applyAlignment="1">
      <alignment horizontal="center" wrapText="1"/>
    </xf>
    <xf numFmtId="0" fontId="49" fillId="11" borderId="20" xfId="0" applyFont="1" applyFill="1" applyBorder="1" applyAlignment="1">
      <alignment horizontal="left" vertical="center" wrapText="1"/>
    </xf>
    <xf numFmtId="0" fontId="50" fillId="9" borderId="20" xfId="0" applyFont="1" applyFill="1" applyBorder="1" applyAlignment="1">
      <alignment horizontal="right" vertical="center" wrapText="1"/>
    </xf>
    <xf numFmtId="0" fontId="49" fillId="12" borderId="20" xfId="0" applyFont="1" applyFill="1" applyBorder="1" applyAlignment="1">
      <alignment horizontal="left" vertical="center" wrapText="1"/>
    </xf>
    <xf numFmtId="0" fontId="49" fillId="11" borderId="20" xfId="0" applyFont="1" applyFill="1" applyBorder="1" applyAlignment="1">
      <alignment horizontal="left" vertical="center" wrapText="1" indent="1"/>
    </xf>
    <xf numFmtId="0" fontId="49" fillId="12" borderId="20" xfId="0" applyFont="1" applyFill="1" applyBorder="1" applyAlignment="1">
      <alignment horizontal="left" vertical="center" wrapText="1" indent="2"/>
    </xf>
    <xf numFmtId="0" fontId="50" fillId="13" borderId="20" xfId="0" applyFont="1" applyFill="1" applyBorder="1" applyAlignment="1">
      <alignment horizontal="right" vertical="center" wrapText="1"/>
    </xf>
    <xf numFmtId="0" fontId="49" fillId="11" borderId="20" xfId="0" applyFont="1" applyFill="1" applyBorder="1" applyAlignment="1">
      <alignment horizontal="left" vertical="center" wrapText="1" indent="2"/>
    </xf>
    <xf numFmtId="0" fontId="49" fillId="12" borderId="20" xfId="0" applyFont="1" applyFill="1" applyBorder="1" applyAlignment="1">
      <alignment horizontal="left" vertical="center" wrapText="1" indent="1"/>
    </xf>
    <xf numFmtId="0" fontId="30" fillId="11" borderId="20" xfId="4" applyFill="1" applyBorder="1" applyAlignment="1">
      <alignment horizontal="left" vertical="center" wrapText="1" indent="1"/>
    </xf>
    <xf numFmtId="0" fontId="49" fillId="11" borderId="20" xfId="0" applyFont="1" applyFill="1" applyBorder="1" applyAlignment="1">
      <alignment horizontal="left" vertical="center" wrapText="1" indent="3"/>
    </xf>
    <xf numFmtId="0" fontId="49" fillId="12" borderId="20" xfId="0" applyFont="1" applyFill="1" applyBorder="1" applyAlignment="1">
      <alignment horizontal="left" vertical="center" wrapText="1" indent="3"/>
    </xf>
    <xf numFmtId="0" fontId="49" fillId="12" borderId="20" xfId="0" applyFont="1" applyFill="1" applyBorder="1" applyAlignment="1">
      <alignment horizontal="left" vertical="center" wrapText="1" indent="4"/>
    </xf>
    <xf numFmtId="0" fontId="49" fillId="11" borderId="20" xfId="0" applyFont="1" applyFill="1" applyBorder="1" applyAlignment="1">
      <alignment horizontal="left" vertical="center" wrapText="1" indent="4"/>
    </xf>
    <xf numFmtId="0" fontId="49" fillId="11" borderId="20" xfId="0" applyFont="1" applyFill="1" applyBorder="1" applyAlignment="1">
      <alignment horizontal="left" vertical="center" wrapText="1" indent="5"/>
    </xf>
    <xf numFmtId="0" fontId="49" fillId="12" borderId="20" xfId="0" applyFont="1" applyFill="1" applyBorder="1" applyAlignment="1">
      <alignment horizontal="left" vertical="center" wrapText="1" indent="5"/>
    </xf>
    <xf numFmtId="0" fontId="30" fillId="9" borderId="20" xfId="4" applyFill="1" applyBorder="1" applyAlignment="1">
      <alignment horizontal="right" vertical="center" wrapText="1"/>
    </xf>
    <xf numFmtId="0" fontId="49" fillId="15" borderId="20" xfId="0" applyFont="1" applyFill="1" applyBorder="1" applyAlignment="1">
      <alignment horizontal="left" vertical="center" wrapText="1" indent="2"/>
    </xf>
    <xf numFmtId="0" fontId="49" fillId="7" borderId="20" xfId="0" applyFont="1" applyFill="1" applyBorder="1" applyAlignment="1">
      <alignment horizontal="left" vertical="center" wrapText="1" indent="4"/>
    </xf>
    <xf numFmtId="0" fontId="0" fillId="0" borderId="54" xfId="0" applyBorder="1"/>
    <xf numFmtId="164" fontId="0" fillId="0" borderId="54" xfId="0" applyNumberFormat="1" applyBorder="1"/>
    <xf numFmtId="0" fontId="1" fillId="0" borderId="54" xfId="0" applyFont="1" applyBorder="1"/>
    <xf numFmtId="0" fontId="0" fillId="0" borderId="41" xfId="0" applyBorder="1"/>
    <xf numFmtId="164" fontId="0" fillId="0" borderId="41" xfId="0" applyNumberFormat="1" applyBorder="1"/>
    <xf numFmtId="0" fontId="3" fillId="0" borderId="41" xfId="0" applyFont="1" applyBorder="1"/>
    <xf numFmtId="0" fontId="1" fillId="0" borderId="53" xfId="0" applyFont="1" applyBorder="1"/>
    <xf numFmtId="0" fontId="1" fillId="0" borderId="53" xfId="0" applyFont="1" applyBorder="1" applyAlignment="1">
      <alignment horizontal="center" wrapText="1"/>
    </xf>
    <xf numFmtId="0" fontId="1" fillId="0" borderId="53" xfId="0" applyFont="1" applyBorder="1" applyAlignment="1">
      <alignment horizontal="right"/>
    </xf>
    <xf numFmtId="0" fontId="0" fillId="0" borderId="53" xfId="0" applyBorder="1"/>
    <xf numFmtId="0" fontId="1" fillId="0" borderId="53" xfId="0" applyFont="1" applyBorder="1" applyAlignment="1">
      <alignment wrapText="1"/>
    </xf>
    <xf numFmtId="0" fontId="48" fillId="10" borderId="20" xfId="0" applyFont="1" applyFill="1" applyBorder="1" applyAlignment="1">
      <alignment horizontal="center"/>
    </xf>
    <xf numFmtId="0" fontId="49" fillId="11" borderId="20" xfId="0" applyFont="1" applyFill="1" applyBorder="1" applyAlignment="1">
      <alignment horizontal="left" vertical="center"/>
    </xf>
    <xf numFmtId="0" fontId="50" fillId="9" borderId="20" xfId="0" applyFont="1" applyFill="1" applyBorder="1" applyAlignment="1">
      <alignment horizontal="right" vertical="center"/>
    </xf>
    <xf numFmtId="0" fontId="49" fillId="12" borderId="20" xfId="0" applyFont="1" applyFill="1" applyBorder="1" applyAlignment="1">
      <alignment horizontal="left" vertical="center"/>
    </xf>
    <xf numFmtId="0" fontId="50" fillId="13" borderId="20" xfId="0" applyFont="1" applyFill="1" applyBorder="1" applyAlignment="1">
      <alignment horizontal="right" vertical="center"/>
    </xf>
    <xf numFmtId="0" fontId="55"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30" fillId="11" borderId="20" xfId="4" applyFill="1" applyBorder="1" applyAlignment="1">
      <alignment horizontal="left" vertical="center" indent="2"/>
    </xf>
    <xf numFmtId="0" fontId="49" fillId="12" borderId="20" xfId="0" applyFont="1" applyFill="1" applyBorder="1" applyAlignment="1">
      <alignment horizontal="left" vertical="center" indent="2"/>
    </xf>
    <xf numFmtId="0" fontId="49" fillId="12" borderId="20" xfId="0" applyFont="1" applyFill="1" applyBorder="1" applyAlignment="1">
      <alignment horizontal="left" vertical="center" indent="3"/>
    </xf>
    <xf numFmtId="0" fontId="49" fillId="11" borderId="20" xfId="0" applyFont="1" applyFill="1" applyBorder="1" applyAlignment="1">
      <alignment horizontal="left" vertical="center" indent="1"/>
    </xf>
    <xf numFmtId="0" fontId="49" fillId="11" borderId="20" xfId="0" applyFont="1" applyFill="1" applyBorder="1" applyAlignment="1">
      <alignment horizontal="left" vertical="center" indent="2"/>
    </xf>
    <xf numFmtId="0" fontId="49" fillId="11" borderId="20" xfId="0" applyFont="1" applyFill="1" applyBorder="1" applyAlignment="1">
      <alignment horizontal="left" vertical="center" indent="3"/>
    </xf>
    <xf numFmtId="0" fontId="49" fillId="7" borderId="20" xfId="0" applyFont="1" applyFill="1" applyBorder="1" applyAlignment="1">
      <alignment horizontal="left" vertical="center"/>
    </xf>
    <xf numFmtId="0" fontId="49" fillId="7" borderId="20" xfId="0" applyFont="1" applyFill="1" applyBorder="1" applyAlignment="1">
      <alignment horizontal="left" vertical="center" indent="1"/>
    </xf>
    <xf numFmtId="0" fontId="49" fillId="15" borderId="20" xfId="0" applyFont="1" applyFill="1" applyBorder="1" applyAlignment="1">
      <alignment horizontal="left" vertical="center" wrapText="1" indent="1"/>
    </xf>
    <xf numFmtId="0" fontId="49" fillId="7" borderId="20" xfId="0" applyFont="1" applyFill="1" applyBorder="1" applyAlignment="1">
      <alignment horizontal="left" vertical="center" wrapText="1" indent="3"/>
    </xf>
    <xf numFmtId="0" fontId="49" fillId="0" borderId="20" xfId="0" applyFont="1" applyBorder="1" applyAlignment="1">
      <alignment horizontal="left" vertical="center" indent="1"/>
    </xf>
    <xf numFmtId="0" fontId="57" fillId="0" borderId="0" xfId="0" applyFont="1" applyAlignment="1">
      <alignment horizontal="left" vertical="center"/>
    </xf>
    <xf numFmtId="0" fontId="57" fillId="0" borderId="0" xfId="0" applyFont="1" applyAlignment="1">
      <alignment horizontal="left"/>
    </xf>
    <xf numFmtId="0" fontId="11" fillId="0" borderId="43" xfId="0" applyFont="1" applyBorder="1" applyAlignment="1">
      <alignment vertical="center" wrapText="1"/>
    </xf>
    <xf numFmtId="2" fontId="11" fillId="0" borderId="42" xfId="0" applyNumberFormat="1" applyFont="1" applyBorder="1" applyAlignment="1">
      <alignment horizontal="center" vertical="center" wrapText="1"/>
    </xf>
    <xf numFmtId="0" fontId="10" fillId="0" borderId="58" xfId="0" applyFont="1" applyBorder="1" applyAlignment="1">
      <alignment vertical="center" wrapText="1"/>
    </xf>
    <xf numFmtId="0" fontId="10" fillId="0" borderId="60" xfId="0" applyFont="1" applyBorder="1" applyAlignment="1">
      <alignment vertical="center" wrapText="1"/>
    </xf>
    <xf numFmtId="0" fontId="11" fillId="0" borderId="44" xfId="0" applyFont="1" applyBorder="1" applyAlignment="1">
      <alignment vertical="center" wrapText="1"/>
    </xf>
    <xf numFmtId="0" fontId="11" fillId="0" borderId="60" xfId="0" applyFont="1" applyBorder="1" applyAlignment="1">
      <alignment vertical="center" wrapText="1"/>
    </xf>
    <xf numFmtId="2" fontId="11" fillId="0" borderId="44" xfId="0" applyNumberFormat="1" applyFont="1" applyBorder="1" applyAlignment="1">
      <alignment horizontal="center" vertical="center" wrapText="1"/>
    </xf>
    <xf numFmtId="8" fontId="11" fillId="0" borderId="44" xfId="0" applyNumberFormat="1" applyFont="1" applyBorder="1" applyAlignment="1">
      <alignment horizontal="right" vertical="center" wrapText="1"/>
    </xf>
    <xf numFmtId="0" fontId="11" fillId="0" borderId="60" xfId="0" applyFont="1" applyBorder="1" applyAlignment="1">
      <alignment horizontal="center" vertical="center" wrapText="1"/>
    </xf>
    <xf numFmtId="2" fontId="11" fillId="0" borderId="44" xfId="0" applyNumberFormat="1" applyFont="1" applyBorder="1" applyAlignment="1">
      <alignment vertical="center" wrapText="1"/>
    </xf>
    <xf numFmtId="0" fontId="11" fillId="0" borderId="59" xfId="0" applyFont="1" applyBorder="1" applyAlignment="1">
      <alignment vertical="center" wrapText="1"/>
    </xf>
    <xf numFmtId="0" fontId="11" fillId="0" borderId="42" xfId="0" applyFont="1" applyBorder="1" applyAlignment="1">
      <alignment horizontal="center" vertical="center" wrapText="1"/>
    </xf>
    <xf numFmtId="8" fontId="11" fillId="0" borderId="42" xfId="0" applyNumberFormat="1" applyFont="1" applyBorder="1" applyAlignment="1">
      <alignment horizontal="right" vertical="center" wrapText="1"/>
    </xf>
    <xf numFmtId="0" fontId="11" fillId="0" borderId="42" xfId="0" applyFont="1" applyBorder="1" applyAlignment="1">
      <alignment vertical="center" wrapText="1"/>
    </xf>
    <xf numFmtId="2" fontId="11" fillId="0" borderId="43" xfId="0" applyNumberFormat="1" applyFont="1" applyBorder="1" applyAlignment="1">
      <alignment horizontal="center" vertical="center" wrapText="1"/>
    </xf>
    <xf numFmtId="0" fontId="11" fillId="0" borderId="58" xfId="0" applyFont="1" applyBorder="1" applyAlignment="1">
      <alignment horizontal="right" vertical="center" wrapText="1"/>
    </xf>
    <xf numFmtId="0" fontId="11" fillId="0" borderId="60" xfId="0" applyFont="1" applyBorder="1" applyAlignment="1">
      <alignment horizontal="right" vertical="center" wrapText="1"/>
    </xf>
    <xf numFmtId="0" fontId="11" fillId="0" borderId="59" xfId="0" applyFont="1" applyBorder="1" applyAlignment="1">
      <alignment horizontal="right" vertical="center" wrapText="1"/>
    </xf>
    <xf numFmtId="2" fontId="60" fillId="0" borderId="0" xfId="0" applyNumberFormat="1" applyFont="1"/>
    <xf numFmtId="2" fontId="6" fillId="0" borderId="0" xfId="0" applyNumberFormat="1" applyFont="1"/>
    <xf numFmtId="8" fontId="2" fillId="6" borderId="0" xfId="0" applyNumberFormat="1" applyFont="1" applyFill="1"/>
    <xf numFmtId="8" fontId="61" fillId="3" borderId="4" xfId="3" applyNumberFormat="1" applyFont="1" applyBorder="1" applyAlignment="1">
      <alignment horizontal="right" vertical="center" wrapText="1"/>
    </xf>
    <xf numFmtId="8" fontId="11" fillId="0" borderId="43" xfId="0" applyNumberFormat="1" applyFont="1" applyBorder="1" applyAlignment="1">
      <alignment horizontal="right" vertical="center" wrapText="1"/>
    </xf>
    <xf numFmtId="0" fontId="11" fillId="0" borderId="43" xfId="0" applyFont="1" applyBorder="1" applyAlignment="1">
      <alignment horizontal="center" vertical="center" wrapText="1"/>
    </xf>
    <xf numFmtId="166" fontId="14" fillId="0" borderId="44" xfId="0" applyNumberFormat="1" applyFont="1" applyBorder="1" applyAlignment="1">
      <alignment horizontal="center" vertical="center" wrapText="1"/>
    </xf>
    <xf numFmtId="0" fontId="10" fillId="0" borderId="59" xfId="0" applyFont="1" applyBorder="1" applyAlignment="1">
      <alignment horizontal="right" vertical="center"/>
    </xf>
    <xf numFmtId="0" fontId="2" fillId="0" borderId="59" xfId="0" applyFont="1" applyBorder="1" applyAlignment="1">
      <alignment horizontal="center"/>
    </xf>
    <xf numFmtId="166" fontId="2" fillId="0" borderId="59" xfId="0" applyNumberFormat="1" applyFont="1" applyBorder="1" applyAlignment="1">
      <alignment horizontal="center"/>
    </xf>
    <xf numFmtId="6" fontId="2" fillId="0" borderId="59" xfId="0" applyNumberFormat="1" applyFont="1" applyBorder="1"/>
    <xf numFmtId="0" fontId="11" fillId="0" borderId="61" xfId="0" applyFont="1" applyBorder="1" applyAlignment="1">
      <alignment vertical="top" wrapText="1"/>
    </xf>
    <xf numFmtId="3" fontId="11" fillId="0" borderId="51" xfId="0" applyNumberFormat="1" applyFont="1" applyBorder="1" applyAlignment="1">
      <alignment horizontal="center" vertical="center"/>
    </xf>
    <xf numFmtId="0" fontId="11" fillId="0" borderId="51" xfId="0" applyFont="1" applyBorder="1" applyAlignment="1">
      <alignment horizontal="center" vertical="center"/>
    </xf>
    <xf numFmtId="3" fontId="14" fillId="0" borderId="51" xfId="0" applyNumberFormat="1" applyFont="1" applyBorder="1" applyAlignment="1">
      <alignment horizontal="center" vertical="center"/>
    </xf>
    <xf numFmtId="6" fontId="10" fillId="0" borderId="46" xfId="0" applyNumberFormat="1" applyFont="1" applyBorder="1" applyAlignment="1">
      <alignment horizontal="center" vertical="center"/>
    </xf>
    <xf numFmtId="0" fontId="11" fillId="0" borderId="60" xfId="0" applyFont="1" applyBorder="1" applyAlignment="1">
      <alignment horizontal="left" vertical="top"/>
    </xf>
    <xf numFmtId="0" fontId="11" fillId="0" borderId="44" xfId="0" applyFont="1" applyBorder="1" applyAlignment="1">
      <alignment horizontal="center" vertical="center"/>
    </xf>
    <xf numFmtId="3" fontId="14" fillId="0" borderId="44" xfId="0" applyNumberFormat="1" applyFont="1" applyBorder="1" applyAlignment="1">
      <alignment horizontal="center" vertical="center"/>
    </xf>
    <xf numFmtId="6" fontId="10" fillId="0" borderId="47" xfId="0" applyNumberFormat="1" applyFont="1" applyBorder="1" applyAlignment="1">
      <alignment horizontal="center" vertical="center"/>
    </xf>
    <xf numFmtId="3" fontId="11" fillId="0" borderId="44" xfId="0" applyNumberFormat="1" applyFont="1" applyBorder="1" applyAlignment="1">
      <alignment horizontal="center" vertical="center" wrapText="1"/>
    </xf>
    <xf numFmtId="6" fontId="10" fillId="0" borderId="47" xfId="0" applyNumberFormat="1" applyFont="1" applyBorder="1" applyAlignment="1">
      <alignment horizontal="center" vertical="center" wrapText="1"/>
    </xf>
    <xf numFmtId="0" fontId="11" fillId="0" borderId="52" xfId="0" applyFont="1" applyBorder="1" applyAlignment="1">
      <alignment horizontal="center" vertical="center"/>
    </xf>
    <xf numFmtId="3" fontId="14" fillId="0" borderId="52" xfId="0" applyNumberFormat="1" applyFont="1" applyBorder="1" applyAlignment="1">
      <alignment horizontal="center" vertical="center"/>
    </xf>
    <xf numFmtId="3" fontId="14" fillId="0" borderId="60" xfId="0" applyNumberFormat="1" applyFont="1" applyBorder="1" applyAlignment="1">
      <alignment horizontal="center" vertical="center"/>
    </xf>
    <xf numFmtId="3" fontId="14" fillId="0" borderId="44" xfId="0" applyNumberFormat="1" applyFont="1" applyBorder="1" applyAlignment="1">
      <alignment horizontal="center" vertical="center" wrapText="1"/>
    </xf>
    <xf numFmtId="0" fontId="10" fillId="0" borderId="59" xfId="0" applyFont="1" applyBorder="1" applyAlignment="1">
      <alignment horizontal="right" vertical="center" wrapText="1"/>
    </xf>
    <xf numFmtId="3" fontId="10" fillId="0" borderId="42" xfId="0" applyNumberFormat="1" applyFont="1" applyBorder="1" applyAlignment="1">
      <alignment horizontal="center" vertical="center"/>
    </xf>
    <xf numFmtId="0" fontId="10" fillId="0" borderId="42" xfId="0" applyFont="1" applyBorder="1" applyAlignment="1">
      <alignment horizontal="center" vertical="center"/>
    </xf>
    <xf numFmtId="6" fontId="10" fillId="0" borderId="62" xfId="0" applyNumberFormat="1" applyFont="1" applyBorder="1" applyAlignment="1">
      <alignment horizontal="center" vertical="center"/>
    </xf>
    <xf numFmtId="168" fontId="3" fillId="0" borderId="60" xfId="1" applyNumberFormat="1" applyFont="1" applyBorder="1" applyAlignment="1">
      <alignment vertical="center"/>
    </xf>
    <xf numFmtId="0" fontId="23" fillId="0" borderId="1" xfId="0" applyFont="1" applyBorder="1" applyAlignment="1">
      <alignment vertical="center" wrapText="1"/>
    </xf>
    <xf numFmtId="168" fontId="3" fillId="0" borderId="61" xfId="1" applyNumberFormat="1" applyFont="1" applyBorder="1" applyAlignment="1">
      <alignment vertical="center"/>
    </xf>
    <xf numFmtId="168" fontId="3" fillId="0" borderId="1" xfId="1" applyNumberFormat="1" applyFont="1" applyBorder="1" applyAlignment="1">
      <alignment vertical="center" wrapText="1"/>
    </xf>
    <xf numFmtId="3" fontId="10" fillId="0" borderId="59" xfId="0" applyNumberFormat="1" applyFont="1" applyBorder="1" applyAlignment="1">
      <alignment horizontal="center" vertical="center"/>
    </xf>
    <xf numFmtId="8" fontId="0" fillId="0" borderId="14" xfId="0" applyNumberFormat="1" applyBorder="1" applyAlignment="1">
      <alignment horizontal="center"/>
    </xf>
    <xf numFmtId="0" fontId="0" fillId="0" borderId="13" xfId="0" applyBorder="1" applyAlignment="1">
      <alignment horizontal="center"/>
    </xf>
    <xf numFmtId="164" fontId="0" fillId="0" borderId="14" xfId="0" applyNumberFormat="1" applyBorder="1"/>
    <xf numFmtId="0" fontId="0" fillId="0" borderId="3" xfId="0" applyBorder="1"/>
    <xf numFmtId="0" fontId="0" fillId="7" borderId="0" xfId="0" applyFill="1"/>
    <xf numFmtId="0" fontId="11" fillId="0" borderId="58" xfId="0" applyFont="1" applyBorder="1" applyAlignment="1">
      <alignment vertical="center" wrapText="1"/>
    </xf>
    <xf numFmtId="3" fontId="11" fillId="0" borderId="43" xfId="0" applyNumberFormat="1" applyFont="1" applyBorder="1" applyAlignment="1">
      <alignment horizontal="center" vertical="center" wrapText="1"/>
    </xf>
    <xf numFmtId="4" fontId="11" fillId="0" borderId="42" xfId="0" applyNumberFormat="1" applyFont="1" applyBorder="1" applyAlignment="1">
      <alignment horizontal="center" vertical="center" wrapText="1"/>
    </xf>
    <xf numFmtId="4" fontId="11" fillId="0" borderId="43" xfId="0" applyNumberFormat="1" applyFont="1" applyBorder="1" applyAlignment="1">
      <alignment horizontal="center" vertical="center" wrapText="1"/>
    </xf>
    <xf numFmtId="3" fontId="16" fillId="0" borderId="44" xfId="0" applyNumberFormat="1" applyFont="1" applyBorder="1" applyAlignment="1">
      <alignment horizontal="center" vertical="center" wrapText="1"/>
    </xf>
    <xf numFmtId="3" fontId="16" fillId="0" borderId="42" xfId="0" applyNumberFormat="1" applyFont="1" applyBorder="1" applyAlignment="1">
      <alignment horizontal="center" vertical="center" wrapText="1"/>
    </xf>
    <xf numFmtId="0" fontId="16" fillId="0" borderId="43" xfId="0" applyFont="1" applyBorder="1" applyAlignment="1">
      <alignment vertical="center" wrapText="1"/>
    </xf>
    <xf numFmtId="3" fontId="16" fillId="0" borderId="43" xfId="0" applyNumberFormat="1" applyFont="1" applyBorder="1" applyAlignment="1">
      <alignment vertical="center" wrapText="1"/>
    </xf>
    <xf numFmtId="0" fontId="16" fillId="0" borderId="43" xfId="0" applyFont="1" applyBorder="1" applyAlignment="1">
      <alignment horizontal="right" vertical="center" wrapText="1"/>
    </xf>
    <xf numFmtId="3" fontId="11" fillId="0" borderId="42" xfId="0" applyNumberFormat="1" applyFont="1" applyBorder="1" applyAlignment="1">
      <alignment horizontal="center" vertical="center" wrapText="1"/>
    </xf>
    <xf numFmtId="3" fontId="10" fillId="0" borderId="42" xfId="0" applyNumberFormat="1" applyFont="1" applyBorder="1" applyAlignment="1">
      <alignment horizontal="right" vertical="center" wrapText="1"/>
    </xf>
    <xf numFmtId="0" fontId="12" fillId="0" borderId="58" xfId="0" applyFont="1" applyBorder="1" applyAlignment="1">
      <alignment horizontal="right" vertical="center" wrapText="1"/>
    </xf>
    <xf numFmtId="6" fontId="17" fillId="0" borderId="42" xfId="0" applyNumberFormat="1" applyFont="1" applyBorder="1" applyAlignment="1">
      <alignment horizontal="right" vertical="center" wrapText="1"/>
    </xf>
    <xf numFmtId="165" fontId="0" fillId="0" borderId="14" xfId="0" applyNumberFormat="1" applyBorder="1"/>
    <xf numFmtId="165" fontId="0" fillId="0" borderId="3" xfId="0" applyNumberFormat="1" applyBorder="1"/>
    <xf numFmtId="6" fontId="24" fillId="0" borderId="0" xfId="2" applyNumberFormat="1" applyFill="1"/>
    <xf numFmtId="0" fontId="17" fillId="0" borderId="1" xfId="0" applyFont="1" applyBorder="1" applyAlignment="1">
      <alignment horizontal="center" vertical="center" wrapText="1"/>
    </xf>
    <xf numFmtId="0" fontId="17" fillId="0" borderId="1" xfId="0" applyFont="1" applyBorder="1" applyAlignment="1">
      <alignment horizontal="center"/>
    </xf>
    <xf numFmtId="0" fontId="9" fillId="0" borderId="0" xfId="0" applyFont="1"/>
    <xf numFmtId="3" fontId="14" fillId="0" borderId="58" xfId="0" applyNumberFormat="1" applyFont="1" applyBorder="1" applyAlignment="1">
      <alignment vertical="center" wrapText="1"/>
    </xf>
    <xf numFmtId="6" fontId="14" fillId="0" borderId="58" xfId="0" applyNumberFormat="1" applyFont="1" applyBorder="1" applyAlignment="1">
      <alignment vertical="center" wrapText="1"/>
    </xf>
    <xf numFmtId="6" fontId="11" fillId="0" borderId="58" xfId="0" applyNumberFormat="1" applyFont="1" applyBorder="1" applyAlignment="1">
      <alignment vertical="center" wrapText="1"/>
    </xf>
    <xf numFmtId="0" fontId="11" fillId="0" borderId="36" xfId="0" applyFont="1" applyBorder="1" applyAlignment="1">
      <alignment vertical="center" wrapText="1"/>
    </xf>
    <xf numFmtId="3" fontId="11" fillId="0" borderId="60" xfId="0" applyNumberFormat="1" applyFont="1" applyBorder="1" applyAlignment="1">
      <alignment vertical="center" wrapText="1"/>
    </xf>
    <xf numFmtId="6" fontId="11" fillId="0" borderId="60" xfId="0" applyNumberFormat="1" applyFont="1" applyBorder="1" applyAlignment="1">
      <alignment vertical="center" wrapText="1"/>
    </xf>
    <xf numFmtId="3" fontId="10" fillId="0" borderId="60" xfId="0" applyNumberFormat="1" applyFont="1" applyBorder="1" applyAlignment="1">
      <alignment vertical="center" wrapText="1"/>
    </xf>
    <xf numFmtId="165" fontId="10" fillId="0" borderId="60" xfId="0" applyNumberFormat="1" applyFont="1" applyBorder="1" applyAlignment="1">
      <alignment vertical="center" wrapText="1"/>
    </xf>
    <xf numFmtId="165" fontId="2" fillId="0" borderId="59" xfId="0" applyNumberFormat="1" applyFont="1" applyBorder="1" applyAlignment="1">
      <alignment horizontal="right" vertical="center" wrapText="1"/>
    </xf>
    <xf numFmtId="0" fontId="17" fillId="0" borderId="63" xfId="0" applyFont="1" applyBorder="1" applyAlignment="1">
      <alignment horizontal="center" vertical="center" wrapText="1"/>
    </xf>
    <xf numFmtId="0" fontId="2" fillId="0" borderId="64" xfId="0" applyFont="1" applyBorder="1" applyAlignment="1">
      <alignment horizontal="left" vertical="center" wrapText="1"/>
    </xf>
    <xf numFmtId="3" fontId="2" fillId="0" borderId="58" xfId="0" applyNumberFormat="1" applyFont="1" applyBorder="1" applyAlignment="1">
      <alignment horizontal="center" vertical="center" wrapText="1"/>
    </xf>
    <xf numFmtId="6" fontId="11" fillId="0" borderId="58" xfId="0" applyNumberFormat="1" applyFont="1" applyBorder="1" applyAlignment="1">
      <alignment horizontal="center" vertical="center"/>
    </xf>
    <xf numFmtId="6" fontId="2" fillId="0" borderId="58" xfId="0" applyNumberFormat="1" applyFont="1" applyBorder="1" applyAlignment="1">
      <alignment horizontal="center" vertical="center" wrapText="1"/>
    </xf>
    <xf numFmtId="165" fontId="2" fillId="0" borderId="58" xfId="0" applyNumberFormat="1" applyFont="1" applyBorder="1" applyAlignment="1">
      <alignment horizontal="right" vertical="center" wrapText="1"/>
    </xf>
    <xf numFmtId="0" fontId="2" fillId="0" borderId="65" xfId="0" applyFont="1" applyBorder="1" applyAlignment="1">
      <alignment horizontal="left" vertical="center" wrapText="1"/>
    </xf>
    <xf numFmtId="3" fontId="2" fillId="0" borderId="59" xfId="0" applyNumberFormat="1" applyFont="1" applyBorder="1" applyAlignment="1">
      <alignment horizontal="center" vertical="center" wrapText="1"/>
    </xf>
    <xf numFmtId="6" fontId="2" fillId="0" borderId="59" xfId="0" applyNumberFormat="1" applyFont="1" applyBorder="1" applyAlignment="1">
      <alignment horizontal="center" vertical="center" wrapText="1"/>
    </xf>
    <xf numFmtId="0" fontId="17" fillId="0" borderId="58" xfId="0" applyFont="1" applyBorder="1" applyAlignment="1">
      <alignment horizontal="center" vertical="center" wrapText="1"/>
    </xf>
    <xf numFmtId="6" fontId="14" fillId="0" borderId="58" xfId="0" applyNumberFormat="1" applyFont="1" applyBorder="1" applyAlignment="1">
      <alignment horizontal="center" vertical="center" wrapText="1"/>
    </xf>
    <xf numFmtId="165" fontId="14" fillId="0" borderId="58" xfId="0" applyNumberFormat="1" applyFont="1" applyBorder="1"/>
    <xf numFmtId="0" fontId="17" fillId="0" borderId="59" xfId="0" applyFont="1" applyBorder="1" applyAlignment="1">
      <alignment horizontal="center" vertical="center" wrapText="1"/>
    </xf>
    <xf numFmtId="3" fontId="14" fillId="0" borderId="59" xfId="0" applyNumberFormat="1" applyFont="1" applyBorder="1" applyAlignment="1">
      <alignment horizontal="center" vertical="center" wrapText="1"/>
    </xf>
    <xf numFmtId="6" fontId="14" fillId="0" borderId="59" xfId="0" applyNumberFormat="1" applyFont="1" applyBorder="1" applyAlignment="1">
      <alignment horizontal="center" vertical="center" wrapText="1"/>
    </xf>
    <xf numFmtId="165" fontId="14" fillId="0" borderId="59" xfId="0" applyNumberFormat="1" applyFont="1" applyBorder="1"/>
    <xf numFmtId="0" fontId="10" fillId="0" borderId="59" xfId="0" applyFont="1" applyBorder="1" applyAlignment="1">
      <alignment vertical="center" wrapText="1"/>
    </xf>
    <xf numFmtId="3" fontId="17" fillId="0" borderId="59" xfId="0" applyNumberFormat="1" applyFont="1" applyBorder="1" applyAlignment="1">
      <alignment horizontal="right" vertical="center" wrapText="1"/>
    </xf>
    <xf numFmtId="165" fontId="17" fillId="0" borderId="59" xfId="0" applyNumberFormat="1" applyFont="1" applyBorder="1" applyAlignment="1">
      <alignment horizontal="right" vertical="center" wrapText="1"/>
    </xf>
    <xf numFmtId="3" fontId="14" fillId="0" borderId="58" xfId="2" applyNumberFormat="1" applyFont="1" applyFill="1" applyBorder="1" applyAlignment="1">
      <alignment horizontal="center" vertical="center" wrapText="1"/>
    </xf>
    <xf numFmtId="6" fontId="14" fillId="0" borderId="58" xfId="2" applyNumberFormat="1" applyFont="1" applyFill="1" applyBorder="1" applyAlignment="1">
      <alignment horizontal="center" vertical="center" wrapText="1"/>
    </xf>
    <xf numFmtId="0" fontId="34" fillId="8" borderId="66" xfId="5" applyFont="1" applyFill="1" applyBorder="1" applyAlignment="1">
      <alignment horizontal="center" vertical="center"/>
    </xf>
    <xf numFmtId="0" fontId="35" fillId="0" borderId="0" xfId="5" applyFont="1"/>
    <xf numFmtId="169" fontId="0" fillId="7" borderId="0" xfId="0" applyNumberFormat="1" applyFill="1"/>
    <xf numFmtId="0" fontId="47" fillId="0" borderId="0" xfId="0" applyFont="1"/>
    <xf numFmtId="0" fontId="57" fillId="0" borderId="0" xfId="0" applyFont="1"/>
    <xf numFmtId="0" fontId="57" fillId="5" borderId="11" xfId="0" applyFont="1" applyFill="1" applyBorder="1" applyAlignment="1">
      <alignment vertical="center"/>
    </xf>
    <xf numFmtId="0" fontId="47" fillId="0" borderId="11" xfId="0" applyFont="1" applyBorder="1" applyAlignment="1">
      <alignment vertical="center"/>
    </xf>
    <xf numFmtId="0" fontId="47" fillId="0" borderId="11" xfId="0" applyFont="1" applyBorder="1" applyAlignment="1">
      <alignment horizontal="right" vertical="center"/>
    </xf>
    <xf numFmtId="0" fontId="47" fillId="0" borderId="38" xfId="0" applyFont="1" applyBorder="1" applyAlignment="1">
      <alignment horizontal="right" vertical="center"/>
    </xf>
    <xf numFmtId="0" fontId="57" fillId="0" borderId="45" xfId="0" applyFont="1" applyBorder="1" applyAlignment="1">
      <alignment vertical="center"/>
    </xf>
    <xf numFmtId="0" fontId="57" fillId="5" borderId="32" xfId="0" applyFont="1" applyFill="1" applyBorder="1" applyAlignment="1">
      <alignment vertical="center"/>
    </xf>
    <xf numFmtId="0" fontId="57" fillId="5" borderId="33" xfId="0" applyFont="1" applyFill="1" applyBorder="1" applyAlignment="1">
      <alignment vertical="center"/>
    </xf>
    <xf numFmtId="0" fontId="57" fillId="5" borderId="33" xfId="0" applyFont="1" applyFill="1" applyBorder="1" applyAlignment="1">
      <alignment horizontal="center" vertical="center"/>
    </xf>
    <xf numFmtId="0" fontId="57" fillId="5" borderId="34" xfId="0" applyFont="1" applyFill="1" applyBorder="1" applyAlignment="1">
      <alignment horizontal="center" vertical="center"/>
    </xf>
    <xf numFmtId="8" fontId="47" fillId="0" borderId="36" xfId="0" applyNumberFormat="1" applyFont="1" applyBorder="1" applyAlignment="1">
      <alignment horizontal="right" vertical="center"/>
    </xf>
    <xf numFmtId="8" fontId="47" fillId="0" borderId="36" xfId="0" applyNumberFormat="1" applyFont="1" applyBorder="1" applyAlignment="1">
      <alignment vertical="center"/>
    </xf>
    <xf numFmtId="0" fontId="57" fillId="5" borderId="35" xfId="0" applyFont="1" applyFill="1" applyBorder="1" applyAlignment="1">
      <alignment vertical="center"/>
    </xf>
    <xf numFmtId="8" fontId="47" fillId="0" borderId="39" xfId="0" applyNumberFormat="1" applyFont="1" applyBorder="1" applyAlignment="1">
      <alignment horizontal="right" vertical="center"/>
    </xf>
    <xf numFmtId="0" fontId="57" fillId="0" borderId="49" xfId="0" applyFont="1" applyBorder="1" applyAlignment="1">
      <alignment vertical="center"/>
    </xf>
    <xf numFmtId="0" fontId="47" fillId="0" borderId="11" xfId="0" applyFont="1" applyBorder="1" applyAlignment="1">
      <alignment horizontal="left" vertical="center"/>
    </xf>
    <xf numFmtId="0" fontId="47" fillId="0" borderId="38" xfId="0" applyFont="1" applyBorder="1" applyAlignment="1">
      <alignment horizontal="left" vertical="center"/>
    </xf>
    <xf numFmtId="0" fontId="47" fillId="0" borderId="11" xfId="0" applyFont="1" applyBorder="1" applyAlignment="1">
      <alignment vertical="center" wrapText="1"/>
    </xf>
    <xf numFmtId="0" fontId="47" fillId="0" borderId="11" xfId="0" applyFont="1" applyBorder="1" applyAlignment="1">
      <alignment horizontal="right" vertical="center" wrapText="1"/>
    </xf>
    <xf numFmtId="6" fontId="47" fillId="0" borderId="11" xfId="0" applyNumberFormat="1" applyFont="1" applyBorder="1" applyAlignment="1">
      <alignment horizontal="right" vertical="center" wrapText="1"/>
    </xf>
    <xf numFmtId="6" fontId="47" fillId="0" borderId="36" xfId="0" applyNumberFormat="1" applyFont="1" applyBorder="1" applyAlignment="1">
      <alignment horizontal="right" vertical="center" wrapText="1"/>
    </xf>
    <xf numFmtId="0" fontId="57" fillId="0" borderId="45" xfId="0" applyFont="1" applyBorder="1" applyAlignment="1">
      <alignment horizontal="right" vertical="center"/>
    </xf>
    <xf numFmtId="6" fontId="57" fillId="0" borderId="67" xfId="0" applyNumberFormat="1" applyFont="1" applyBorder="1" applyAlignment="1">
      <alignment horizontal="right" vertical="center"/>
    </xf>
    <xf numFmtId="0" fontId="47" fillId="0" borderId="38" xfId="0" applyFont="1" applyBorder="1" applyAlignment="1">
      <alignment vertical="center" wrapText="1"/>
    </xf>
    <xf numFmtId="0" fontId="47" fillId="0" borderId="38" xfId="0" applyFont="1" applyBorder="1" applyAlignment="1">
      <alignment horizontal="right" vertical="center" wrapText="1"/>
    </xf>
    <xf numFmtId="6" fontId="47" fillId="0" borderId="39" xfId="0" applyNumberFormat="1" applyFont="1" applyBorder="1" applyAlignment="1">
      <alignment horizontal="right" vertical="center" wrapText="1"/>
    </xf>
    <xf numFmtId="0" fontId="57" fillId="5" borderId="41" xfId="0" applyFont="1" applyFill="1" applyBorder="1" applyAlignment="1">
      <alignment horizontal="center" vertical="center"/>
    </xf>
    <xf numFmtId="0" fontId="57" fillId="5" borderId="68" xfId="0" applyFont="1" applyFill="1" applyBorder="1" applyAlignment="1">
      <alignment horizontal="center" vertical="center"/>
    </xf>
    <xf numFmtId="0" fontId="57" fillId="0" borderId="0" xfId="0" applyFont="1" applyAlignment="1">
      <alignment horizontal="center" vertical="center" wrapText="1"/>
    </xf>
    <xf numFmtId="6" fontId="57" fillId="0" borderId="0" xfId="0" applyNumberFormat="1" applyFont="1" applyAlignment="1">
      <alignment horizontal="right" vertical="center"/>
    </xf>
    <xf numFmtId="8" fontId="57" fillId="0" borderId="0" xfId="0" applyNumberFormat="1" applyFont="1" applyAlignment="1">
      <alignment horizontal="right" vertical="center" wrapText="1"/>
    </xf>
    <xf numFmtId="6" fontId="57" fillId="0" borderId="0" xfId="0" applyNumberFormat="1" applyFont="1" applyAlignment="1">
      <alignment horizontal="right" vertical="center" wrapText="1"/>
    </xf>
    <xf numFmtId="3" fontId="47" fillId="0" borderId="11" xfId="0" applyNumberFormat="1" applyFont="1" applyBorder="1" applyAlignment="1">
      <alignment horizontal="right" vertical="center" wrapText="1"/>
    </xf>
    <xf numFmtId="6" fontId="57" fillId="0" borderId="36" xfId="0" applyNumberFormat="1" applyFont="1" applyBorder="1" applyAlignment="1">
      <alignment horizontal="right" vertical="center" wrapText="1"/>
    </xf>
    <xf numFmtId="0" fontId="57" fillId="0" borderId="45" xfId="0" applyFont="1" applyBorder="1" applyAlignment="1">
      <alignment vertical="center" wrapText="1"/>
    </xf>
    <xf numFmtId="3" fontId="47" fillId="0" borderId="38" xfId="0" applyNumberFormat="1" applyFont="1" applyBorder="1" applyAlignment="1">
      <alignment horizontal="right" vertical="center" wrapText="1"/>
    </xf>
    <xf numFmtId="6" fontId="57" fillId="0" borderId="39" xfId="0" applyNumberFormat="1" applyFont="1" applyBorder="1" applyAlignment="1">
      <alignment horizontal="right" vertical="center" wrapText="1"/>
    </xf>
    <xf numFmtId="0" fontId="57" fillId="5" borderId="33" xfId="0" applyFont="1" applyFill="1" applyBorder="1" applyAlignment="1">
      <alignment horizontal="center" vertical="center" wrapText="1"/>
    </xf>
    <xf numFmtId="0" fontId="58" fillId="16"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41"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58" fillId="5" borderId="11" xfId="0" applyFont="1" applyFill="1" applyBorder="1" applyAlignment="1">
      <alignment horizontal="center" vertical="center" wrapText="1"/>
    </xf>
    <xf numFmtId="3" fontId="47" fillId="0" borderId="11" xfId="0" applyNumberFormat="1" applyFont="1" applyBorder="1" applyAlignment="1">
      <alignment vertical="center" wrapText="1"/>
    </xf>
    <xf numFmtId="0" fontId="57" fillId="16" borderId="33" xfId="0" applyFont="1" applyFill="1" applyBorder="1" applyAlignment="1">
      <alignment horizontal="center" vertical="center" wrapText="1"/>
    </xf>
    <xf numFmtId="0" fontId="58" fillId="16" borderId="34" xfId="0" applyFont="1" applyFill="1" applyBorder="1" applyAlignment="1">
      <alignment horizontal="center" vertical="center" wrapText="1"/>
    </xf>
    <xf numFmtId="6" fontId="47" fillId="0" borderId="36" xfId="0" applyNumberFormat="1" applyFont="1" applyBorder="1" applyAlignment="1">
      <alignment horizontal="right" vertical="center"/>
    </xf>
    <xf numFmtId="0" fontId="58" fillId="5" borderId="36" xfId="0" applyFont="1" applyFill="1" applyBorder="1" applyAlignment="1">
      <alignment horizontal="center" vertical="center" wrapText="1"/>
    </xf>
    <xf numFmtId="0" fontId="58" fillId="5" borderId="38" xfId="0" applyFont="1" applyFill="1" applyBorder="1" applyAlignment="1">
      <alignment vertical="center" wrapText="1"/>
    </xf>
    <xf numFmtId="0" fontId="58" fillId="5" borderId="38" xfId="0" applyFont="1" applyFill="1" applyBorder="1" applyAlignment="1">
      <alignment horizontal="right" vertical="center" wrapText="1"/>
    </xf>
    <xf numFmtId="3" fontId="58" fillId="5" borderId="38" xfId="0" applyNumberFormat="1" applyFont="1" applyFill="1" applyBorder="1" applyAlignment="1">
      <alignment horizontal="right" vertical="center" wrapText="1"/>
    </xf>
    <xf numFmtId="6" fontId="58" fillId="5" borderId="39" xfId="0" applyNumberFormat="1" applyFont="1" applyFill="1" applyBorder="1" applyAlignment="1">
      <alignment horizontal="right" vertical="center" wrapText="1"/>
    </xf>
    <xf numFmtId="0" fontId="57" fillId="0" borderId="41" xfId="0" applyFont="1" applyBorder="1" applyAlignment="1">
      <alignment horizontal="left" vertical="center" wrapText="1" indent="1"/>
    </xf>
    <xf numFmtId="0" fontId="47" fillId="0" borderId="41" xfId="0" applyFont="1" applyBorder="1" applyAlignment="1">
      <alignment horizontal="right" vertical="center" wrapText="1"/>
    </xf>
    <xf numFmtId="6" fontId="57" fillId="0" borderId="68" xfId="0" applyNumberFormat="1" applyFont="1" applyBorder="1" applyAlignment="1">
      <alignment horizontal="right" vertical="center" wrapText="1"/>
    </xf>
    <xf numFmtId="3" fontId="57" fillId="0" borderId="41" xfId="0" applyNumberFormat="1" applyFont="1" applyBorder="1" applyAlignment="1">
      <alignment horizontal="right" vertical="center" wrapText="1"/>
    </xf>
    <xf numFmtId="0" fontId="57" fillId="0" borderId="41" xfId="0" applyFont="1" applyBorder="1" applyAlignment="1">
      <alignment horizontal="right" vertical="center" wrapText="1"/>
    </xf>
    <xf numFmtId="0" fontId="47" fillId="0" borderId="38" xfId="0" applyFont="1" applyBorder="1" applyAlignment="1">
      <alignment vertical="center"/>
    </xf>
    <xf numFmtId="0" fontId="57" fillId="0" borderId="35" xfId="0" applyFont="1" applyBorder="1" applyAlignment="1">
      <alignment vertical="center" wrapText="1"/>
    </xf>
    <xf numFmtId="0" fontId="57" fillId="0" borderId="37" xfId="0" applyFont="1" applyBorder="1" applyAlignment="1">
      <alignment vertical="center" wrapText="1"/>
    </xf>
    <xf numFmtId="0" fontId="47" fillId="0" borderId="35" xfId="0" applyFont="1" applyBorder="1" applyAlignment="1">
      <alignment vertical="center" wrapText="1"/>
    </xf>
    <xf numFmtId="6" fontId="47" fillId="0" borderId="38" xfId="0" applyNumberFormat="1" applyFont="1" applyBorder="1" applyAlignment="1">
      <alignment horizontal="right" vertical="center" wrapText="1"/>
    </xf>
    <xf numFmtId="0" fontId="57" fillId="0" borderId="50" xfId="0" applyFont="1" applyBorder="1" applyAlignment="1">
      <alignment vertical="center" wrapText="1"/>
    </xf>
    <xf numFmtId="3" fontId="47" fillId="0" borderId="41" xfId="0" applyNumberFormat="1" applyFont="1" applyBorder="1" applyAlignment="1">
      <alignment horizontal="right" vertical="center" wrapText="1"/>
    </xf>
    <xf numFmtId="6" fontId="47" fillId="0" borderId="41" xfId="0" applyNumberFormat="1" applyFont="1" applyBorder="1" applyAlignment="1">
      <alignment horizontal="right" vertical="center" wrapText="1"/>
    </xf>
    <xf numFmtId="0" fontId="47" fillId="0" borderId="37" xfId="0" applyFont="1" applyBorder="1" applyAlignment="1">
      <alignment vertical="center" wrapText="1"/>
    </xf>
    <xf numFmtId="0" fontId="57" fillId="5" borderId="32" xfId="0" applyFont="1" applyFill="1" applyBorder="1" applyAlignment="1">
      <alignment horizontal="center" vertical="center" wrapText="1"/>
    </xf>
    <xf numFmtId="0" fontId="57" fillId="0" borderId="0" xfId="0" applyFont="1" applyAlignment="1">
      <alignment vertical="center"/>
    </xf>
    <xf numFmtId="0" fontId="59" fillId="0" borderId="11" xfId="0" applyFont="1" applyBorder="1" applyAlignment="1">
      <alignment vertical="center"/>
    </xf>
    <xf numFmtId="0" fontId="58" fillId="16" borderId="32" xfId="0" applyFont="1" applyFill="1" applyBorder="1" applyAlignment="1">
      <alignment horizontal="center" vertical="center" wrapText="1"/>
    </xf>
    <xf numFmtId="0" fontId="58" fillId="16" borderId="33" xfId="0" applyFont="1" applyFill="1" applyBorder="1" applyAlignment="1">
      <alignment horizontal="center" vertical="center"/>
    </xf>
    <xf numFmtId="0" fontId="59" fillId="0" borderId="35" xfId="0" applyFont="1" applyBorder="1" applyAlignment="1">
      <alignment vertical="center" wrapText="1"/>
    </xf>
    <xf numFmtId="8" fontId="59" fillId="0" borderId="36" xfId="0" applyNumberFormat="1" applyFont="1" applyBorder="1" applyAlignment="1">
      <alignment vertical="center"/>
    </xf>
    <xf numFmtId="0" fontId="59" fillId="0" borderId="37" xfId="0" applyFont="1" applyBorder="1" applyAlignment="1">
      <alignment vertical="center" wrapText="1"/>
    </xf>
    <xf numFmtId="0" fontId="59" fillId="0" borderId="38" xfId="0" applyFont="1" applyBorder="1" applyAlignment="1">
      <alignment vertical="center"/>
    </xf>
    <xf numFmtId="8" fontId="59" fillId="0" borderId="39" xfId="0" applyNumberFormat="1" applyFont="1" applyBorder="1" applyAlignment="1">
      <alignment vertical="center"/>
    </xf>
    <xf numFmtId="0" fontId="57" fillId="0" borderId="50" xfId="0" applyFont="1" applyBorder="1"/>
    <xf numFmtId="0" fontId="47" fillId="0" borderId="35" xfId="0" applyFont="1" applyBorder="1"/>
    <xf numFmtId="0" fontId="47" fillId="0" borderId="37" xfId="0" applyFont="1" applyBorder="1"/>
    <xf numFmtId="0" fontId="57" fillId="5" borderId="37" xfId="0" applyFont="1" applyFill="1" applyBorder="1"/>
    <xf numFmtId="2" fontId="47" fillId="0" borderId="11" xfId="0" applyNumberFormat="1" applyFont="1" applyBorder="1" applyAlignment="1">
      <alignment horizontal="right" vertical="center"/>
    </xf>
    <xf numFmtId="2" fontId="47" fillId="0" borderId="38" xfId="0" applyNumberFormat="1" applyFont="1" applyBorder="1" applyAlignment="1">
      <alignment horizontal="right" vertical="center"/>
    </xf>
    <xf numFmtId="165" fontId="23" fillId="0" borderId="60" xfId="1" applyNumberFormat="1" applyFont="1" applyBorder="1" applyAlignment="1">
      <alignment vertical="center" wrapText="1"/>
    </xf>
    <xf numFmtId="6" fontId="10" fillId="0" borderId="59" xfId="0" applyNumberFormat="1" applyFont="1" applyBorder="1" applyAlignment="1">
      <alignment vertical="center"/>
    </xf>
    <xf numFmtId="166" fontId="47" fillId="0" borderId="11" xfId="0" applyNumberFormat="1" applyFont="1" applyBorder="1" applyAlignment="1">
      <alignment horizontal="right" vertical="center" wrapText="1"/>
    </xf>
    <xf numFmtId="166" fontId="47" fillId="0" borderId="38" xfId="0" applyNumberFormat="1" applyFont="1" applyBorder="1" applyAlignment="1">
      <alignment horizontal="right" vertical="center" wrapText="1"/>
    </xf>
    <xf numFmtId="166" fontId="57" fillId="0" borderId="45" xfId="0" applyNumberFormat="1" applyFont="1" applyBorder="1" applyAlignment="1">
      <alignment horizontal="right" vertical="center"/>
    </xf>
    <xf numFmtId="3" fontId="47" fillId="0" borderId="11" xfId="0" applyNumberFormat="1" applyFont="1" applyBorder="1" applyAlignment="1">
      <alignment vertical="center"/>
    </xf>
    <xf numFmtId="6" fontId="57" fillId="0" borderId="36" xfId="0" applyNumberFormat="1" applyFont="1" applyBorder="1" applyAlignment="1">
      <alignment vertical="center"/>
    </xf>
    <xf numFmtId="3" fontId="47" fillId="0" borderId="38" xfId="0" applyNumberFormat="1" applyFont="1" applyBorder="1" applyAlignment="1">
      <alignment vertical="center" wrapText="1"/>
    </xf>
    <xf numFmtId="3" fontId="47" fillId="0" borderId="38" xfId="0" applyNumberFormat="1" applyFont="1" applyBorder="1" applyAlignment="1">
      <alignment vertical="center"/>
    </xf>
    <xf numFmtId="6" fontId="57" fillId="0" borderId="39" xfId="0" applyNumberFormat="1" applyFont="1" applyBorder="1" applyAlignment="1">
      <alignment vertical="center" wrapText="1"/>
    </xf>
    <xf numFmtId="3" fontId="57" fillId="0" borderId="45" xfId="0" applyNumberFormat="1" applyFont="1" applyBorder="1" applyAlignment="1">
      <alignment vertical="center"/>
    </xf>
    <xf numFmtId="6" fontId="57" fillId="0" borderId="67" xfId="0" applyNumberFormat="1" applyFont="1" applyBorder="1" applyAlignment="1">
      <alignment vertical="center"/>
    </xf>
    <xf numFmtId="0" fontId="17" fillId="0" borderId="0" xfId="0" applyFont="1" applyAlignment="1">
      <alignment horizontal="right" vertical="center"/>
    </xf>
    <xf numFmtId="0" fontId="1" fillId="7" borderId="11" xfId="0" applyFont="1" applyFill="1" applyBorder="1"/>
    <xf numFmtId="3" fontId="0" fillId="0" borderId="11" xfId="0" applyNumberFormat="1" applyBorder="1"/>
    <xf numFmtId="3" fontId="24" fillId="2" borderId="11" xfId="2" applyNumberFormat="1" applyBorder="1"/>
    <xf numFmtId="165" fontId="24" fillId="2" borderId="11" xfId="2" applyNumberFormat="1" applyBorder="1"/>
    <xf numFmtId="2" fontId="6" fillId="0" borderId="0" xfId="0" applyNumberFormat="1" applyFont="1" applyAlignment="1">
      <alignment horizontal="right"/>
    </xf>
    <xf numFmtId="165" fontId="0" fillId="0" borderId="11" xfId="0" applyNumberFormat="1" applyBorder="1"/>
    <xf numFmtId="6" fontId="57" fillId="0" borderId="36" xfId="0" applyNumberFormat="1" applyFont="1" applyBorder="1" applyAlignment="1">
      <alignment vertical="center" wrapText="1"/>
    </xf>
    <xf numFmtId="0" fontId="29" fillId="0" borderId="0" xfId="0" applyFont="1"/>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55" xfId="0" applyBorder="1" applyAlignment="1">
      <alignment horizontal="left" wrapText="1"/>
    </xf>
    <xf numFmtId="0" fontId="0" fillId="0" borderId="56" xfId="0" applyBorder="1" applyAlignment="1">
      <alignment horizontal="left" wrapText="1"/>
    </xf>
    <xf numFmtId="0" fontId="0" fillId="0" borderId="57" xfId="0" applyBorder="1" applyAlignment="1">
      <alignment horizontal="left" wrapText="1"/>
    </xf>
    <xf numFmtId="0" fontId="0" fillId="0" borderId="40" xfId="0" applyBorder="1" applyAlignment="1">
      <alignment horizontal="left" wrapText="1"/>
    </xf>
    <xf numFmtId="0" fontId="0" fillId="0" borderId="47" xfId="0" applyBorder="1" applyAlignment="1">
      <alignment horizontal="left" wrapText="1"/>
    </xf>
    <xf numFmtId="0" fontId="0" fillId="0" borderId="48" xfId="0" applyBorder="1" applyAlignment="1">
      <alignment horizontal="left" wrapText="1"/>
    </xf>
    <xf numFmtId="0" fontId="52" fillId="9" borderId="25" xfId="0" applyFont="1" applyFill="1" applyBorder="1" applyAlignment="1">
      <alignment horizontal="left" vertical="center" wrapText="1"/>
    </xf>
    <xf numFmtId="0" fontId="52" fillId="9" borderId="0" xfId="0" applyFont="1" applyFill="1" applyAlignment="1">
      <alignment horizontal="left" vertical="center" wrapText="1"/>
    </xf>
    <xf numFmtId="0" fontId="52" fillId="9" borderId="26" xfId="0" applyFont="1" applyFill="1" applyBorder="1" applyAlignment="1">
      <alignment horizontal="left" vertical="center" wrapText="1"/>
    </xf>
    <xf numFmtId="0" fontId="52" fillId="9" borderId="27" xfId="0" applyFont="1" applyFill="1" applyBorder="1" applyAlignment="1">
      <alignment horizontal="left" vertical="center" wrapText="1"/>
    </xf>
    <xf numFmtId="0" fontId="52" fillId="9" borderId="15" xfId="0" applyFont="1" applyFill="1" applyBorder="1" applyAlignment="1">
      <alignment horizontal="left" vertical="center" wrapText="1"/>
    </xf>
    <xf numFmtId="0" fontId="52" fillId="9" borderId="28" xfId="0" applyFont="1" applyFill="1" applyBorder="1" applyAlignment="1">
      <alignment horizontal="left" vertical="center" wrapText="1"/>
    </xf>
    <xf numFmtId="0" fontId="48" fillId="10" borderId="17" xfId="0" applyFont="1" applyFill="1" applyBorder="1" applyAlignment="1">
      <alignment horizontal="center" wrapText="1"/>
    </xf>
    <xf numFmtId="0" fontId="48" fillId="10" borderId="18" xfId="0" applyFont="1" applyFill="1" applyBorder="1" applyAlignment="1">
      <alignment horizontal="center" wrapText="1"/>
    </xf>
    <xf numFmtId="0" fontId="50" fillId="13" borderId="17" xfId="0" applyFont="1" applyFill="1" applyBorder="1" applyAlignment="1">
      <alignment horizontal="right" vertical="center" wrapText="1"/>
    </xf>
    <xf numFmtId="0" fontId="50" fillId="13" borderId="21" xfId="0" applyFont="1" applyFill="1" applyBorder="1" applyAlignment="1">
      <alignment horizontal="right" vertical="center" wrapText="1"/>
    </xf>
    <xf numFmtId="0" fontId="50" fillId="13" borderId="18" xfId="0" applyFont="1" applyFill="1" applyBorder="1" applyAlignment="1">
      <alignment horizontal="right" vertical="center" wrapText="1"/>
    </xf>
    <xf numFmtId="0" fontId="49" fillId="9" borderId="22" xfId="0" applyFont="1" applyFill="1" applyBorder="1" applyAlignment="1">
      <alignment horizontal="left" vertical="center" wrapText="1"/>
    </xf>
    <xf numFmtId="0" fontId="49" fillId="9" borderId="23" xfId="0" applyFont="1" applyFill="1" applyBorder="1" applyAlignment="1">
      <alignment horizontal="left" vertical="center" wrapText="1"/>
    </xf>
    <xf numFmtId="0" fontId="49" fillId="9" borderId="24" xfId="0" applyFont="1" applyFill="1" applyBorder="1" applyAlignment="1">
      <alignment horizontal="left" vertical="center" wrapText="1"/>
    </xf>
    <xf numFmtId="0" fontId="38" fillId="0" borderId="0" xfId="0" applyFont="1" applyAlignment="1">
      <alignment horizontal="left" vertical="center" wrapText="1"/>
    </xf>
    <xf numFmtId="0" fontId="39" fillId="9" borderId="0" xfId="0" applyFont="1" applyFill="1" applyAlignment="1">
      <alignment horizontal="left" vertical="center"/>
    </xf>
    <xf numFmtId="0" fontId="37" fillId="0" borderId="0" xfId="0" applyFont="1"/>
    <xf numFmtId="0" fontId="48" fillId="10" borderId="16" xfId="0" applyFont="1" applyFill="1" applyBorder="1" applyAlignment="1">
      <alignment horizontal="center" wrapText="1"/>
    </xf>
    <xf numFmtId="0" fontId="48" fillId="10" borderId="19" xfId="0" applyFont="1" applyFill="1" applyBorder="1" applyAlignment="1">
      <alignment horizontal="center" wrapText="1"/>
    </xf>
    <xf numFmtId="0" fontId="30" fillId="10" borderId="17" xfId="4" applyFill="1" applyBorder="1" applyAlignment="1">
      <alignment horizontal="center" wrapText="1"/>
    </xf>
    <xf numFmtId="0" fontId="30" fillId="10" borderId="18" xfId="4" applyFill="1" applyBorder="1" applyAlignment="1">
      <alignment horizontal="center" wrapText="1"/>
    </xf>
    <xf numFmtId="0" fontId="52" fillId="9" borderId="25" xfId="0" applyFont="1" applyFill="1" applyBorder="1" applyAlignment="1">
      <alignment horizontal="left" vertical="center"/>
    </xf>
    <xf numFmtId="0" fontId="52" fillId="9" borderId="0" xfId="0" applyFont="1" applyFill="1" applyAlignment="1">
      <alignment horizontal="left" vertical="center"/>
    </xf>
    <xf numFmtId="0" fontId="52" fillId="9" borderId="26" xfId="0" applyFont="1" applyFill="1" applyBorder="1" applyAlignment="1">
      <alignment horizontal="left" vertical="center"/>
    </xf>
    <xf numFmtId="0" fontId="52" fillId="9" borderId="27" xfId="0" applyFont="1" applyFill="1" applyBorder="1" applyAlignment="1">
      <alignment horizontal="left" vertical="center"/>
    </xf>
    <xf numFmtId="0" fontId="52" fillId="9" borderId="15" xfId="0" applyFont="1" applyFill="1" applyBorder="1" applyAlignment="1">
      <alignment horizontal="left" vertical="center"/>
    </xf>
    <xf numFmtId="0" fontId="52" fillId="9" borderId="28" xfId="0" applyFont="1" applyFill="1" applyBorder="1" applyAlignment="1">
      <alignment horizontal="left" vertical="center"/>
    </xf>
    <xf numFmtId="0" fontId="48" fillId="10" borderId="17" xfId="0" applyFont="1" applyFill="1" applyBorder="1" applyAlignment="1">
      <alignment horizontal="center"/>
    </xf>
    <xf numFmtId="0" fontId="48" fillId="10" borderId="18" xfId="0" applyFont="1" applyFill="1" applyBorder="1" applyAlignment="1">
      <alignment horizontal="center"/>
    </xf>
    <xf numFmtId="0" fontId="50" fillId="13" borderId="17" xfId="0" applyFont="1" applyFill="1" applyBorder="1" applyAlignment="1">
      <alignment horizontal="right" vertical="center"/>
    </xf>
    <xf numFmtId="0" fontId="50" fillId="13" borderId="21" xfId="0" applyFont="1" applyFill="1" applyBorder="1" applyAlignment="1">
      <alignment horizontal="right" vertical="center"/>
    </xf>
    <xf numFmtId="0" fontId="50" fillId="13" borderId="18" xfId="0" applyFont="1" applyFill="1" applyBorder="1" applyAlignment="1">
      <alignment horizontal="right" vertical="center"/>
    </xf>
    <xf numFmtId="0" fontId="49" fillId="9" borderId="22" xfId="0" applyFont="1" applyFill="1" applyBorder="1" applyAlignment="1">
      <alignment horizontal="left" vertical="center"/>
    </xf>
    <xf numFmtId="0" fontId="49" fillId="9" borderId="23" xfId="0" applyFont="1" applyFill="1" applyBorder="1" applyAlignment="1">
      <alignment horizontal="left" vertical="center"/>
    </xf>
    <xf numFmtId="0" fontId="49" fillId="9" borderId="24" xfId="0" applyFont="1" applyFill="1" applyBorder="1" applyAlignment="1">
      <alignment horizontal="left" vertical="center"/>
    </xf>
    <xf numFmtId="0" fontId="48" fillId="10" borderId="16" xfId="0" applyFont="1" applyFill="1" applyBorder="1" applyAlignment="1">
      <alignment horizontal="center"/>
    </xf>
    <xf numFmtId="0" fontId="48" fillId="10" borderId="19" xfId="0" applyFont="1" applyFill="1" applyBorder="1" applyAlignment="1">
      <alignment horizontal="center"/>
    </xf>
    <xf numFmtId="0" fontId="30" fillId="10" borderId="17" xfId="4" applyFill="1" applyBorder="1" applyAlignment="1">
      <alignment horizontal="center"/>
    </xf>
    <xf numFmtId="0" fontId="30" fillId="10" borderId="18" xfId="4" applyFill="1" applyBorder="1" applyAlignment="1">
      <alignment horizontal="center"/>
    </xf>
    <xf numFmtId="0" fontId="32" fillId="0" borderId="0" xfId="5" applyFont="1"/>
    <xf numFmtId="0" fontId="31" fillId="0" borderId="0" xfId="5"/>
    <xf numFmtId="0" fontId="33" fillId="0" borderId="0" xfId="5" applyFont="1"/>
    <xf numFmtId="0" fontId="45" fillId="9" borderId="30" xfId="0" applyFont="1" applyFill="1" applyBorder="1" applyAlignment="1">
      <alignment horizontal="center" vertical="center"/>
    </xf>
    <xf numFmtId="0" fontId="45" fillId="9" borderId="31" xfId="0" applyFont="1" applyFill="1" applyBorder="1" applyAlignment="1">
      <alignment horizontal="center" vertical="center"/>
    </xf>
  </cellXfs>
  <cellStyles count="6">
    <cellStyle name="Bad" xfId="3" builtinId="27"/>
    <cellStyle name="Currency" xfId="1" builtinId="4"/>
    <cellStyle name="Good" xfId="2" builtinId="26"/>
    <cellStyle name="Hyperlink" xfId="4" builtinId="8"/>
    <cellStyle name="Normal" xfId="0" builtinId="0"/>
    <cellStyle name="Normal 2" xfId="5" xr:uid="{CBA93C78-61FA-4A4D-9B56-259C74407739}"/>
  </cellStyles>
  <dxfs count="0"/>
  <tableStyles count="1" defaultTableStyle="TableStyleMedium2" defaultPivotStyle="PivotStyleLight16">
    <tableStyle name="Invisible" pivot="0" table="0" count="0" xr9:uid="{D2DFD64D-A99B-49AF-86B3-1AAD403937E0}"/>
  </tableStyles>
  <colors>
    <mruColors>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bls.gov/news.release/ecec.t04.htm" TargetMode="External"/><Relationship Id="rId2" Type="http://schemas.openxmlformats.org/officeDocument/2006/relationships/hyperlink" Target="https://www.bls.gov/news.release/ecec.t04.htm" TargetMode="External"/><Relationship Id="rId1" Type="http://schemas.openxmlformats.org/officeDocument/2006/relationships/hyperlink" Target="https://www.bls.gov/news.release/ecec.t04.htm" TargetMode="External"/><Relationship Id="rId6" Type="http://schemas.openxmlformats.org/officeDocument/2006/relationships/hyperlink" Target="https://www.bls.gov/news.release/ecec.t04.htm" TargetMode="External"/><Relationship Id="rId5" Type="http://schemas.openxmlformats.org/officeDocument/2006/relationships/hyperlink" Target="https://www.bls.gov/news.release/ecec.t04.htm" TargetMode="External"/><Relationship Id="rId4" Type="http://schemas.openxmlformats.org/officeDocument/2006/relationships/hyperlink" Target="https://www.bls.gov/news.release/ecec.t04.htm"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www.bls.gov/news.release/ecec.t03.htm" TargetMode="External"/><Relationship Id="rId1" Type="http://schemas.openxmlformats.org/officeDocument/2006/relationships/hyperlink" Target="https://www.bls.gov/news.release/ecec.t03.ht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opm.gov/policy-data-oversight/pay-leave/salaries-wages/salary-tables/pdf/2025/DCB_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6"/>
  <sheetViews>
    <sheetView topLeftCell="A74" zoomScaleNormal="100" workbookViewId="0">
      <selection activeCell="C38" sqref="C38"/>
    </sheetView>
  </sheetViews>
  <sheetFormatPr defaultRowHeight="14.4" x14ac:dyDescent="0.3"/>
  <cols>
    <col min="1" max="1" width="33.44140625" customWidth="1"/>
    <col min="2" max="2" width="18.77734375" customWidth="1"/>
    <col min="3" max="3" width="17.44140625" customWidth="1"/>
    <col min="4" max="4" width="12.5546875" customWidth="1"/>
    <col min="5" max="5" width="18" customWidth="1"/>
    <col min="6" max="6" width="20" customWidth="1"/>
    <col min="7" max="7" width="19.21875" customWidth="1"/>
    <col min="8" max="8" width="15.21875" customWidth="1"/>
    <col min="10" max="10" width="15.5546875" customWidth="1"/>
  </cols>
  <sheetData>
    <row r="1" spans="1:6" x14ac:dyDescent="0.3">
      <c r="A1" s="2" t="s">
        <v>0</v>
      </c>
      <c r="C1" s="3" t="s">
        <v>1</v>
      </c>
      <c r="E1" t="s">
        <v>2</v>
      </c>
      <c r="F1" t="s">
        <v>3</v>
      </c>
    </row>
    <row r="2" spans="1:6" x14ac:dyDescent="0.3">
      <c r="A2" t="s">
        <v>4</v>
      </c>
      <c r="B2" s="1">
        <v>70.099999999999994</v>
      </c>
      <c r="C2" s="1">
        <v>62.73</v>
      </c>
      <c r="D2" s="1"/>
      <c r="E2" s="1">
        <f>(B2*1.028)*1.02</f>
        <v>73.504055999999991</v>
      </c>
      <c r="F2" s="1">
        <f>(E2*0.3) +(E7*0.7)</f>
        <v>65.775120239999993</v>
      </c>
    </row>
    <row r="3" spans="1:6" x14ac:dyDescent="0.3">
      <c r="A3" t="s">
        <v>5</v>
      </c>
      <c r="B3" s="1">
        <v>55.39</v>
      </c>
      <c r="C3" s="1">
        <v>39.1</v>
      </c>
      <c r="D3" s="1"/>
      <c r="E3" s="1">
        <f>(B3*1.028)*1.02</f>
        <v>58.079738399999997</v>
      </c>
      <c r="F3" s="1">
        <f>(E3*0.3) +(E8*0.7)</f>
        <v>41.109843359999999</v>
      </c>
    </row>
    <row r="4" spans="1:6" x14ac:dyDescent="0.3">
      <c r="A4" t="s">
        <v>6</v>
      </c>
      <c r="B4" s="1">
        <v>26.02</v>
      </c>
      <c r="C4" s="1">
        <v>25.21</v>
      </c>
      <c r="D4" s="1"/>
      <c r="E4" s="1">
        <f>(B4*1.028)*1.02</f>
        <v>27.283531200000002</v>
      </c>
      <c r="F4" s="1">
        <f>(E4*0.3) +(E9*0.7)</f>
        <v>26.652298080000001</v>
      </c>
    </row>
    <row r="5" spans="1:6" x14ac:dyDescent="0.3">
      <c r="B5" s="1"/>
      <c r="C5" s="1"/>
      <c r="D5" s="1"/>
      <c r="E5" s="1"/>
    </row>
    <row r="6" spans="1:6" x14ac:dyDescent="0.3">
      <c r="A6" s="2" t="s">
        <v>7</v>
      </c>
      <c r="B6" s="1"/>
      <c r="C6" s="1"/>
      <c r="D6" s="1"/>
      <c r="E6" s="1"/>
    </row>
    <row r="7" spans="1:6" x14ac:dyDescent="0.3">
      <c r="A7" t="s">
        <v>4</v>
      </c>
      <c r="B7" s="1">
        <v>59.57</v>
      </c>
      <c r="C7" s="1"/>
      <c r="D7" s="1"/>
      <c r="E7" s="1">
        <f>(B7*1.028)*1.02</f>
        <v>62.462719200000002</v>
      </c>
      <c r="F7" s="1"/>
    </row>
    <row r="8" spans="1:6" x14ac:dyDescent="0.3">
      <c r="A8" t="s">
        <v>5</v>
      </c>
      <c r="B8" s="1">
        <v>32.270000000000003</v>
      </c>
      <c r="C8" s="1"/>
      <c r="D8" s="1"/>
      <c r="E8" s="1">
        <f>(B8*1.028)*1.02</f>
        <v>33.837031200000006</v>
      </c>
    </row>
    <row r="9" spans="1:6" x14ac:dyDescent="0.3">
      <c r="A9" t="s">
        <v>6</v>
      </c>
      <c r="B9" s="1">
        <v>25.16</v>
      </c>
      <c r="C9" s="1"/>
      <c r="D9" s="1"/>
      <c r="E9" s="1">
        <f>(B9*1.028)*1.02</f>
        <v>26.381769600000002</v>
      </c>
    </row>
    <row r="11" spans="1:6" x14ac:dyDescent="0.3">
      <c r="A11" t="s">
        <v>8</v>
      </c>
    </row>
    <row r="12" spans="1:6" x14ac:dyDescent="0.3">
      <c r="A12" t="s">
        <v>4</v>
      </c>
      <c r="B12" s="1">
        <v>59.33</v>
      </c>
      <c r="E12" s="1">
        <f>(B12*1.03)*1.023</f>
        <v>62.515427699999996</v>
      </c>
    </row>
    <row r="13" spans="1:6" x14ac:dyDescent="0.3">
      <c r="A13" t="s">
        <v>5</v>
      </c>
      <c r="B13" s="1">
        <v>57.75</v>
      </c>
      <c r="E13" s="1">
        <f>(B13*1.03)*1.023</f>
        <v>60.850597499999999</v>
      </c>
    </row>
    <row r="14" spans="1:6" x14ac:dyDescent="0.3">
      <c r="A14" t="s">
        <v>6</v>
      </c>
      <c r="B14" s="1">
        <v>34.159999999999997</v>
      </c>
      <c r="D14" s="10"/>
      <c r="E14" s="1">
        <f>(B14*1.03)*1.023</f>
        <v>35.994050399999992</v>
      </c>
    </row>
    <row r="15" spans="1:6" x14ac:dyDescent="0.3">
      <c r="A15" t="s">
        <v>9</v>
      </c>
      <c r="B15" s="1"/>
      <c r="D15" s="10"/>
      <c r="E15" s="1"/>
    </row>
    <row r="16" spans="1:6" x14ac:dyDescent="0.3">
      <c r="B16" s="1"/>
    </row>
    <row r="17" spans="1:7" ht="15" thickBot="1" x14ac:dyDescent="0.35">
      <c r="A17" s="4" t="s">
        <v>10</v>
      </c>
      <c r="B17" s="5"/>
      <c r="C17" s="5"/>
      <c r="D17" s="5"/>
      <c r="E17" s="5"/>
      <c r="F17" s="5"/>
      <c r="G17" s="5"/>
    </row>
    <row r="18" spans="1:7" ht="21.75" customHeight="1" thickBot="1" x14ac:dyDescent="0.35">
      <c r="A18" s="11" t="s">
        <v>11</v>
      </c>
      <c r="B18" s="12" t="s">
        <v>12</v>
      </c>
      <c r="C18" s="12" t="s">
        <v>13</v>
      </c>
      <c r="D18" s="12" t="s">
        <v>14</v>
      </c>
      <c r="E18" s="13" t="s">
        <v>15</v>
      </c>
      <c r="F18" s="13" t="s">
        <v>16</v>
      </c>
      <c r="G18" s="5"/>
    </row>
    <row r="19" spans="1:7" ht="18.75" customHeight="1" thickBot="1" x14ac:dyDescent="0.35">
      <c r="A19" s="14" t="s">
        <v>17</v>
      </c>
      <c r="B19" s="15"/>
      <c r="C19" s="15"/>
      <c r="D19" s="15"/>
      <c r="E19" s="15"/>
      <c r="F19" s="15"/>
      <c r="G19" s="5"/>
    </row>
    <row r="20" spans="1:7" ht="18" customHeight="1" thickBot="1" x14ac:dyDescent="0.35">
      <c r="A20" s="16" t="s">
        <v>18</v>
      </c>
      <c r="B20" s="17">
        <v>2.5</v>
      </c>
      <c r="C20" s="17">
        <v>7.5</v>
      </c>
      <c r="D20" s="17">
        <v>0</v>
      </c>
      <c r="E20" s="17">
        <v>10</v>
      </c>
      <c r="F20" s="18">
        <f>B20*F2+ C20*F3+D20*F4</f>
        <v>472.76162579999993</v>
      </c>
      <c r="G20" s="5"/>
    </row>
    <row r="21" spans="1:7" ht="16.5" customHeight="1" thickBot="1" x14ac:dyDescent="0.35">
      <c r="A21" s="16"/>
      <c r="B21" s="15"/>
      <c r="C21" s="15"/>
      <c r="D21" s="15"/>
      <c r="E21" s="15"/>
      <c r="F21" s="15"/>
      <c r="G21" s="5"/>
    </row>
    <row r="22" spans="1:7" ht="19.5" customHeight="1" thickBot="1" x14ac:dyDescent="0.35">
      <c r="A22" s="14" t="s">
        <v>19</v>
      </c>
      <c r="B22" s="15"/>
      <c r="C22" s="15"/>
      <c r="D22" s="15"/>
      <c r="E22" s="15"/>
      <c r="F22" s="15"/>
      <c r="G22" s="5"/>
    </row>
    <row r="23" spans="1:7" ht="15" thickBot="1" x14ac:dyDescent="0.35">
      <c r="A23" s="14" t="s">
        <v>20</v>
      </c>
      <c r="B23" s="15"/>
      <c r="C23" s="15"/>
      <c r="D23" s="15"/>
      <c r="E23" s="15"/>
      <c r="F23" s="15"/>
      <c r="G23" s="5"/>
    </row>
    <row r="24" spans="1:7" ht="30" customHeight="1" thickBot="1" x14ac:dyDescent="0.35">
      <c r="A24" s="16" t="s">
        <v>21</v>
      </c>
      <c r="B24" s="17">
        <v>1</v>
      </c>
      <c r="C24" s="17">
        <v>3</v>
      </c>
      <c r="D24" s="17">
        <v>0</v>
      </c>
      <c r="E24" s="17">
        <v>4</v>
      </c>
      <c r="F24" s="18">
        <f>B24*F2+C24*F3</f>
        <v>189.10465031999999</v>
      </c>
      <c r="G24" s="5"/>
    </row>
    <row r="25" spans="1:7" ht="27" thickBot="1" x14ac:dyDescent="0.35">
      <c r="A25" s="16" t="s">
        <v>22</v>
      </c>
      <c r="B25" s="17">
        <v>0.25</v>
      </c>
      <c r="C25" s="17">
        <v>1</v>
      </c>
      <c r="D25" s="17">
        <v>0.5</v>
      </c>
      <c r="E25" s="17">
        <v>1.75</v>
      </c>
      <c r="F25" s="19">
        <f>(B25*F2)+(C25*F3)+(D25*F4)</f>
        <v>70.879772459999998</v>
      </c>
      <c r="G25" s="5"/>
    </row>
    <row r="26" spans="1:7" ht="15.75" customHeight="1" thickBot="1" x14ac:dyDescent="0.35">
      <c r="A26" s="14" t="s">
        <v>23</v>
      </c>
      <c r="B26" s="17"/>
      <c r="C26" s="17"/>
      <c r="D26" s="17"/>
      <c r="E26" s="17"/>
      <c r="F26" s="20"/>
      <c r="G26" s="5"/>
    </row>
    <row r="27" spans="1:7" ht="40.200000000000003" thickBot="1" x14ac:dyDescent="0.35">
      <c r="A27" s="16" t="s">
        <v>24</v>
      </c>
      <c r="B27" s="17">
        <v>0</v>
      </c>
      <c r="C27" s="17">
        <v>1</v>
      </c>
      <c r="D27" s="17">
        <v>0.25</v>
      </c>
      <c r="E27" s="17">
        <v>1.25</v>
      </c>
      <c r="F27" s="19">
        <f>(B27*F2)+(C27*F3)+(D27*F4)</f>
        <v>47.772917880000001</v>
      </c>
      <c r="G27" s="5"/>
    </row>
    <row r="28" spans="1:7" ht="27" thickBot="1" x14ac:dyDescent="0.35">
      <c r="A28" s="16" t="s">
        <v>25</v>
      </c>
      <c r="B28" s="17">
        <v>0.25</v>
      </c>
      <c r="C28" s="17">
        <v>0.5</v>
      </c>
      <c r="D28" s="17">
        <v>0.25</v>
      </c>
      <c r="E28" s="17">
        <v>1</v>
      </c>
      <c r="F28" s="18">
        <f>B28*F2+C28*F3+D28*F4</f>
        <v>43.661776260000003</v>
      </c>
      <c r="G28" s="5"/>
    </row>
    <row r="29" spans="1:7" ht="27" thickBot="1" x14ac:dyDescent="0.35">
      <c r="A29" s="16" t="s">
        <v>26</v>
      </c>
      <c r="B29" s="17">
        <v>0.25</v>
      </c>
      <c r="C29" s="17">
        <v>0.5</v>
      </c>
      <c r="D29" s="17">
        <v>0.25</v>
      </c>
      <c r="E29" s="17">
        <v>1</v>
      </c>
      <c r="F29" s="18">
        <f>B29*F2+C29*F3+D29*F4</f>
        <v>43.661776260000003</v>
      </c>
      <c r="G29" s="5"/>
    </row>
    <row r="30" spans="1:7" ht="24" customHeight="1" thickBot="1" x14ac:dyDescent="0.35">
      <c r="A30" s="14" t="s">
        <v>27</v>
      </c>
      <c r="B30" s="15"/>
      <c r="C30" s="15"/>
      <c r="D30" s="15"/>
      <c r="E30" s="15"/>
      <c r="F30" s="15"/>
      <c r="G30" s="5"/>
    </row>
    <row r="31" spans="1:7" ht="27" thickBot="1" x14ac:dyDescent="0.35">
      <c r="A31" s="16" t="s">
        <v>28</v>
      </c>
      <c r="B31" s="17">
        <v>0.25</v>
      </c>
      <c r="C31" s="17">
        <v>0.5</v>
      </c>
      <c r="D31" s="17">
        <v>0.25</v>
      </c>
      <c r="E31" s="17">
        <v>1</v>
      </c>
      <c r="F31" s="18">
        <f>B31*F2+C31*F3+D31*F4</f>
        <v>43.661776260000003</v>
      </c>
      <c r="G31" s="5"/>
    </row>
    <row r="32" spans="1:7" ht="15" thickBot="1" x14ac:dyDescent="0.35">
      <c r="A32" s="14"/>
      <c r="B32" s="15"/>
      <c r="C32" s="15"/>
      <c r="D32" s="15"/>
      <c r="E32" s="15"/>
      <c r="F32" s="15"/>
      <c r="G32" s="5"/>
    </row>
    <row r="33" spans="1:7" ht="24" customHeight="1" thickBot="1" x14ac:dyDescent="0.35">
      <c r="A33" s="14" t="s">
        <v>29</v>
      </c>
      <c r="B33" s="15"/>
      <c r="C33" s="15"/>
      <c r="D33" s="15"/>
      <c r="E33" s="15"/>
      <c r="F33" s="15"/>
      <c r="G33" s="5"/>
    </row>
    <row r="34" spans="1:7" ht="15" thickBot="1" x14ac:dyDescent="0.35">
      <c r="A34" s="14" t="s">
        <v>30</v>
      </c>
      <c r="B34" s="15"/>
      <c r="C34" s="15"/>
      <c r="D34" s="15"/>
      <c r="E34" s="15"/>
      <c r="F34" s="15"/>
      <c r="G34" s="5"/>
    </row>
    <row r="35" spans="1:7" ht="27" thickBot="1" x14ac:dyDescent="0.35">
      <c r="A35" s="16" t="s">
        <v>31</v>
      </c>
      <c r="B35" s="15"/>
      <c r="C35" s="15"/>
      <c r="D35" s="15"/>
      <c r="E35" s="15"/>
      <c r="F35" s="15"/>
      <c r="G35" s="5"/>
    </row>
    <row r="36" spans="1:7" ht="15" thickBot="1" x14ac:dyDescent="0.35">
      <c r="A36" s="21" t="s">
        <v>32</v>
      </c>
      <c r="B36" s="17"/>
      <c r="C36" s="17"/>
      <c r="D36" s="17"/>
      <c r="E36" s="17"/>
      <c r="F36" s="17"/>
      <c r="G36" s="5"/>
    </row>
    <row r="37" spans="1:7" ht="15" thickBot="1" x14ac:dyDescent="0.35">
      <c r="A37" s="22" t="s">
        <v>33</v>
      </c>
      <c r="B37" s="17">
        <v>4</v>
      </c>
      <c r="C37" s="17">
        <v>10.25</v>
      </c>
      <c r="D37" s="17">
        <v>0</v>
      </c>
      <c r="E37" s="17">
        <f>SUM(B37:D37)</f>
        <v>14.25</v>
      </c>
      <c r="F37" s="18">
        <f>B37*F2+C37*F3+D37*F4</f>
        <v>684.47637539999994</v>
      </c>
      <c r="G37" s="5"/>
    </row>
    <row r="38" spans="1:7" ht="15" thickBot="1" x14ac:dyDescent="0.35">
      <c r="A38" s="22" t="s">
        <v>34</v>
      </c>
      <c r="B38" s="17">
        <v>4</v>
      </c>
      <c r="C38" s="17">
        <v>76.25</v>
      </c>
      <c r="D38" s="17">
        <v>0</v>
      </c>
      <c r="E38" s="17">
        <f>SUM(B38:D38)</f>
        <v>80.25</v>
      </c>
      <c r="F38" s="18">
        <f>B38*F2+C38*F3+D38*F4</f>
        <v>3397.72603716</v>
      </c>
      <c r="G38" s="5"/>
    </row>
    <row r="39" spans="1:7" ht="15" thickBot="1" x14ac:dyDescent="0.35">
      <c r="A39" s="22" t="s">
        <v>35</v>
      </c>
      <c r="B39" s="17">
        <v>8</v>
      </c>
      <c r="C39" s="17">
        <v>112.25</v>
      </c>
      <c r="D39" s="17">
        <v>0</v>
      </c>
      <c r="E39" s="17">
        <f>SUM(B39:D39)</f>
        <v>120.25</v>
      </c>
      <c r="F39" s="18">
        <f>B39*F2+C39*F3+D39*F4</f>
        <v>5140.78087908</v>
      </c>
      <c r="G39" s="5"/>
    </row>
    <row r="40" spans="1:7" ht="15" thickBot="1" x14ac:dyDescent="0.35">
      <c r="A40" s="21" t="s">
        <v>36</v>
      </c>
      <c r="B40" s="17"/>
      <c r="C40" s="17"/>
      <c r="D40" s="17"/>
      <c r="E40" s="17"/>
      <c r="F40" s="17"/>
      <c r="G40" s="5"/>
    </row>
    <row r="41" spans="1:7" ht="15" thickBot="1" x14ac:dyDescent="0.35">
      <c r="A41" s="22" t="s">
        <v>37</v>
      </c>
      <c r="B41" s="17">
        <v>2</v>
      </c>
      <c r="C41" s="17">
        <v>8.25</v>
      </c>
      <c r="D41" s="17">
        <v>0</v>
      </c>
      <c r="E41" s="17">
        <f>SUM(B41:D41)</f>
        <v>10.25</v>
      </c>
      <c r="F41" s="18">
        <f>B41*F2+C41*F3+D41*F4</f>
        <v>470.70644819999995</v>
      </c>
      <c r="G41" s="5"/>
    </row>
    <row r="42" spans="1:7" ht="15" thickBot="1" x14ac:dyDescent="0.35">
      <c r="A42" s="22" t="s">
        <v>34</v>
      </c>
      <c r="B42" s="17">
        <v>4</v>
      </c>
      <c r="C42" s="17">
        <v>36.25</v>
      </c>
      <c r="D42" s="17">
        <v>0</v>
      </c>
      <c r="E42" s="17">
        <f>SUM(B42:D42)</f>
        <v>40.25</v>
      </c>
      <c r="F42" s="18">
        <f>B42*F2+C42*F3+D42*F4</f>
        <v>1753.3323027599999</v>
      </c>
      <c r="G42" s="5"/>
    </row>
    <row r="43" spans="1:7" ht="15" thickBot="1" x14ac:dyDescent="0.35">
      <c r="A43" s="22" t="s">
        <v>35</v>
      </c>
      <c r="B43" s="17">
        <v>6</v>
      </c>
      <c r="C43" s="17">
        <v>34.25</v>
      </c>
      <c r="D43" s="17">
        <v>0</v>
      </c>
      <c r="E43" s="17">
        <f>SUM(B43:D43)</f>
        <v>40.25</v>
      </c>
      <c r="F43" s="104">
        <f>B43*F2+C44*F3+D47*F4</f>
        <v>394.65072143999998</v>
      </c>
      <c r="G43" s="5"/>
    </row>
    <row r="44" spans="1:7" x14ac:dyDescent="0.3">
      <c r="A44" s="5"/>
      <c r="B44" s="5"/>
      <c r="C44" s="5"/>
      <c r="D44" s="5"/>
      <c r="E44" s="5"/>
      <c r="F44" s="105">
        <f>SUM(F20:F43)</f>
        <v>12753.177059280002</v>
      </c>
      <c r="G44" s="5"/>
    </row>
    <row r="45" spans="1:7" x14ac:dyDescent="0.3">
      <c r="A45" s="5"/>
      <c r="B45" s="5"/>
      <c r="C45" s="5"/>
      <c r="D45" s="5"/>
      <c r="E45" s="5"/>
      <c r="F45" s="6"/>
      <c r="G45" s="5"/>
    </row>
    <row r="46" spans="1:7" x14ac:dyDescent="0.3">
      <c r="A46" s="5"/>
      <c r="B46" s="5"/>
      <c r="C46" s="5"/>
      <c r="D46" s="5"/>
      <c r="E46" s="5"/>
      <c r="F46" s="6"/>
      <c r="G46" s="5"/>
    </row>
    <row r="47" spans="1:7" ht="15" thickBot="1" x14ac:dyDescent="0.35">
      <c r="A47" s="4" t="s">
        <v>38</v>
      </c>
      <c r="B47" s="5"/>
      <c r="C47" s="5"/>
      <c r="D47" s="5"/>
      <c r="E47" s="5"/>
      <c r="F47" s="5"/>
      <c r="G47" s="5"/>
    </row>
    <row r="48" spans="1:7" ht="15" thickBot="1" x14ac:dyDescent="0.35">
      <c r="A48" s="23"/>
      <c r="B48" s="24" t="s">
        <v>39</v>
      </c>
      <c r="C48" s="24" t="s">
        <v>40</v>
      </c>
      <c r="D48" s="24" t="s">
        <v>41</v>
      </c>
      <c r="E48" s="24" t="s">
        <v>15</v>
      </c>
      <c r="F48" s="12" t="s">
        <v>16</v>
      </c>
      <c r="G48" s="5"/>
    </row>
    <row r="49" spans="1:8" ht="15" thickBot="1" x14ac:dyDescent="0.35">
      <c r="A49" s="14" t="s">
        <v>42</v>
      </c>
      <c r="B49" s="17"/>
      <c r="C49" s="17"/>
      <c r="D49" s="17"/>
      <c r="E49" s="17"/>
      <c r="F49" s="17"/>
      <c r="G49" s="5"/>
    </row>
    <row r="50" spans="1:8" ht="24.75" customHeight="1" thickBot="1" x14ac:dyDescent="0.35">
      <c r="A50" s="16" t="s">
        <v>43</v>
      </c>
      <c r="B50" s="17">
        <v>0</v>
      </c>
      <c r="C50" s="25">
        <f>5*1.1566</f>
        <v>5.7830000000000004</v>
      </c>
      <c r="D50" s="25">
        <f>27.5*1.1566</f>
        <v>31.806500000000003</v>
      </c>
      <c r="E50" s="25">
        <f>SUM(B50:D50)</f>
        <v>37.589500000000001</v>
      </c>
      <c r="F50" s="26">
        <f>B50*E12+C50*E13+D50*E14</f>
        <v>1496.7437693900999</v>
      </c>
      <c r="G50" s="5"/>
    </row>
    <row r="51" spans="1:8" ht="15" customHeight="1" thickBot="1" x14ac:dyDescent="0.35">
      <c r="A51" s="16" t="s">
        <v>44</v>
      </c>
      <c r="B51" s="17">
        <v>0</v>
      </c>
      <c r="C51" s="25">
        <f>40*1.1566</f>
        <v>46.264000000000003</v>
      </c>
      <c r="D51" s="25">
        <f>280*1.1566</f>
        <v>323.84800000000001</v>
      </c>
      <c r="E51" s="25">
        <f>SUM(B51:D51)</f>
        <v>370.11200000000002</v>
      </c>
      <c r="F51" s="26">
        <f>B51*E12+C51*E13+D51*E14</f>
        <v>14471.793276679198</v>
      </c>
      <c r="G51" s="5"/>
    </row>
    <row r="52" spans="1:8" ht="15" thickBot="1" x14ac:dyDescent="0.35">
      <c r="A52" s="16" t="s">
        <v>45</v>
      </c>
      <c r="B52" s="17">
        <v>0</v>
      </c>
      <c r="C52" s="25">
        <f>0.5*1.1566</f>
        <v>0.57830000000000004</v>
      </c>
      <c r="D52" s="25">
        <f>0.5*1.1566</f>
        <v>0.57830000000000004</v>
      </c>
      <c r="E52" s="25">
        <f>SUM(B52:D52)</f>
        <v>1.1566000000000001</v>
      </c>
      <c r="F52" s="26">
        <f>B52*E12+C52*E13+D52*E14</f>
        <v>56.005259880569994</v>
      </c>
      <c r="G52" s="5"/>
    </row>
    <row r="53" spans="1:8" ht="27.75" customHeight="1" thickBot="1" x14ac:dyDescent="0.35">
      <c r="A53" s="16" t="s">
        <v>46</v>
      </c>
      <c r="B53" s="17">
        <v>0</v>
      </c>
      <c r="C53" s="25">
        <f>0.5*1.1566</f>
        <v>0.57830000000000004</v>
      </c>
      <c r="D53" s="25">
        <f>0.5*1.1566</f>
        <v>0.57830000000000004</v>
      </c>
      <c r="E53" s="25">
        <f>SUM(B53:D53)</f>
        <v>1.1566000000000001</v>
      </c>
      <c r="F53" s="26">
        <f>B53*E12+C53*E13+D53*E14</f>
        <v>56.005259880569994</v>
      </c>
      <c r="G53" s="5"/>
    </row>
    <row r="54" spans="1:8" ht="15" thickBot="1" x14ac:dyDescent="0.35">
      <c r="A54" s="27" t="s">
        <v>47</v>
      </c>
      <c r="B54" s="28">
        <f>SUM(B50:B53)</f>
        <v>0</v>
      </c>
      <c r="C54" s="29">
        <f>SUM(C50:C53)</f>
        <v>53.203600000000002</v>
      </c>
      <c r="D54" s="29">
        <f>SUM(D50:D53)</f>
        <v>356.81110000000007</v>
      </c>
      <c r="E54" s="29">
        <f>SUM(E50:E53)</f>
        <v>410.01470000000006</v>
      </c>
      <c r="F54" s="30">
        <f>SUM(F50:F53)</f>
        <v>16080.547565830439</v>
      </c>
      <c r="G54" s="5"/>
    </row>
    <row r="55" spans="1:8" x14ac:dyDescent="0.3">
      <c r="A55" s="7"/>
      <c r="B55" s="5"/>
      <c r="C55" s="5"/>
      <c r="D55" s="5"/>
      <c r="E55" s="5"/>
      <c r="F55" s="5"/>
      <c r="G55" s="5"/>
    </row>
    <row r="56" spans="1:8" ht="24.6" thickBot="1" x14ac:dyDescent="0.35">
      <c r="A56" s="8" t="s">
        <v>48</v>
      </c>
      <c r="B56" s="5"/>
      <c r="C56" s="5"/>
      <c r="D56" s="5"/>
      <c r="E56" s="5"/>
      <c r="F56" s="5"/>
      <c r="G56" s="5"/>
    </row>
    <row r="57" spans="1:8" ht="27" thickBot="1" x14ac:dyDescent="0.35">
      <c r="A57" s="11"/>
      <c r="B57" s="12" t="s">
        <v>49</v>
      </c>
      <c r="C57" s="12" t="s">
        <v>39</v>
      </c>
      <c r="D57" s="12" t="s">
        <v>40</v>
      </c>
      <c r="E57" s="12" t="s">
        <v>41</v>
      </c>
      <c r="F57" s="12" t="s">
        <v>50</v>
      </c>
      <c r="G57" s="90" t="s">
        <v>51</v>
      </c>
      <c r="H57" s="86" t="s">
        <v>52</v>
      </c>
    </row>
    <row r="58" spans="1:8" ht="15" thickBot="1" x14ac:dyDescent="0.35">
      <c r="A58" s="14" t="s">
        <v>53</v>
      </c>
      <c r="B58" s="420"/>
      <c r="C58" s="421"/>
      <c r="D58" s="421"/>
      <c r="E58" s="421"/>
      <c r="F58" s="421"/>
      <c r="G58" s="421"/>
      <c r="H58" s="87"/>
    </row>
    <row r="59" spans="1:8" ht="25.5" customHeight="1" thickBot="1" x14ac:dyDescent="0.35">
      <c r="A59" s="31" t="s">
        <v>54</v>
      </c>
      <c r="B59" s="32">
        <v>3052</v>
      </c>
      <c r="C59" s="33">
        <v>0</v>
      </c>
      <c r="D59" s="34">
        <f>C50*$B59</f>
        <v>17649.716</v>
      </c>
      <c r="E59" s="34">
        <f>D50*B59</f>
        <v>97073.438000000009</v>
      </c>
      <c r="F59" s="34">
        <f>SUM(C59:E59)</f>
        <v>114723.15400000001</v>
      </c>
      <c r="G59" s="84">
        <f>F50*B59</f>
        <v>4568061.984178585</v>
      </c>
      <c r="H59" s="88"/>
    </row>
    <row r="60" spans="1:8" ht="15.75" customHeight="1" thickBot="1" x14ac:dyDescent="0.35">
      <c r="A60" s="35" t="s">
        <v>44</v>
      </c>
      <c r="B60" s="33">
        <v>43</v>
      </c>
      <c r="C60" s="33">
        <v>0</v>
      </c>
      <c r="D60" s="34">
        <f>C51*$B60</f>
        <v>1989.3520000000001</v>
      </c>
      <c r="E60" s="34">
        <f>D51*$B60</f>
        <v>13925.464</v>
      </c>
      <c r="F60" s="34">
        <f>SUM(C60:E60)</f>
        <v>15914.816000000001</v>
      </c>
      <c r="G60" s="84">
        <f>F51*B60</f>
        <v>622287.11089720554</v>
      </c>
      <c r="H60" s="88"/>
    </row>
    <row r="61" spans="1:8" ht="15" thickBot="1" x14ac:dyDescent="0.35">
      <c r="A61" s="16" t="s">
        <v>55</v>
      </c>
      <c r="B61" s="36">
        <v>3000</v>
      </c>
      <c r="C61" s="17">
        <v>0</v>
      </c>
      <c r="D61" s="34">
        <f>C52*$B61</f>
        <v>1734.9</v>
      </c>
      <c r="E61" s="34">
        <f>D52*$B61</f>
        <v>1734.9</v>
      </c>
      <c r="F61" s="34">
        <f>SUM(C61:E61)</f>
        <v>3469.8</v>
      </c>
      <c r="G61" s="85">
        <f>F52*B61</f>
        <v>168015.77964170999</v>
      </c>
      <c r="H61" s="87">
        <f>(B61*10)*0.33</f>
        <v>9900</v>
      </c>
    </row>
    <row r="62" spans="1:8" ht="27" thickBot="1" x14ac:dyDescent="0.35">
      <c r="A62" s="37" t="s">
        <v>56</v>
      </c>
      <c r="B62" s="38">
        <v>3052</v>
      </c>
      <c r="C62" s="39">
        <v>0</v>
      </c>
      <c r="D62" s="40">
        <f>1526*1.1566</f>
        <v>1764.9716000000001</v>
      </c>
      <c r="E62" s="41">
        <f>1526*1.1566</f>
        <v>1764.9716000000001</v>
      </c>
      <c r="F62" s="42">
        <f>3052*1.1566</f>
        <v>3529.9432000000002</v>
      </c>
      <c r="G62" s="85">
        <f>F53*B62</f>
        <v>170928.05315549963</v>
      </c>
      <c r="H62" s="87">
        <f>(B62*10)*0.33</f>
        <v>10071.6</v>
      </c>
    </row>
    <row r="63" spans="1:8" ht="15" thickBot="1" x14ac:dyDescent="0.35">
      <c r="A63" s="43" t="s">
        <v>57</v>
      </c>
      <c r="B63" s="44"/>
      <c r="C63" s="45"/>
      <c r="D63" s="44">
        <f>SUM(D59:D62)</f>
        <v>23138.939600000002</v>
      </c>
      <c r="E63" s="44">
        <f>SUM(E59:E62)</f>
        <v>114498.7736</v>
      </c>
      <c r="F63" s="46">
        <f>SUM(F59:F62)</f>
        <v>137637.71320000003</v>
      </c>
      <c r="G63" s="84">
        <f>SUM(G59:G62)</f>
        <v>5529292.9278730005</v>
      </c>
      <c r="H63" s="89">
        <f>SUM(H59:H62)</f>
        <v>19971.599999999999</v>
      </c>
    </row>
    <row r="64" spans="1:8" x14ac:dyDescent="0.3">
      <c r="A64" s="5"/>
      <c r="B64" s="5"/>
      <c r="C64" s="5"/>
      <c r="D64" s="5"/>
      <c r="E64" s="5"/>
      <c r="F64" s="5"/>
      <c r="G64" s="5"/>
    </row>
    <row r="65" spans="1:8" ht="15" thickBot="1" x14ac:dyDescent="0.35">
      <c r="A65" s="4" t="s">
        <v>58</v>
      </c>
      <c r="B65" s="5"/>
      <c r="C65" s="5"/>
      <c r="D65" s="5"/>
      <c r="E65" s="5"/>
      <c r="F65" s="5"/>
      <c r="G65" s="5"/>
    </row>
    <row r="66" spans="1:8" ht="27" thickBot="1" x14ac:dyDescent="0.35">
      <c r="A66" s="11"/>
      <c r="B66" s="12" t="s">
        <v>49</v>
      </c>
      <c r="C66" s="12" t="s">
        <v>39</v>
      </c>
      <c r="D66" s="12" t="s">
        <v>40</v>
      </c>
      <c r="E66" s="12" t="s">
        <v>41</v>
      </c>
      <c r="F66" s="12" t="s">
        <v>59</v>
      </c>
      <c r="G66" s="12" t="s">
        <v>51</v>
      </c>
      <c r="H66" s="82" t="s">
        <v>60</v>
      </c>
    </row>
    <row r="67" spans="1:8" ht="15" thickBot="1" x14ac:dyDescent="0.35">
      <c r="A67" s="14" t="s">
        <v>17</v>
      </c>
      <c r="B67" s="17"/>
      <c r="C67" s="15"/>
      <c r="D67" s="15"/>
      <c r="E67" s="15"/>
      <c r="F67" s="15"/>
      <c r="G67" s="15"/>
      <c r="H67" s="83"/>
    </row>
    <row r="68" spans="1:8" ht="15" thickBot="1" x14ac:dyDescent="0.35">
      <c r="A68" s="16" t="s">
        <v>18</v>
      </c>
      <c r="B68" s="17">
        <v>140</v>
      </c>
      <c r="C68" s="17">
        <f>B20*B68</f>
        <v>350</v>
      </c>
      <c r="D68" s="17">
        <f>C20*B68</f>
        <v>1050</v>
      </c>
      <c r="E68" s="17">
        <v>0</v>
      </c>
      <c r="F68" s="36">
        <f>SUM(C68:E68)</f>
        <v>1400</v>
      </c>
      <c r="G68" s="26">
        <f>F20*B68</f>
        <v>66186.627611999997</v>
      </c>
      <c r="H68" s="83"/>
    </row>
    <row r="69" spans="1:8" ht="15" thickBot="1" x14ac:dyDescent="0.35">
      <c r="A69" s="43" t="s">
        <v>61</v>
      </c>
      <c r="B69" s="15"/>
      <c r="C69" s="15"/>
      <c r="D69" s="15"/>
      <c r="E69" s="15"/>
      <c r="F69" s="47">
        <f>F68</f>
        <v>1400</v>
      </c>
      <c r="G69" s="48">
        <f>G68</f>
        <v>66186.627611999997</v>
      </c>
      <c r="H69" s="83"/>
    </row>
    <row r="70" spans="1:8" ht="15" thickBot="1" x14ac:dyDescent="0.35">
      <c r="A70" s="14" t="s">
        <v>19</v>
      </c>
      <c r="B70" s="15"/>
      <c r="C70" s="15"/>
      <c r="D70" s="15"/>
      <c r="E70" s="15"/>
      <c r="F70" s="15"/>
      <c r="G70" s="49"/>
      <c r="H70" s="83"/>
    </row>
    <row r="71" spans="1:8" ht="15" thickBot="1" x14ac:dyDescent="0.35">
      <c r="A71" s="14" t="s">
        <v>20</v>
      </c>
      <c r="B71" s="15"/>
      <c r="C71" s="15"/>
      <c r="D71" s="15"/>
      <c r="E71" s="15"/>
      <c r="F71" s="15"/>
      <c r="G71" s="49"/>
      <c r="H71" s="83"/>
    </row>
    <row r="72" spans="1:8" ht="27" thickBot="1" x14ac:dyDescent="0.35">
      <c r="A72" s="16" t="s">
        <v>21</v>
      </c>
      <c r="B72" s="17">
        <v>140</v>
      </c>
      <c r="C72" s="17">
        <f t="shared" ref="C72:E73" si="0">B24*$B72</f>
        <v>140</v>
      </c>
      <c r="D72" s="17">
        <f t="shared" si="0"/>
        <v>420</v>
      </c>
      <c r="E72" s="17">
        <f t="shared" si="0"/>
        <v>0</v>
      </c>
      <c r="F72" s="36">
        <f>SUM(C72:E72)</f>
        <v>560</v>
      </c>
      <c r="G72" s="26">
        <f>F24*B72</f>
        <v>26474.651044799997</v>
      </c>
      <c r="H72" s="83"/>
    </row>
    <row r="73" spans="1:8" ht="27" thickBot="1" x14ac:dyDescent="0.35">
      <c r="A73" s="16" t="s">
        <v>22</v>
      </c>
      <c r="B73" s="17">
        <f>B68*0.3</f>
        <v>42</v>
      </c>
      <c r="C73" s="17">
        <f t="shared" si="0"/>
        <v>10.5</v>
      </c>
      <c r="D73" s="17">
        <f t="shared" si="0"/>
        <v>42</v>
      </c>
      <c r="E73" s="17">
        <f t="shared" si="0"/>
        <v>21</v>
      </c>
      <c r="F73" s="50">
        <f>SUM(C73:E73)</f>
        <v>73.5</v>
      </c>
      <c r="G73" s="26">
        <f>F25*B73</f>
        <v>2976.95044332</v>
      </c>
      <c r="H73" s="110">
        <f>(B73*10)*0.33</f>
        <v>138.6</v>
      </c>
    </row>
    <row r="74" spans="1:8" ht="15" thickBot="1" x14ac:dyDescent="0.35">
      <c r="A74" s="14" t="s">
        <v>23</v>
      </c>
      <c r="B74" s="15"/>
      <c r="C74" s="17"/>
      <c r="D74" s="17"/>
      <c r="E74" s="17"/>
      <c r="F74" s="17"/>
      <c r="G74" s="49"/>
      <c r="H74" s="110"/>
    </row>
    <row r="75" spans="1:8" ht="40.200000000000003" thickBot="1" x14ac:dyDescent="0.35">
      <c r="A75" s="16" t="s">
        <v>24</v>
      </c>
      <c r="B75" s="17">
        <f>B68*0.7</f>
        <v>98</v>
      </c>
      <c r="C75" s="17">
        <f t="shared" ref="C75:E77" si="1">B27*$B75</f>
        <v>0</v>
      </c>
      <c r="D75" s="17">
        <f t="shared" si="1"/>
        <v>98</v>
      </c>
      <c r="E75" s="17">
        <f t="shared" si="1"/>
        <v>24.5</v>
      </c>
      <c r="F75" s="50">
        <f>SUM(C75:E75)</f>
        <v>122.5</v>
      </c>
      <c r="G75" s="26">
        <f>F27*B75</f>
        <v>4681.7459522400004</v>
      </c>
      <c r="H75" s="110">
        <f>(B75*10)*0.33</f>
        <v>323.40000000000003</v>
      </c>
    </row>
    <row r="76" spans="1:8" ht="27" thickBot="1" x14ac:dyDescent="0.35">
      <c r="A76" s="16" t="s">
        <v>25</v>
      </c>
      <c r="B76" s="79">
        <f>20000*1.1566</f>
        <v>23132</v>
      </c>
      <c r="C76" s="79">
        <f t="shared" si="1"/>
        <v>5783</v>
      </c>
      <c r="D76" s="79">
        <f t="shared" si="1"/>
        <v>11566</v>
      </c>
      <c r="E76" s="79">
        <f t="shared" si="1"/>
        <v>5783</v>
      </c>
      <c r="F76" s="79">
        <f>SUM(C76:E76)</f>
        <v>23132</v>
      </c>
      <c r="G76" s="51">
        <f>F28*B76</f>
        <v>1009984.20844632</v>
      </c>
      <c r="H76" s="110">
        <f>(B76*10)*0.33</f>
        <v>76335.600000000006</v>
      </c>
    </row>
    <row r="77" spans="1:8" ht="27" thickBot="1" x14ac:dyDescent="0.35">
      <c r="A77" s="16" t="s">
        <v>26</v>
      </c>
      <c r="B77" s="79">
        <f>20000*1.1566</f>
        <v>23132</v>
      </c>
      <c r="C77" s="79">
        <f t="shared" si="1"/>
        <v>5783</v>
      </c>
      <c r="D77" s="79">
        <f t="shared" si="1"/>
        <v>11566</v>
      </c>
      <c r="E77" s="79">
        <f t="shared" si="1"/>
        <v>5783</v>
      </c>
      <c r="F77" s="79">
        <f>SUM(C77:E77)</f>
        <v>23132</v>
      </c>
      <c r="G77" s="51">
        <f>F29*B77</f>
        <v>1009984.20844632</v>
      </c>
      <c r="H77" s="110">
        <f>(B77*10)*0.33</f>
        <v>76335.600000000006</v>
      </c>
    </row>
    <row r="78" spans="1:8" ht="15" thickBot="1" x14ac:dyDescent="0.35">
      <c r="A78" s="14" t="s">
        <v>27</v>
      </c>
      <c r="B78" s="80"/>
      <c r="C78" s="80"/>
      <c r="D78" s="80"/>
      <c r="E78" s="80"/>
      <c r="F78" s="81"/>
      <c r="G78" s="52"/>
      <c r="H78" s="110"/>
    </row>
    <row r="79" spans="1:8" ht="27" thickBot="1" x14ac:dyDescent="0.35">
      <c r="A79" s="16" t="s">
        <v>28</v>
      </c>
      <c r="B79" s="79">
        <f>4000*1.1566</f>
        <v>4626.4000000000005</v>
      </c>
      <c r="C79" s="79">
        <f>B31*$B79</f>
        <v>1156.6000000000001</v>
      </c>
      <c r="D79" s="79">
        <f>C31*$B79</f>
        <v>2313.2000000000003</v>
      </c>
      <c r="E79" s="79">
        <f>D31*$B79</f>
        <v>1156.6000000000001</v>
      </c>
      <c r="F79" s="79">
        <f>SUM(C79:E79)</f>
        <v>4626.4000000000005</v>
      </c>
      <c r="G79" s="51">
        <f>F31*B79</f>
        <v>201996.84168926405</v>
      </c>
      <c r="H79" s="110">
        <f>(B79*10)*0.33</f>
        <v>15267.120000000003</v>
      </c>
    </row>
    <row r="80" spans="1:8" ht="15" thickBot="1" x14ac:dyDescent="0.35">
      <c r="A80" s="43" t="s">
        <v>61</v>
      </c>
      <c r="B80" s="15"/>
      <c r="C80" s="15"/>
      <c r="D80" s="15"/>
      <c r="E80" s="15"/>
      <c r="F80" s="47">
        <f>SUM(F72:F79)</f>
        <v>51646.400000000001</v>
      </c>
      <c r="G80" s="48">
        <f>SUM(G72:G79)</f>
        <v>2256098.6060222639</v>
      </c>
      <c r="H80" s="113">
        <f>SUM(H72:H79)</f>
        <v>168400.32</v>
      </c>
    </row>
    <row r="81" spans="1:9" ht="15" thickBot="1" x14ac:dyDescent="0.35">
      <c r="A81" s="14" t="s">
        <v>29</v>
      </c>
      <c r="B81" s="15"/>
      <c r="C81" s="15"/>
      <c r="D81" s="15"/>
      <c r="E81" s="15"/>
      <c r="F81" s="15"/>
      <c r="G81" s="15"/>
      <c r="H81" s="83"/>
    </row>
    <row r="82" spans="1:9" ht="15" thickBot="1" x14ac:dyDescent="0.35">
      <c r="A82" s="14" t="s">
        <v>30</v>
      </c>
      <c r="B82" s="15"/>
      <c r="C82" s="15"/>
      <c r="D82" s="15"/>
      <c r="E82" s="15"/>
      <c r="F82" s="15"/>
      <c r="G82" s="15"/>
      <c r="H82" s="83"/>
    </row>
    <row r="83" spans="1:9" ht="27" thickBot="1" x14ac:dyDescent="0.35">
      <c r="A83" s="16" t="s">
        <v>31</v>
      </c>
      <c r="B83" s="15"/>
      <c r="C83" s="15"/>
      <c r="D83" s="15"/>
      <c r="E83" s="15"/>
      <c r="F83" s="15"/>
      <c r="G83" s="15"/>
      <c r="H83" s="83"/>
    </row>
    <row r="84" spans="1:9" ht="15" thickBot="1" x14ac:dyDescent="0.35">
      <c r="A84" s="21" t="s">
        <v>32</v>
      </c>
      <c r="B84" s="17"/>
      <c r="C84" s="17"/>
      <c r="D84" s="17"/>
      <c r="E84" s="17"/>
      <c r="F84" s="17"/>
      <c r="G84" s="17"/>
      <c r="H84" s="83"/>
    </row>
    <row r="85" spans="1:9" ht="15" thickBot="1" x14ac:dyDescent="0.35">
      <c r="A85" s="22" t="s">
        <v>33</v>
      </c>
      <c r="B85" s="36">
        <f>107400*1.1566</f>
        <v>124218.84000000001</v>
      </c>
      <c r="C85" s="36">
        <f t="shared" ref="C85:E87" si="2">B37*$B85</f>
        <v>496875.36000000004</v>
      </c>
      <c r="D85" s="36">
        <f t="shared" si="2"/>
        <v>1273243.1100000001</v>
      </c>
      <c r="E85" s="36">
        <f t="shared" si="2"/>
        <v>0</v>
      </c>
      <c r="F85" s="36">
        <f>SUM(C85:E85)</f>
        <v>1770118.4700000002</v>
      </c>
      <c r="G85" s="26">
        <f>F37*B85</f>
        <v>85024861.359592542</v>
      </c>
      <c r="H85" s="110">
        <f>(B85*10)*0.33</f>
        <v>409922.17200000008</v>
      </c>
    </row>
    <row r="86" spans="1:9" ht="15" thickBot="1" x14ac:dyDescent="0.35">
      <c r="A86" s="22" t="s">
        <v>34</v>
      </c>
      <c r="B86" s="36">
        <f>9000*1.1566</f>
        <v>10409.400000000001</v>
      </c>
      <c r="C86" s="36">
        <f t="shared" si="2"/>
        <v>41637.600000000006</v>
      </c>
      <c r="D86" s="36">
        <f t="shared" si="2"/>
        <v>793716.75000000012</v>
      </c>
      <c r="E86" s="36">
        <f t="shared" si="2"/>
        <v>0</v>
      </c>
      <c r="F86" s="36">
        <f>SUM(C86:E86)</f>
        <v>835354.35000000009</v>
      </c>
      <c r="G86" s="26">
        <f>F38*B86</f>
        <v>35368289.411213309</v>
      </c>
      <c r="H86" s="110">
        <f>(B86*10)*0.33</f>
        <v>34351.020000000004</v>
      </c>
    </row>
    <row r="87" spans="1:9" ht="15" thickBot="1" x14ac:dyDescent="0.35">
      <c r="A87" s="22" t="s">
        <v>35</v>
      </c>
      <c r="B87" s="36">
        <f>3600*1.1566</f>
        <v>4163.76</v>
      </c>
      <c r="C87" s="36">
        <f t="shared" si="2"/>
        <v>33310.080000000002</v>
      </c>
      <c r="D87" s="36">
        <f t="shared" si="2"/>
        <v>467382.06</v>
      </c>
      <c r="E87" s="36">
        <f t="shared" si="2"/>
        <v>0</v>
      </c>
      <c r="F87" s="36">
        <f>SUM(C87:E87)</f>
        <v>500692.14</v>
      </c>
      <c r="G87" s="26">
        <f>F39*B87</f>
        <v>21404977.793078143</v>
      </c>
      <c r="H87" s="110">
        <f>(B87*10)*0.33</f>
        <v>13740.408000000003</v>
      </c>
    </row>
    <row r="88" spans="1:9" ht="15" thickBot="1" x14ac:dyDescent="0.35">
      <c r="A88" s="21" t="s">
        <v>36</v>
      </c>
      <c r="B88" s="17"/>
      <c r="C88" s="17"/>
      <c r="D88" s="17"/>
      <c r="E88" s="17"/>
      <c r="F88" s="17"/>
      <c r="G88" s="17"/>
      <c r="H88" s="111"/>
    </row>
    <row r="89" spans="1:9" ht="15" thickBot="1" x14ac:dyDescent="0.35">
      <c r="A89" s="22" t="s">
        <v>37</v>
      </c>
      <c r="B89" s="36">
        <f>270000*1.1566</f>
        <v>312282</v>
      </c>
      <c r="C89" s="36">
        <f t="shared" ref="C89:E91" si="3">B41*$B89</f>
        <v>624564</v>
      </c>
      <c r="D89" s="36">
        <f t="shared" si="3"/>
        <v>2576326.5</v>
      </c>
      <c r="E89" s="36">
        <f t="shared" si="3"/>
        <v>0</v>
      </c>
      <c r="F89" s="36">
        <f>SUM(C89:E89)</f>
        <v>3200890.5</v>
      </c>
      <c r="G89" s="26">
        <f>F41*B89</f>
        <v>146993151.05679238</v>
      </c>
      <c r="H89" s="110">
        <f>(B89*10)*0.33</f>
        <v>1030530.6000000001</v>
      </c>
    </row>
    <row r="90" spans="1:9" ht="15" thickBot="1" x14ac:dyDescent="0.35">
      <c r="A90" s="22" t="s">
        <v>34</v>
      </c>
      <c r="B90" s="36">
        <f>6000*1.1566</f>
        <v>6939.6</v>
      </c>
      <c r="C90" s="36">
        <f t="shared" si="3"/>
        <v>27758.400000000001</v>
      </c>
      <c r="D90" s="36">
        <f t="shared" si="3"/>
        <v>251560.5</v>
      </c>
      <c r="E90" s="36">
        <f t="shared" si="3"/>
        <v>0</v>
      </c>
      <c r="F90" s="36">
        <f>SUM(C90:E90)</f>
        <v>279318.90000000002</v>
      </c>
      <c r="G90" s="26">
        <f>F42*B90</f>
        <v>12167424.848233296</v>
      </c>
      <c r="H90" s="110">
        <f>(B90*10)*0.33</f>
        <v>22900.68</v>
      </c>
    </row>
    <row r="91" spans="1:9" ht="15" thickBot="1" x14ac:dyDescent="0.35">
      <c r="A91" s="22" t="s">
        <v>35</v>
      </c>
      <c r="B91" s="36">
        <f>4000*1.1566</f>
        <v>4626.4000000000005</v>
      </c>
      <c r="C91" s="36">
        <f t="shared" si="3"/>
        <v>27758.400000000001</v>
      </c>
      <c r="D91" s="36">
        <f t="shared" si="3"/>
        <v>158454.20000000001</v>
      </c>
      <c r="E91" s="36">
        <f t="shared" si="3"/>
        <v>0</v>
      </c>
      <c r="F91" s="36">
        <f>SUM(C91:E91)</f>
        <v>186212.6</v>
      </c>
      <c r="G91" s="106">
        <f>F43*B91</f>
        <v>1825812.0976700161</v>
      </c>
      <c r="H91" s="110">
        <f>(B91*10)*0.33</f>
        <v>15267.120000000003</v>
      </c>
    </row>
    <row r="92" spans="1:9" ht="15" thickBot="1" x14ac:dyDescent="0.35">
      <c r="A92" s="43" t="s">
        <v>61</v>
      </c>
      <c r="B92" s="36">
        <f>SUM(B85:B91)</f>
        <v>462640</v>
      </c>
      <c r="C92" s="36">
        <f>SUM(C85:C91)</f>
        <v>1251903.8399999999</v>
      </c>
      <c r="D92" s="36">
        <f>SUM(D85:D91)</f>
        <v>5520683.1200000001</v>
      </c>
      <c r="E92" s="17"/>
      <c r="F92" s="53">
        <f>SUM(F85:F91)</f>
        <v>6772586.9600000009</v>
      </c>
      <c r="G92" s="54">
        <f>SUM(G85:G91)</f>
        <v>302784516.5665797</v>
      </c>
      <c r="H92" s="112">
        <f>SUM(H85:H91)</f>
        <v>1526712.0000000002</v>
      </c>
    </row>
    <row r="93" spans="1:9" ht="15" thickBot="1" x14ac:dyDescent="0.35">
      <c r="A93" s="55" t="s">
        <v>62</v>
      </c>
      <c r="B93" s="17"/>
      <c r="C93" s="17"/>
      <c r="D93" s="17"/>
      <c r="E93" s="17"/>
      <c r="F93" s="53">
        <f>F69+F80+F92</f>
        <v>6825633.3600000013</v>
      </c>
      <c r="G93" s="54">
        <f>G80+G92</f>
        <v>305040615.17260194</v>
      </c>
      <c r="H93" s="106">
        <f>H80+H92</f>
        <v>1695112.3200000003</v>
      </c>
      <c r="I93" s="100" t="s">
        <v>87</v>
      </c>
    </row>
    <row r="94" spans="1:9" x14ac:dyDescent="0.3">
      <c r="A94" s="5"/>
      <c r="B94" s="5"/>
      <c r="C94" s="5"/>
      <c r="D94" s="5"/>
      <c r="E94" s="5"/>
      <c r="F94" s="5"/>
      <c r="G94" s="5"/>
    </row>
    <row r="95" spans="1:9" x14ac:dyDescent="0.3">
      <c r="A95" s="5"/>
      <c r="B95" s="5"/>
      <c r="C95" s="5"/>
      <c r="D95" s="5"/>
      <c r="E95" s="5"/>
      <c r="F95" s="5"/>
      <c r="G95" s="5"/>
    </row>
    <row r="96" spans="1:9" ht="15" thickBot="1" x14ac:dyDescent="0.35">
      <c r="A96" s="5" t="s">
        <v>63</v>
      </c>
      <c r="B96" s="5"/>
      <c r="C96" s="5"/>
      <c r="D96" s="5"/>
      <c r="E96" s="5"/>
      <c r="F96" s="5"/>
      <c r="G96" s="5"/>
    </row>
    <row r="97" spans="1:8" ht="15" thickBot="1" x14ac:dyDescent="0.35">
      <c r="A97" s="56"/>
      <c r="B97" s="56" t="s">
        <v>59</v>
      </c>
      <c r="C97" s="56" t="s">
        <v>64</v>
      </c>
      <c r="D97" s="56" t="s">
        <v>65</v>
      </c>
      <c r="E97" s="56" t="s">
        <v>66</v>
      </c>
      <c r="F97" s="57" t="s">
        <v>67</v>
      </c>
      <c r="G97" s="5"/>
    </row>
    <row r="98" spans="1:8" ht="15" thickBot="1" x14ac:dyDescent="0.35">
      <c r="A98" s="56" t="s">
        <v>68</v>
      </c>
      <c r="B98" s="117">
        <f>F93</f>
        <v>6825633.3600000013</v>
      </c>
      <c r="C98" s="59">
        <f>G93</f>
        <v>305040615.17260194</v>
      </c>
      <c r="D98" s="59">
        <v>0</v>
      </c>
      <c r="E98" s="125">
        <f>H93</f>
        <v>1695112.3200000003</v>
      </c>
      <c r="F98" s="60">
        <f>SUM(C98:E98)</f>
        <v>306735727.49260193</v>
      </c>
      <c r="G98" s="5"/>
      <c r="H98" s="100" t="s">
        <v>86</v>
      </c>
    </row>
    <row r="99" spans="1:8" ht="15" thickBot="1" x14ac:dyDescent="0.35">
      <c r="A99" s="56" t="s">
        <v>69</v>
      </c>
      <c r="B99" s="58">
        <f>B98*3</f>
        <v>20476900.080000006</v>
      </c>
      <c r="C99" s="59">
        <f>C98*3</f>
        <v>915121845.51780581</v>
      </c>
      <c r="D99" s="59">
        <v>0</v>
      </c>
      <c r="E99" s="59">
        <f>E98*3</f>
        <v>5085336.9600000009</v>
      </c>
      <c r="F99" s="60">
        <f>SUM(C99:E99)</f>
        <v>920207182.47780585</v>
      </c>
      <c r="G99" s="5"/>
    </row>
    <row r="100" spans="1:8" x14ac:dyDescent="0.3">
      <c r="A100" s="5"/>
      <c r="B100" s="5"/>
      <c r="C100" s="5"/>
      <c r="D100" s="5"/>
      <c r="E100" s="5"/>
      <c r="F100" s="5"/>
      <c r="G100" s="5"/>
    </row>
    <row r="101" spans="1:8" x14ac:dyDescent="0.3">
      <c r="A101" s="5" t="s">
        <v>70</v>
      </c>
      <c r="B101" s="5" t="s">
        <v>71</v>
      </c>
      <c r="C101" s="5" t="s">
        <v>72</v>
      </c>
      <c r="D101" s="5"/>
      <c r="E101" s="5"/>
      <c r="F101" s="5"/>
      <c r="G101" s="5"/>
    </row>
    <row r="102" spans="1:8" x14ac:dyDescent="0.3">
      <c r="A102" s="5" t="s">
        <v>73</v>
      </c>
      <c r="B102" s="5"/>
      <c r="C102" s="5"/>
      <c r="D102" s="5"/>
      <c r="E102" s="5"/>
      <c r="F102" s="5"/>
      <c r="G102" s="5"/>
    </row>
    <row r="103" spans="1:8" x14ac:dyDescent="0.3">
      <c r="A103" s="5"/>
      <c r="B103" s="5"/>
      <c r="C103" s="5"/>
      <c r="D103" s="5"/>
      <c r="E103" s="5"/>
      <c r="F103" s="5"/>
      <c r="G103" s="5"/>
    </row>
    <row r="104" spans="1:8" ht="15" thickBot="1" x14ac:dyDescent="0.35">
      <c r="A104" s="5" t="s">
        <v>74</v>
      </c>
      <c r="B104" s="5"/>
      <c r="C104" s="5"/>
      <c r="D104" s="5"/>
      <c r="E104" s="5"/>
      <c r="F104" s="5"/>
      <c r="G104" s="5"/>
    </row>
    <row r="105" spans="1:8" ht="15" thickBot="1" x14ac:dyDescent="0.35">
      <c r="A105" s="61"/>
      <c r="B105" s="61" t="s">
        <v>15</v>
      </c>
      <c r="C105" s="61" t="s">
        <v>64</v>
      </c>
      <c r="D105" s="61" t="s">
        <v>65</v>
      </c>
      <c r="E105" s="61" t="s">
        <v>66</v>
      </c>
      <c r="F105" s="61" t="s">
        <v>67</v>
      </c>
      <c r="G105" s="5"/>
    </row>
    <row r="106" spans="1:8" ht="15" thickBot="1" x14ac:dyDescent="0.35">
      <c r="A106" s="62" t="s">
        <v>68</v>
      </c>
      <c r="B106" s="63">
        <f>F63</f>
        <v>137637.71320000003</v>
      </c>
      <c r="C106" s="64">
        <f>G63</f>
        <v>5529292.9278730005</v>
      </c>
      <c r="D106" s="65">
        <v>0</v>
      </c>
      <c r="E106" s="65">
        <f>H63</f>
        <v>19971.599999999999</v>
      </c>
      <c r="F106" s="66">
        <f>SUM(C106:E106)</f>
        <v>5549264.5278730001</v>
      </c>
      <c r="G106" s="5"/>
    </row>
    <row r="107" spans="1:8" ht="15" thickBot="1" x14ac:dyDescent="0.35">
      <c r="A107" s="62" t="s">
        <v>69</v>
      </c>
      <c r="B107" s="63">
        <f>B106*3</f>
        <v>412913.13960000011</v>
      </c>
      <c r="C107" s="65">
        <f>C106*3</f>
        <v>16587878.783619002</v>
      </c>
      <c r="D107" s="65">
        <v>0</v>
      </c>
      <c r="E107" s="65">
        <f>E106*3</f>
        <v>59914.799999999996</v>
      </c>
      <c r="F107" s="66">
        <f>SUM(C107:E107)</f>
        <v>16647793.583619002</v>
      </c>
      <c r="G107" s="5"/>
    </row>
    <row r="108" spans="1:8" x14ac:dyDescent="0.3">
      <c r="A108" s="5"/>
      <c r="B108" s="5"/>
      <c r="C108" s="5"/>
      <c r="D108" s="5"/>
      <c r="E108" s="5"/>
      <c r="F108" s="5"/>
      <c r="G108" s="5"/>
    </row>
    <row r="109" spans="1:8" ht="15" thickBot="1" x14ac:dyDescent="0.35">
      <c r="A109" s="5" t="s">
        <v>75</v>
      </c>
      <c r="B109" s="5"/>
      <c r="C109" s="5"/>
      <c r="D109" s="5"/>
      <c r="E109" s="5"/>
      <c r="F109" s="5"/>
      <c r="G109" s="5"/>
    </row>
    <row r="110" spans="1:8" ht="31.8" thickBot="1" x14ac:dyDescent="0.35">
      <c r="A110" s="67"/>
      <c r="B110" s="68" t="s">
        <v>76</v>
      </c>
      <c r="C110" s="68" t="s">
        <v>64</v>
      </c>
      <c r="D110" s="68" t="s">
        <v>65</v>
      </c>
      <c r="E110" s="68" t="s">
        <v>66</v>
      </c>
      <c r="F110" s="68" t="s">
        <v>67</v>
      </c>
      <c r="G110" s="5"/>
    </row>
    <row r="111" spans="1:8" ht="16.2" thickBot="1" x14ac:dyDescent="0.35">
      <c r="A111" s="67" t="s">
        <v>77</v>
      </c>
      <c r="B111" s="69">
        <f>B98</f>
        <v>6825633.3600000013</v>
      </c>
      <c r="C111" s="70">
        <f>C98</f>
        <v>305040615.17260194</v>
      </c>
      <c r="D111" s="71">
        <v>0</v>
      </c>
      <c r="E111" s="71">
        <f>E98</f>
        <v>1695112.3200000003</v>
      </c>
      <c r="F111" s="71">
        <f>SUM(C111:E111)</f>
        <v>306735727.49260193</v>
      </c>
      <c r="G111" s="5" t="s">
        <v>78</v>
      </c>
    </row>
    <row r="112" spans="1:8" ht="16.2" thickBot="1" x14ac:dyDescent="0.35">
      <c r="A112" s="72" t="s">
        <v>8</v>
      </c>
      <c r="B112" s="73">
        <f>B106</f>
        <v>137637.71320000003</v>
      </c>
      <c r="C112" s="71">
        <f>C106</f>
        <v>5529292.9278730005</v>
      </c>
      <c r="D112" s="71">
        <v>0</v>
      </c>
      <c r="E112" s="71">
        <f>E106</f>
        <v>19971.599999999999</v>
      </c>
      <c r="F112" s="71">
        <f>SUM(C112:E112)</f>
        <v>5549264.5278730001</v>
      </c>
      <c r="G112" s="5"/>
    </row>
    <row r="113" spans="1:7" ht="16.2" thickBot="1" x14ac:dyDescent="0.35">
      <c r="A113" s="74" t="s">
        <v>47</v>
      </c>
      <c r="B113" s="75">
        <f>SUM(B111:B112)</f>
        <v>6963271.0732000014</v>
      </c>
      <c r="C113" s="76">
        <f>SUM(C111:C112)</f>
        <v>310569908.10047495</v>
      </c>
      <c r="D113" s="76">
        <v>0</v>
      </c>
      <c r="E113" s="76">
        <f>SUM(E111:E112)</f>
        <v>1715083.9200000004</v>
      </c>
      <c r="F113" s="76">
        <f>SUM(F111:F112)</f>
        <v>312284992.02047491</v>
      </c>
      <c r="G113" s="5"/>
    </row>
    <row r="114" spans="1:7" ht="16.2" thickBot="1" x14ac:dyDescent="0.35">
      <c r="A114" s="67" t="s">
        <v>69</v>
      </c>
      <c r="B114" s="77">
        <f>B113*3</f>
        <v>20889813.219600003</v>
      </c>
      <c r="C114" s="78">
        <f>C113*3</f>
        <v>931709724.30142486</v>
      </c>
      <c r="D114" s="78">
        <f>D113*3</f>
        <v>0</v>
      </c>
      <c r="E114" s="78">
        <f>E113*3</f>
        <v>5145251.7600000016</v>
      </c>
      <c r="F114" s="78">
        <f>F113*3</f>
        <v>936854976.06142473</v>
      </c>
      <c r="G114" s="5"/>
    </row>
    <row r="115" spans="1:7" ht="15" thickBot="1" x14ac:dyDescent="0.35">
      <c r="G115" s="9"/>
    </row>
    <row r="116" spans="1:7" x14ac:dyDescent="0.3">
      <c r="A116">
        <v>38875155</v>
      </c>
      <c r="B116">
        <f>A116*3</f>
        <v>116625465</v>
      </c>
      <c r="G116" s="5"/>
    </row>
  </sheetData>
  <mergeCells count="1">
    <mergeCell ref="B58:G58"/>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0B62-5B69-43D1-9E81-FFE21948103A}">
  <sheetPr>
    <pageSetUpPr fitToPage="1"/>
  </sheetPr>
  <dimension ref="A1:N116"/>
  <sheetViews>
    <sheetView tabSelected="1" topLeftCell="A52" zoomScale="115" zoomScaleNormal="115" workbookViewId="0">
      <selection activeCell="I80" sqref="I80"/>
    </sheetView>
  </sheetViews>
  <sheetFormatPr defaultRowHeight="14.4" x14ac:dyDescent="0.3"/>
  <cols>
    <col min="1" max="1" width="33.44140625" customWidth="1"/>
    <col min="2" max="2" width="18.77734375" customWidth="1"/>
    <col min="3" max="3" width="17.44140625" customWidth="1"/>
    <col min="4" max="4" width="12.5546875" customWidth="1"/>
    <col min="5" max="5" width="18" customWidth="1"/>
    <col min="6" max="6" width="20" customWidth="1"/>
    <col min="7" max="7" width="19.21875" customWidth="1"/>
    <col min="8" max="8" width="15.21875" customWidth="1"/>
    <col min="10" max="10" width="15.5546875" customWidth="1"/>
    <col min="11" max="11" width="13.77734375" bestFit="1" customWidth="1"/>
    <col min="13" max="13" width="13.109375" bestFit="1" customWidth="1"/>
    <col min="14" max="14" width="16.109375" bestFit="1" customWidth="1"/>
  </cols>
  <sheetData>
    <row r="1" spans="1:6" x14ac:dyDescent="0.3">
      <c r="A1" s="2" t="s">
        <v>0</v>
      </c>
      <c r="C1" s="3" t="s">
        <v>1</v>
      </c>
      <c r="E1" s="2" t="s">
        <v>2</v>
      </c>
      <c r="F1" s="2" t="s">
        <v>3</v>
      </c>
    </row>
    <row r="2" spans="1:6" x14ac:dyDescent="0.3">
      <c r="A2" t="s">
        <v>4</v>
      </c>
      <c r="B2" s="1">
        <v>70.099999999999994</v>
      </c>
      <c r="C2" s="1">
        <v>62.73</v>
      </c>
      <c r="D2" s="1"/>
      <c r="E2" s="1">
        <f>(B2*1.028)*1.02</f>
        <v>73.504055999999991</v>
      </c>
      <c r="F2" s="1">
        <f>(E2*0.3) +(E7*0.7)</f>
        <v>65.775120239999993</v>
      </c>
    </row>
    <row r="3" spans="1:6" x14ac:dyDescent="0.3">
      <c r="A3" t="s">
        <v>5</v>
      </c>
      <c r="B3" s="1">
        <v>55.39</v>
      </c>
      <c r="C3" s="1">
        <v>39.1</v>
      </c>
      <c r="D3" s="1"/>
      <c r="E3" s="1">
        <f>(B3*1.028)*1.02</f>
        <v>58.079738399999997</v>
      </c>
      <c r="F3" s="1">
        <f>(E3*0.3) +(E8*0.7)</f>
        <v>41.109843359999999</v>
      </c>
    </row>
    <row r="4" spans="1:6" x14ac:dyDescent="0.3">
      <c r="A4" t="s">
        <v>6</v>
      </c>
      <c r="B4" s="1">
        <v>26.02</v>
      </c>
      <c r="C4" s="1">
        <v>25.21</v>
      </c>
      <c r="D4" s="1"/>
      <c r="E4" s="1">
        <f>(B4*1.028)*1.02</f>
        <v>27.283531200000002</v>
      </c>
      <c r="F4" s="1">
        <f>(E4*0.3) +(E9*0.7)</f>
        <v>26.652298080000001</v>
      </c>
    </row>
    <row r="5" spans="1:6" x14ac:dyDescent="0.3">
      <c r="B5" s="1"/>
      <c r="C5" s="1"/>
      <c r="D5" s="1"/>
      <c r="E5" s="1"/>
    </row>
    <row r="6" spans="1:6" x14ac:dyDescent="0.3">
      <c r="A6" s="2" t="s">
        <v>7</v>
      </c>
      <c r="B6" s="1"/>
      <c r="C6" s="1"/>
      <c r="D6" s="1"/>
      <c r="E6" s="1"/>
    </row>
    <row r="7" spans="1:6" x14ac:dyDescent="0.3">
      <c r="A7" t="s">
        <v>4</v>
      </c>
      <c r="B7" s="1">
        <v>59.57</v>
      </c>
      <c r="C7" s="1"/>
      <c r="D7" s="1"/>
      <c r="E7" s="1">
        <f>(B7*1.028)*1.02</f>
        <v>62.462719200000002</v>
      </c>
      <c r="F7" s="1"/>
    </row>
    <row r="8" spans="1:6" x14ac:dyDescent="0.3">
      <c r="A8" t="s">
        <v>5</v>
      </c>
      <c r="B8" s="1">
        <v>32.270000000000003</v>
      </c>
      <c r="C8" s="1"/>
      <c r="D8" s="1"/>
      <c r="E8" s="1">
        <f>(B8*1.028)*1.02</f>
        <v>33.837031200000006</v>
      </c>
    </row>
    <row r="9" spans="1:6" x14ac:dyDescent="0.3">
      <c r="A9" t="s">
        <v>6</v>
      </c>
      <c r="B9" s="1">
        <v>25.16</v>
      </c>
      <c r="C9" s="1"/>
      <c r="D9" s="1"/>
      <c r="E9" s="1">
        <f>(B9*1.028)*1.02</f>
        <v>26.381769600000002</v>
      </c>
    </row>
    <row r="11" spans="1:6" x14ac:dyDescent="0.3">
      <c r="A11" t="s">
        <v>8</v>
      </c>
    </row>
    <row r="12" spans="1:6" x14ac:dyDescent="0.3">
      <c r="A12" t="s">
        <v>4</v>
      </c>
      <c r="B12" s="1">
        <v>59.33</v>
      </c>
      <c r="E12" s="1">
        <f>(B12*1.03)*1.023</f>
        <v>62.515427699999996</v>
      </c>
    </row>
    <row r="13" spans="1:6" x14ac:dyDescent="0.3">
      <c r="A13" t="s">
        <v>5</v>
      </c>
      <c r="B13" s="1">
        <v>57.75</v>
      </c>
      <c r="E13" s="1">
        <f>(B13*1.03)*1.023</f>
        <v>60.850597499999999</v>
      </c>
    </row>
    <row r="14" spans="1:6" x14ac:dyDescent="0.3">
      <c r="A14" t="s">
        <v>6</v>
      </c>
      <c r="B14" s="1">
        <v>34.159999999999997</v>
      </c>
      <c r="D14" s="10"/>
      <c r="E14" s="1">
        <f>(B14*1.03)*1.023</f>
        <v>35.994050399999992</v>
      </c>
    </row>
    <row r="15" spans="1:6" x14ac:dyDescent="0.3">
      <c r="A15" t="s">
        <v>9</v>
      </c>
      <c r="B15" s="1"/>
      <c r="D15" s="10"/>
      <c r="E15" s="1"/>
    </row>
    <row r="16" spans="1:6" x14ac:dyDescent="0.3">
      <c r="B16" s="1"/>
    </row>
    <row r="17" spans="1:7" ht="15" thickBot="1" x14ac:dyDescent="0.35">
      <c r="A17" s="4" t="s">
        <v>10</v>
      </c>
      <c r="B17" s="5"/>
      <c r="C17" s="5"/>
      <c r="D17" s="5"/>
      <c r="E17" s="5"/>
      <c r="F17" s="5"/>
      <c r="G17" s="5"/>
    </row>
    <row r="18" spans="1:7" ht="21.75" customHeight="1" thickBot="1" x14ac:dyDescent="0.35">
      <c r="A18" s="11" t="s">
        <v>11</v>
      </c>
      <c r="B18" s="12" t="s">
        <v>12</v>
      </c>
      <c r="C18" s="12" t="s">
        <v>13</v>
      </c>
      <c r="D18" s="12" t="s">
        <v>14</v>
      </c>
      <c r="E18" s="13" t="s">
        <v>15</v>
      </c>
      <c r="F18" s="13" t="s">
        <v>16</v>
      </c>
      <c r="G18" s="5"/>
    </row>
    <row r="19" spans="1:7" ht="18.75" customHeight="1" thickBot="1" x14ac:dyDescent="0.35">
      <c r="A19" s="91" t="s">
        <v>17</v>
      </c>
      <c r="B19" s="15"/>
      <c r="C19" s="15"/>
      <c r="D19" s="15"/>
      <c r="E19" s="15"/>
      <c r="F19" s="15"/>
      <c r="G19" s="5"/>
    </row>
    <row r="20" spans="1:7" ht="18" customHeight="1" thickBot="1" x14ac:dyDescent="0.35">
      <c r="A20" s="92" t="s">
        <v>18</v>
      </c>
      <c r="B20" s="93">
        <v>2.5</v>
      </c>
      <c r="C20" s="93">
        <v>7.5</v>
      </c>
      <c r="D20" s="17">
        <v>0</v>
      </c>
      <c r="E20" s="93">
        <v>10</v>
      </c>
      <c r="F20" s="94">
        <f>$B20*$F$2+ $C20*$F$3+$D20*$F$4</f>
        <v>472.76162579999993</v>
      </c>
      <c r="G20" s="95"/>
    </row>
    <row r="21" spans="1:7" ht="16.5" customHeight="1" thickBot="1" x14ac:dyDescent="0.35">
      <c r="A21" s="16"/>
      <c r="B21" s="15"/>
      <c r="C21" s="15"/>
      <c r="D21" s="15"/>
      <c r="E21" s="15"/>
      <c r="F21" s="15"/>
      <c r="G21" s="5"/>
    </row>
    <row r="22" spans="1:7" ht="19.5" customHeight="1" thickBot="1" x14ac:dyDescent="0.35">
      <c r="A22" s="14" t="s">
        <v>19</v>
      </c>
      <c r="B22" s="15"/>
      <c r="C22" s="15"/>
      <c r="D22" s="15"/>
      <c r="E22" s="15"/>
      <c r="F22" s="15"/>
      <c r="G22" s="5"/>
    </row>
    <row r="23" spans="1:7" ht="15" thickBot="1" x14ac:dyDescent="0.35">
      <c r="A23" s="14" t="s">
        <v>20</v>
      </c>
      <c r="B23" s="15"/>
      <c r="C23" s="15"/>
      <c r="D23" s="15"/>
      <c r="E23" s="15"/>
      <c r="F23" s="15"/>
      <c r="G23" s="5"/>
    </row>
    <row r="24" spans="1:7" ht="30" customHeight="1" thickBot="1" x14ac:dyDescent="0.35">
      <c r="A24" s="16" t="s">
        <v>21</v>
      </c>
      <c r="B24" s="17">
        <v>1</v>
      </c>
      <c r="C24" s="17">
        <v>3</v>
      </c>
      <c r="D24" s="17">
        <v>0</v>
      </c>
      <c r="E24" s="17">
        <v>4</v>
      </c>
      <c r="F24" s="18">
        <f>$B24*$F$2+ $C24*$F$3+$D24*$F$4</f>
        <v>189.10465031999999</v>
      </c>
      <c r="G24" s="5"/>
    </row>
    <row r="25" spans="1:7" ht="27" thickBot="1" x14ac:dyDescent="0.35">
      <c r="A25" s="16" t="s">
        <v>22</v>
      </c>
      <c r="B25" s="17">
        <v>0.25</v>
      </c>
      <c r="C25" s="17">
        <v>1</v>
      </c>
      <c r="D25" s="17">
        <v>0.5</v>
      </c>
      <c r="E25" s="17">
        <v>1.75</v>
      </c>
      <c r="F25" s="18">
        <f>$B25*$F$2+ $C25*$F$3+$D25*$F$4</f>
        <v>70.879772459999998</v>
      </c>
      <c r="G25" s="5"/>
    </row>
    <row r="26" spans="1:7" ht="15.75" customHeight="1" thickBot="1" x14ac:dyDescent="0.35">
      <c r="A26" s="14" t="s">
        <v>23</v>
      </c>
      <c r="B26" s="17"/>
      <c r="C26" s="17"/>
      <c r="D26" s="17"/>
      <c r="E26" s="17"/>
      <c r="F26" s="20"/>
      <c r="G26" s="5"/>
    </row>
    <row r="27" spans="1:7" ht="40.200000000000003" thickBot="1" x14ac:dyDescent="0.35">
      <c r="A27" s="16" t="s">
        <v>24</v>
      </c>
      <c r="B27" s="17">
        <v>0</v>
      </c>
      <c r="C27" s="17">
        <v>1</v>
      </c>
      <c r="D27" s="17">
        <v>0.25</v>
      </c>
      <c r="E27" s="17">
        <v>1.25</v>
      </c>
      <c r="F27" s="18">
        <f>$B27*$F$2+ $C27*$F$3+$D27*$F$4</f>
        <v>47.772917880000001</v>
      </c>
      <c r="G27" s="5"/>
    </row>
    <row r="28" spans="1:7" ht="27" thickBot="1" x14ac:dyDescent="0.35">
      <c r="A28" s="16" t="s">
        <v>25</v>
      </c>
      <c r="B28" s="17">
        <v>0.25</v>
      </c>
      <c r="C28" s="17">
        <v>0.5</v>
      </c>
      <c r="D28" s="17">
        <v>0.25</v>
      </c>
      <c r="E28" s="17">
        <v>1</v>
      </c>
      <c r="F28" s="18">
        <f>$B28*$F$2+ $C28*$F$3+$D28*$F$4</f>
        <v>43.661776260000003</v>
      </c>
      <c r="G28" s="5"/>
    </row>
    <row r="29" spans="1:7" ht="27" thickBot="1" x14ac:dyDescent="0.35">
      <c r="A29" s="16" t="s">
        <v>26</v>
      </c>
      <c r="B29" s="17">
        <v>0.25</v>
      </c>
      <c r="C29" s="17">
        <v>0.5</v>
      </c>
      <c r="D29" s="17">
        <v>0.25</v>
      </c>
      <c r="E29" s="17">
        <v>1</v>
      </c>
      <c r="F29" s="18">
        <f>$B29*$F$2+ $C29*$F$3+$D29*$F$4</f>
        <v>43.661776260000003</v>
      </c>
      <c r="G29" s="5"/>
    </row>
    <row r="30" spans="1:7" ht="24" customHeight="1" thickBot="1" x14ac:dyDescent="0.35">
      <c r="A30" s="14" t="s">
        <v>27</v>
      </c>
      <c r="B30" s="15"/>
      <c r="C30" s="15"/>
      <c r="D30" s="15"/>
      <c r="E30" s="15"/>
      <c r="F30" s="15"/>
      <c r="G30" s="5"/>
    </row>
    <row r="31" spans="1:7" ht="27" thickBot="1" x14ac:dyDescent="0.35">
      <c r="A31" s="16" t="s">
        <v>28</v>
      </c>
      <c r="B31" s="17">
        <v>0.25</v>
      </c>
      <c r="C31" s="17">
        <v>0.5</v>
      </c>
      <c r="D31" s="17">
        <v>0.25</v>
      </c>
      <c r="E31" s="17">
        <v>1</v>
      </c>
      <c r="F31" s="18">
        <f>$B31*$F$2+ $C31*$F$3+$D31*$F$4</f>
        <v>43.661776260000003</v>
      </c>
      <c r="G31" s="5"/>
    </row>
    <row r="32" spans="1:7" ht="15" thickBot="1" x14ac:dyDescent="0.35">
      <c r="A32" s="14"/>
      <c r="B32" s="15"/>
      <c r="C32" s="15"/>
      <c r="D32" s="15"/>
      <c r="E32" s="15"/>
      <c r="F32" s="15"/>
      <c r="G32" s="5"/>
    </row>
    <row r="33" spans="1:14" ht="24" customHeight="1" thickBot="1" x14ac:dyDescent="0.35">
      <c r="A33" s="91" t="s">
        <v>29</v>
      </c>
      <c r="B33" s="15"/>
      <c r="C33" s="15"/>
      <c r="D33" s="15"/>
      <c r="E33" s="15"/>
      <c r="F33" s="15"/>
      <c r="G33" s="5"/>
    </row>
    <row r="34" spans="1:14" ht="15" thickBot="1" x14ac:dyDescent="0.35">
      <c r="A34" s="91" t="s">
        <v>30</v>
      </c>
      <c r="B34" s="15"/>
      <c r="C34" s="15"/>
      <c r="D34" s="15"/>
      <c r="E34" s="15"/>
      <c r="F34" s="15"/>
      <c r="G34" s="5"/>
    </row>
    <row r="35" spans="1:14" ht="27" thickBot="1" x14ac:dyDescent="0.35">
      <c r="A35" s="92" t="s">
        <v>31</v>
      </c>
      <c r="B35" s="15"/>
      <c r="C35" s="15"/>
      <c r="D35" s="15"/>
      <c r="E35" s="15"/>
      <c r="F35" s="15"/>
      <c r="G35" s="5"/>
    </row>
    <row r="36" spans="1:14" ht="15" thickBot="1" x14ac:dyDescent="0.35">
      <c r="A36" s="96" t="s">
        <v>32</v>
      </c>
      <c r="B36" s="17"/>
      <c r="C36" s="17"/>
      <c r="D36" s="17"/>
      <c r="E36" s="17"/>
      <c r="F36" s="17"/>
      <c r="G36" s="5"/>
    </row>
    <row r="37" spans="1:14" ht="15" thickBot="1" x14ac:dyDescent="0.35">
      <c r="A37" s="97" t="s">
        <v>33</v>
      </c>
      <c r="B37" s="17">
        <v>4</v>
      </c>
      <c r="C37" s="93">
        <v>10.25</v>
      </c>
      <c r="D37" s="17">
        <v>0</v>
      </c>
      <c r="E37" s="93">
        <f>SUM(B37:D37)</f>
        <v>14.25</v>
      </c>
      <c r="F37" s="18">
        <f>$B37*$F$2+ $C37*$F$3+$D37*$F$4</f>
        <v>684.47637539999994</v>
      </c>
      <c r="G37" s="5"/>
    </row>
    <row r="38" spans="1:14" ht="15" thickBot="1" x14ac:dyDescent="0.35">
      <c r="A38" s="97" t="s">
        <v>34</v>
      </c>
      <c r="B38" s="17">
        <v>4</v>
      </c>
      <c r="C38" s="93">
        <v>76.25</v>
      </c>
      <c r="D38" s="17">
        <v>0</v>
      </c>
      <c r="E38" s="93">
        <f>SUM(B38:D38)</f>
        <v>80.25</v>
      </c>
      <c r="F38" s="18">
        <f>$B38*$F$2+ $C38*$F$3+$D38*$F$4</f>
        <v>3397.72603716</v>
      </c>
      <c r="G38" s="5"/>
    </row>
    <row r="39" spans="1:14" ht="15" thickBot="1" x14ac:dyDescent="0.35">
      <c r="A39" s="97" t="s">
        <v>35</v>
      </c>
      <c r="B39" s="17">
        <v>8</v>
      </c>
      <c r="C39" s="93">
        <v>112.25</v>
      </c>
      <c r="D39" s="17">
        <v>0</v>
      </c>
      <c r="E39" s="93">
        <f>SUM(B39:D39)</f>
        <v>120.25</v>
      </c>
      <c r="F39" s="18">
        <f>$B39*$F$2+ $C39*$F$3+$D39*$F$4</f>
        <v>5140.78087908</v>
      </c>
      <c r="G39" s="5"/>
    </row>
    <row r="40" spans="1:14" ht="15" thickBot="1" x14ac:dyDescent="0.35">
      <c r="A40" s="96" t="s">
        <v>36</v>
      </c>
      <c r="B40" s="17"/>
      <c r="C40" s="17"/>
      <c r="D40" s="17"/>
      <c r="E40" s="93"/>
      <c r="F40" s="93"/>
      <c r="G40" s="5"/>
    </row>
    <row r="41" spans="1:14" ht="15" thickBot="1" x14ac:dyDescent="0.35">
      <c r="A41" s="97" t="s">
        <v>37</v>
      </c>
      <c r="B41" s="17">
        <v>2</v>
      </c>
      <c r="C41" s="93">
        <v>8.25</v>
      </c>
      <c r="D41" s="17">
        <v>0</v>
      </c>
      <c r="E41" s="93">
        <f>SUM(B41:D41)</f>
        <v>10.25</v>
      </c>
      <c r="F41" s="18">
        <f>$B41*$F$2+ $C41*$F$3+$D41*$F$4</f>
        <v>470.70644819999995</v>
      </c>
      <c r="G41" s="5"/>
    </row>
    <row r="42" spans="1:14" ht="15" thickBot="1" x14ac:dyDescent="0.35">
      <c r="A42" s="97" t="s">
        <v>34</v>
      </c>
      <c r="B42" s="17">
        <v>4</v>
      </c>
      <c r="C42" s="93">
        <v>36.25</v>
      </c>
      <c r="D42" s="17">
        <v>0</v>
      </c>
      <c r="E42" s="93">
        <f>SUM(B42:D42)</f>
        <v>40.25</v>
      </c>
      <c r="F42" s="18">
        <f>$B42*$F$2+ $C42*$F$3+$D42*$F$4</f>
        <v>1753.3323027599999</v>
      </c>
      <c r="G42" s="5"/>
    </row>
    <row r="43" spans="1:14" ht="15" thickBot="1" x14ac:dyDescent="0.35">
      <c r="A43" s="97" t="s">
        <v>35</v>
      </c>
      <c r="B43" s="17">
        <v>6</v>
      </c>
      <c r="C43" s="93">
        <v>34.25</v>
      </c>
      <c r="D43" s="17">
        <v>0</v>
      </c>
      <c r="E43" s="93">
        <f>SUM(B43:D43)</f>
        <v>40.25</v>
      </c>
      <c r="F43" s="227">
        <f>$B43*$F$2+ $C43*$F$3+$D43*$F$4</f>
        <v>1802.6628565199999</v>
      </c>
      <c r="G43" s="95" t="s">
        <v>79</v>
      </c>
      <c r="J43" t="s">
        <v>80</v>
      </c>
      <c r="K43" s="99">
        <v>394.65</v>
      </c>
      <c r="M43" t="s">
        <v>83</v>
      </c>
      <c r="N43" s="99">
        <f>'2021_v16'!F44</f>
        <v>12753.177059280002</v>
      </c>
    </row>
    <row r="44" spans="1:14" x14ac:dyDescent="0.3">
      <c r="A44" s="5"/>
      <c r="B44" s="5"/>
      <c r="C44" s="5"/>
      <c r="D44" s="5"/>
      <c r="E44" s="5"/>
      <c r="F44" s="98">
        <f>SUM(F20:F43)</f>
        <v>14161.189194360002</v>
      </c>
      <c r="G44" s="5"/>
      <c r="J44" t="s">
        <v>81</v>
      </c>
      <c r="K44" s="99">
        <f>F43</f>
        <v>1802.6628565199999</v>
      </c>
      <c r="M44" t="s">
        <v>81</v>
      </c>
      <c r="N44" s="99">
        <f>F44</f>
        <v>14161.189194360002</v>
      </c>
    </row>
    <row r="45" spans="1:14" x14ac:dyDescent="0.3">
      <c r="A45" s="5"/>
      <c r="B45" s="5"/>
      <c r="C45" s="5"/>
      <c r="D45" s="5"/>
      <c r="E45" s="5"/>
      <c r="F45" s="6"/>
      <c r="G45" s="5"/>
      <c r="J45" s="100" t="s">
        <v>82</v>
      </c>
      <c r="K45" s="101">
        <f>K44-K43</f>
        <v>1408.0128565199998</v>
      </c>
      <c r="M45" s="100" t="s">
        <v>82</v>
      </c>
      <c r="N45" s="101">
        <f>N44-N43</f>
        <v>1408.01213508</v>
      </c>
    </row>
    <row r="46" spans="1:14" x14ac:dyDescent="0.3">
      <c r="A46" s="5"/>
      <c r="B46" s="5"/>
      <c r="C46" s="5"/>
      <c r="D46" s="5"/>
      <c r="E46" s="5"/>
      <c r="F46" s="6"/>
      <c r="G46" s="5"/>
    </row>
    <row r="47" spans="1:14" ht="15" thickBot="1" x14ac:dyDescent="0.35">
      <c r="A47" s="4" t="s">
        <v>38</v>
      </c>
      <c r="B47" s="5"/>
      <c r="C47" s="5"/>
      <c r="D47" s="5"/>
      <c r="E47" s="5"/>
      <c r="F47" s="5"/>
      <c r="G47" s="5"/>
    </row>
    <row r="48" spans="1:14" ht="15" thickBot="1" x14ac:dyDescent="0.35">
      <c r="A48" s="23"/>
      <c r="B48" s="24" t="s">
        <v>39</v>
      </c>
      <c r="C48" s="24" t="s">
        <v>40</v>
      </c>
      <c r="D48" s="24" t="s">
        <v>41</v>
      </c>
      <c r="E48" s="24" t="s">
        <v>15</v>
      </c>
      <c r="F48" s="12" t="s">
        <v>16</v>
      </c>
      <c r="G48" s="5"/>
    </row>
    <row r="49" spans="1:8" ht="15" thickBot="1" x14ac:dyDescent="0.35">
      <c r="A49" s="14" t="s">
        <v>42</v>
      </c>
      <c r="B49" s="17"/>
      <c r="C49" s="17"/>
      <c r="D49" s="17"/>
      <c r="E49" s="17"/>
      <c r="F49" s="17"/>
      <c r="G49" s="5"/>
    </row>
    <row r="50" spans="1:8" ht="24.75" customHeight="1" thickBot="1" x14ac:dyDescent="0.35">
      <c r="A50" s="16" t="s">
        <v>43</v>
      </c>
      <c r="B50" s="17">
        <v>0</v>
      </c>
      <c r="C50" s="25">
        <f>5*1.1566</f>
        <v>5.7830000000000004</v>
      </c>
      <c r="D50" s="25">
        <f>27.5*1.1566</f>
        <v>31.806500000000003</v>
      </c>
      <c r="E50" s="25">
        <f>SUM(B50:D50)</f>
        <v>37.589500000000001</v>
      </c>
      <c r="F50" s="26">
        <f>B50*$E$12+C50*$E$13+D50*$E$14</f>
        <v>1496.7437693900999</v>
      </c>
      <c r="G50" s="5"/>
    </row>
    <row r="51" spans="1:8" ht="15" customHeight="1" thickBot="1" x14ac:dyDescent="0.35">
      <c r="A51" s="16" t="s">
        <v>44</v>
      </c>
      <c r="B51" s="17">
        <v>0</v>
      </c>
      <c r="C51" s="25">
        <f>40*1.1566</f>
        <v>46.264000000000003</v>
      </c>
      <c r="D51" s="25">
        <f>280*1.1566</f>
        <v>323.84800000000001</v>
      </c>
      <c r="E51" s="25">
        <f>SUM(B51:D51)</f>
        <v>370.11200000000002</v>
      </c>
      <c r="F51" s="26">
        <f>B51*$E$12+C51*$E$13+D51*$E$14</f>
        <v>14471.793276679198</v>
      </c>
      <c r="G51" s="5"/>
    </row>
    <row r="52" spans="1:8" ht="15" thickBot="1" x14ac:dyDescent="0.35">
      <c r="A52" s="16" t="s">
        <v>45</v>
      </c>
      <c r="B52" s="17">
        <v>0</v>
      </c>
      <c r="C52" s="25">
        <f>0.5*1.1566</f>
        <v>0.57830000000000004</v>
      </c>
      <c r="D52" s="25">
        <f>0.5*1.1566</f>
        <v>0.57830000000000004</v>
      </c>
      <c r="E52" s="25">
        <f>SUM(B52:D52)</f>
        <v>1.1566000000000001</v>
      </c>
      <c r="F52" s="26">
        <f>B52*$E$12+C52*$E$13+D52*$E$14</f>
        <v>56.005259880569994</v>
      </c>
      <c r="G52" s="5"/>
    </row>
    <row r="53" spans="1:8" ht="27.75" customHeight="1" thickBot="1" x14ac:dyDescent="0.35">
      <c r="A53" s="16" t="s">
        <v>46</v>
      </c>
      <c r="B53" s="17">
        <v>0</v>
      </c>
      <c r="C53" s="25">
        <f>0.5*1.1566</f>
        <v>0.57830000000000004</v>
      </c>
      <c r="D53" s="25">
        <f>0.5*1.1566</f>
        <v>0.57830000000000004</v>
      </c>
      <c r="E53" s="25">
        <f>SUM(B53:D53)</f>
        <v>1.1566000000000001</v>
      </c>
      <c r="F53" s="26">
        <f>B53*$E$12+C53*$E$13+D53*$E$14</f>
        <v>56.005259880569994</v>
      </c>
      <c r="G53" s="5"/>
    </row>
    <row r="54" spans="1:8" ht="15" thickBot="1" x14ac:dyDescent="0.35">
      <c r="A54" s="27" t="s">
        <v>47</v>
      </c>
      <c r="B54" s="28">
        <f>SUM(B50:B53)</f>
        <v>0</v>
      </c>
      <c r="C54" s="29">
        <f>SUM(C50:C53)</f>
        <v>53.203600000000002</v>
      </c>
      <c r="D54" s="29">
        <f>SUM(D50:D53)</f>
        <v>356.81110000000007</v>
      </c>
      <c r="E54" s="29">
        <f>SUM(E50:E53)</f>
        <v>410.01470000000006</v>
      </c>
      <c r="F54" s="30">
        <f>SUM(F50:F53)</f>
        <v>16080.547565830439</v>
      </c>
      <c r="G54" s="5"/>
    </row>
    <row r="55" spans="1:8" x14ac:dyDescent="0.3">
      <c r="A55" s="7"/>
      <c r="B55" s="5"/>
      <c r="C55" s="5"/>
      <c r="D55" s="5"/>
      <c r="E55" s="5"/>
      <c r="F55" s="5"/>
      <c r="G55" s="5"/>
    </row>
    <row r="56" spans="1:8" ht="24.6" thickBot="1" x14ac:dyDescent="0.35">
      <c r="A56" s="8" t="s">
        <v>48</v>
      </c>
      <c r="B56" s="5"/>
      <c r="C56" s="5"/>
      <c r="D56" s="5"/>
      <c r="E56" s="5"/>
      <c r="F56" s="5"/>
      <c r="G56" s="5"/>
    </row>
    <row r="57" spans="1:8" ht="27" thickBot="1" x14ac:dyDescent="0.35">
      <c r="A57" s="11"/>
      <c r="B57" s="12" t="s">
        <v>49</v>
      </c>
      <c r="C57" s="12" t="s">
        <v>39</v>
      </c>
      <c r="D57" s="12" t="s">
        <v>40</v>
      </c>
      <c r="E57" s="12" t="s">
        <v>41</v>
      </c>
      <c r="F57" s="12" t="s">
        <v>50</v>
      </c>
      <c r="G57" s="90" t="s">
        <v>51</v>
      </c>
      <c r="H57" s="86" t="s">
        <v>52</v>
      </c>
    </row>
    <row r="58" spans="1:8" ht="15" thickBot="1" x14ac:dyDescent="0.35">
      <c r="A58" s="14" t="s">
        <v>53</v>
      </c>
      <c r="B58" s="420"/>
      <c r="C58" s="421"/>
      <c r="D58" s="421"/>
      <c r="E58" s="421"/>
      <c r="F58" s="421"/>
      <c r="G58" s="421"/>
      <c r="H58" s="87"/>
    </row>
    <row r="59" spans="1:8" ht="25.5" customHeight="1" thickBot="1" x14ac:dyDescent="0.35">
      <c r="A59" s="31" t="s">
        <v>54</v>
      </c>
      <c r="B59" s="32">
        <v>3052</v>
      </c>
      <c r="C59" s="33">
        <v>0</v>
      </c>
      <c r="D59" s="34">
        <f>C50*$B59</f>
        <v>17649.716</v>
      </c>
      <c r="E59" s="34">
        <f>D50*B59</f>
        <v>97073.438000000009</v>
      </c>
      <c r="F59" s="34">
        <f>SUM(C59:E59)</f>
        <v>114723.15400000001</v>
      </c>
      <c r="G59" s="84">
        <f>F50*B59</f>
        <v>4568061.984178585</v>
      </c>
      <c r="H59" s="88"/>
    </row>
    <row r="60" spans="1:8" ht="15.75" customHeight="1" thickBot="1" x14ac:dyDescent="0.35">
      <c r="A60" s="35" t="s">
        <v>44</v>
      </c>
      <c r="B60" s="33">
        <v>43</v>
      </c>
      <c r="C60" s="33">
        <v>0</v>
      </c>
      <c r="D60" s="34">
        <f>C51*$B60</f>
        <v>1989.3520000000001</v>
      </c>
      <c r="E60" s="34">
        <f>D51*$B60</f>
        <v>13925.464</v>
      </c>
      <c r="F60" s="34">
        <f>SUM(C60:E60)</f>
        <v>15914.816000000001</v>
      </c>
      <c r="G60" s="84">
        <f>F51*B60</f>
        <v>622287.11089720554</v>
      </c>
      <c r="H60" s="88"/>
    </row>
    <row r="61" spans="1:8" ht="15" thickBot="1" x14ac:dyDescent="0.35">
      <c r="A61" s="16" t="s">
        <v>55</v>
      </c>
      <c r="B61" s="36">
        <v>3000</v>
      </c>
      <c r="C61" s="17">
        <v>0</v>
      </c>
      <c r="D61" s="34">
        <f>C52*$B61</f>
        <v>1734.9</v>
      </c>
      <c r="E61" s="34">
        <f>D52*$B61</f>
        <v>1734.9</v>
      </c>
      <c r="F61" s="34">
        <f>SUM(C61:E61)</f>
        <v>3469.8</v>
      </c>
      <c r="G61" s="85">
        <f>F52*B61</f>
        <v>168015.77964170999</v>
      </c>
      <c r="H61" s="87">
        <f>(B61*10)*0.33</f>
        <v>9900</v>
      </c>
    </row>
    <row r="62" spans="1:8" ht="27" thickBot="1" x14ac:dyDescent="0.35">
      <c r="A62" s="37" t="s">
        <v>56</v>
      </c>
      <c r="B62" s="38">
        <v>3052</v>
      </c>
      <c r="C62" s="39">
        <v>0</v>
      </c>
      <c r="D62" s="40">
        <f>1526*1.1566</f>
        <v>1764.9716000000001</v>
      </c>
      <c r="E62" s="41">
        <f>1526*1.1566</f>
        <v>1764.9716000000001</v>
      </c>
      <c r="F62" s="42">
        <f>3052*1.1566</f>
        <v>3529.9432000000002</v>
      </c>
      <c r="G62" s="85">
        <f>F53*B62</f>
        <v>170928.05315549963</v>
      </c>
      <c r="H62" s="87">
        <f>(B62*10)*0.33</f>
        <v>10071.6</v>
      </c>
    </row>
    <row r="63" spans="1:8" ht="15" thickBot="1" x14ac:dyDescent="0.35">
      <c r="A63" s="43" t="s">
        <v>57</v>
      </c>
      <c r="B63" s="44"/>
      <c r="C63" s="45"/>
      <c r="D63" s="44">
        <f>SUM(D59:D62)</f>
        <v>23138.939600000002</v>
      </c>
      <c r="E63" s="44">
        <f>SUM(E59:E62)</f>
        <v>114498.7736</v>
      </c>
      <c r="F63" s="46">
        <f>SUM(F59:F62)</f>
        <v>137637.71320000003</v>
      </c>
      <c r="G63" s="84">
        <f>SUM(G59:G62)</f>
        <v>5529292.9278730005</v>
      </c>
      <c r="H63" s="89">
        <f>SUM(H59:H62)</f>
        <v>19971.599999999999</v>
      </c>
    </row>
    <row r="64" spans="1:8" x14ac:dyDescent="0.3">
      <c r="A64" s="5"/>
      <c r="B64" s="5"/>
      <c r="C64" s="5"/>
      <c r="D64" s="5"/>
      <c r="E64" s="5"/>
      <c r="F64" s="5"/>
      <c r="G64" s="5"/>
    </row>
    <row r="65" spans="1:9" ht="15" thickBot="1" x14ac:dyDescent="0.35">
      <c r="A65" s="4" t="s">
        <v>58</v>
      </c>
      <c r="B65" s="5"/>
      <c r="C65" s="5"/>
      <c r="D65" s="5"/>
      <c r="E65" s="5"/>
      <c r="F65" s="5"/>
      <c r="G65" s="5"/>
    </row>
    <row r="66" spans="1:9" ht="27" thickBot="1" x14ac:dyDescent="0.35">
      <c r="A66" s="11"/>
      <c r="B66" s="12" t="s">
        <v>49</v>
      </c>
      <c r="C66" s="12" t="s">
        <v>39</v>
      </c>
      <c r="D66" s="12" t="s">
        <v>40</v>
      </c>
      <c r="E66" s="12" t="s">
        <v>41</v>
      </c>
      <c r="F66" s="12" t="s">
        <v>59</v>
      </c>
      <c r="G66" s="12" t="s">
        <v>51</v>
      </c>
      <c r="H66" s="82" t="s">
        <v>60</v>
      </c>
    </row>
    <row r="67" spans="1:9" ht="15" thickBot="1" x14ac:dyDescent="0.35">
      <c r="A67" s="91" t="s">
        <v>17</v>
      </c>
      <c r="B67" s="17"/>
      <c r="C67" s="15"/>
      <c r="D67" s="15"/>
      <c r="E67" s="15"/>
      <c r="F67" s="15"/>
      <c r="G67" s="15"/>
      <c r="H67" s="83"/>
    </row>
    <row r="68" spans="1:9" ht="15" thickBot="1" x14ac:dyDescent="0.35">
      <c r="A68" s="92" t="s">
        <v>18</v>
      </c>
      <c r="B68" s="93">
        <v>140</v>
      </c>
      <c r="C68" s="17">
        <f>B20*B68</f>
        <v>350</v>
      </c>
      <c r="D68" s="17">
        <f>C20*B68</f>
        <v>1050</v>
      </c>
      <c r="E68" s="17">
        <v>0</v>
      </c>
      <c r="F68" s="102">
        <f>SUM(C68:E68)</f>
        <v>1400</v>
      </c>
      <c r="G68" s="103">
        <f>F20*B68</f>
        <v>66186.627611999997</v>
      </c>
      <c r="H68" s="83"/>
    </row>
    <row r="69" spans="1:9" ht="15" thickBot="1" x14ac:dyDescent="0.35">
      <c r="A69" s="43" t="s">
        <v>61</v>
      </c>
      <c r="B69" s="15"/>
      <c r="C69" s="15"/>
      <c r="D69" s="15"/>
      <c r="E69" s="15"/>
      <c r="F69" s="47">
        <f>F68</f>
        <v>1400</v>
      </c>
      <c r="G69" s="48">
        <f>G68</f>
        <v>66186.627611999997</v>
      </c>
      <c r="H69" s="83"/>
    </row>
    <row r="70" spans="1:9" ht="15" thickBot="1" x14ac:dyDescent="0.35">
      <c r="A70" s="14" t="s">
        <v>19</v>
      </c>
      <c r="B70" s="15"/>
      <c r="C70" s="15"/>
      <c r="D70" s="15"/>
      <c r="E70" s="15"/>
      <c r="F70" s="15"/>
      <c r="G70" s="49"/>
      <c r="H70" s="83"/>
    </row>
    <row r="71" spans="1:9" ht="15" thickBot="1" x14ac:dyDescent="0.35">
      <c r="A71" s="14" t="s">
        <v>20</v>
      </c>
      <c r="B71" s="15"/>
      <c r="C71" s="15"/>
      <c r="D71" s="15"/>
      <c r="E71" s="15"/>
      <c r="F71" s="15"/>
      <c r="G71" s="49"/>
      <c r="H71" s="83"/>
    </row>
    <row r="72" spans="1:9" ht="27" thickBot="1" x14ac:dyDescent="0.35">
      <c r="A72" s="16" t="s">
        <v>21</v>
      </c>
      <c r="B72" s="17">
        <v>140</v>
      </c>
      <c r="C72" s="17">
        <f t="shared" ref="C72:E73" si="0">B24*$B72</f>
        <v>140</v>
      </c>
      <c r="D72" s="17">
        <f t="shared" si="0"/>
        <v>420</v>
      </c>
      <c r="E72" s="17">
        <f t="shared" si="0"/>
        <v>0</v>
      </c>
      <c r="F72" s="36">
        <f>SUM(C72:E72)</f>
        <v>560</v>
      </c>
      <c r="G72" s="26">
        <f>F24*B72</f>
        <v>26474.651044799997</v>
      </c>
      <c r="H72" s="83"/>
    </row>
    <row r="73" spans="1:9" ht="27" thickBot="1" x14ac:dyDescent="0.35">
      <c r="A73" s="16" t="s">
        <v>22</v>
      </c>
      <c r="B73" s="17">
        <f>B68*0.3</f>
        <v>42</v>
      </c>
      <c r="C73" s="17">
        <f t="shared" si="0"/>
        <v>10.5</v>
      </c>
      <c r="D73" s="17">
        <f t="shared" si="0"/>
        <v>42</v>
      </c>
      <c r="E73" s="17">
        <f t="shared" si="0"/>
        <v>21</v>
      </c>
      <c r="F73" s="50">
        <f>SUM(C73:E73)</f>
        <v>73.5</v>
      </c>
      <c r="G73" s="26">
        <f>F25*B73</f>
        <v>2976.95044332</v>
      </c>
      <c r="H73" s="83">
        <f>(B73*10)*0.33</f>
        <v>138.6</v>
      </c>
    </row>
    <row r="74" spans="1:9" ht="15" thickBot="1" x14ac:dyDescent="0.35">
      <c r="A74" s="14" t="s">
        <v>23</v>
      </c>
      <c r="B74" s="15"/>
      <c r="C74" s="17"/>
      <c r="D74" s="17"/>
      <c r="E74" s="17"/>
      <c r="F74" s="17"/>
      <c r="G74" s="49"/>
      <c r="H74" s="83"/>
    </row>
    <row r="75" spans="1:9" ht="40.200000000000003" thickBot="1" x14ac:dyDescent="0.35">
      <c r="A75" s="16" t="s">
        <v>24</v>
      </c>
      <c r="B75" s="17">
        <f>B68*0.7</f>
        <v>98</v>
      </c>
      <c r="C75" s="17">
        <f t="shared" ref="C75:E77" si="1">B27*$B75</f>
        <v>0</v>
      </c>
      <c r="D75" s="17">
        <f t="shared" si="1"/>
        <v>98</v>
      </c>
      <c r="E75" s="17">
        <f t="shared" si="1"/>
        <v>24.5</v>
      </c>
      <c r="F75" s="50">
        <f>SUM(C75:E75)</f>
        <v>122.5</v>
      </c>
      <c r="G75" s="26">
        <f>F27*B75</f>
        <v>4681.7459522400004</v>
      </c>
      <c r="H75" s="83">
        <f>(B75*10)*0.33</f>
        <v>323.40000000000003</v>
      </c>
    </row>
    <row r="76" spans="1:9" ht="27" thickBot="1" x14ac:dyDescent="0.35">
      <c r="A76" s="16" t="s">
        <v>25</v>
      </c>
      <c r="B76" s="79">
        <f>20000*1.1566</f>
        <v>23132</v>
      </c>
      <c r="C76" s="79">
        <f t="shared" si="1"/>
        <v>5783</v>
      </c>
      <c r="D76" s="79">
        <f t="shared" si="1"/>
        <v>11566</v>
      </c>
      <c r="E76" s="79">
        <f t="shared" si="1"/>
        <v>5783</v>
      </c>
      <c r="F76" s="79">
        <f>SUM(C76:E76)</f>
        <v>23132</v>
      </c>
      <c r="G76" s="51">
        <f>F28*B76</f>
        <v>1009984.20844632</v>
      </c>
      <c r="H76" s="83">
        <f>(B76*10)*0.33</f>
        <v>76335.600000000006</v>
      </c>
    </row>
    <row r="77" spans="1:9" ht="27" thickBot="1" x14ac:dyDescent="0.35">
      <c r="A77" s="16" t="s">
        <v>26</v>
      </c>
      <c r="B77" s="79">
        <f>20000*1.1566</f>
        <v>23132</v>
      </c>
      <c r="C77" s="79">
        <f t="shared" si="1"/>
        <v>5783</v>
      </c>
      <c r="D77" s="79">
        <f t="shared" si="1"/>
        <v>11566</v>
      </c>
      <c r="E77" s="79">
        <f t="shared" si="1"/>
        <v>5783</v>
      </c>
      <c r="F77" s="79">
        <f>SUM(C77:E77)</f>
        <v>23132</v>
      </c>
      <c r="G77" s="51">
        <f>F29*B77</f>
        <v>1009984.20844632</v>
      </c>
      <c r="H77" s="83">
        <f>(B77*10)*0.33</f>
        <v>76335.600000000006</v>
      </c>
    </row>
    <row r="78" spans="1:9" ht="15" thickBot="1" x14ac:dyDescent="0.35">
      <c r="A78" s="14" t="s">
        <v>27</v>
      </c>
      <c r="B78" s="80"/>
      <c r="C78" s="80"/>
      <c r="D78" s="80"/>
      <c r="E78" s="80"/>
      <c r="F78" s="81"/>
      <c r="G78" s="52"/>
      <c r="H78" s="83"/>
    </row>
    <row r="79" spans="1:9" ht="27" thickBot="1" x14ac:dyDescent="0.35">
      <c r="A79" s="16" t="s">
        <v>28</v>
      </c>
      <c r="B79" s="79">
        <f>4000*1.1566</f>
        <v>4626.4000000000005</v>
      </c>
      <c r="C79" s="79">
        <f>B31*$B79</f>
        <v>1156.6000000000001</v>
      </c>
      <c r="D79" s="79">
        <f>C31*$B79</f>
        <v>2313.2000000000003</v>
      </c>
      <c r="E79" s="79">
        <f>D31*$B79</f>
        <v>1156.6000000000001</v>
      </c>
      <c r="F79" s="79">
        <f>SUM(C79:E79)</f>
        <v>4626.4000000000005</v>
      </c>
      <c r="G79" s="51">
        <f>F31*B79</f>
        <v>201996.84168926405</v>
      </c>
      <c r="H79" s="83">
        <f>(B79*10)*0.33</f>
        <v>15267.120000000003</v>
      </c>
    </row>
    <row r="80" spans="1:9" ht="15" thickBot="1" x14ac:dyDescent="0.35">
      <c r="A80" s="43" t="s">
        <v>61</v>
      </c>
      <c r="B80" s="15"/>
      <c r="C80" s="15"/>
      <c r="D80" s="15"/>
      <c r="E80" s="15"/>
      <c r="F80" s="47">
        <f>SUM(F72:F79)</f>
        <v>51646.400000000001</v>
      </c>
      <c r="G80" s="48">
        <f>SUM(G72:G79)</f>
        <v>2256098.6060222639</v>
      </c>
      <c r="H80" s="48">
        <f>SUM(H72:H79)</f>
        <v>168400.32</v>
      </c>
      <c r="I80" s="419"/>
    </row>
    <row r="81" spans="1:14" ht="15" thickBot="1" x14ac:dyDescent="0.35">
      <c r="A81" s="91" t="s">
        <v>29</v>
      </c>
      <c r="B81" s="15"/>
      <c r="C81" s="15"/>
      <c r="D81" s="15"/>
      <c r="E81" s="15"/>
      <c r="F81" s="15"/>
      <c r="G81" s="15"/>
      <c r="H81" s="83"/>
    </row>
    <row r="82" spans="1:14" ht="15" thickBot="1" x14ac:dyDescent="0.35">
      <c r="A82" s="91" t="s">
        <v>30</v>
      </c>
      <c r="B82" s="15"/>
      <c r="C82" s="15"/>
      <c r="D82" s="15"/>
      <c r="E82" s="15"/>
      <c r="F82" s="15"/>
      <c r="G82" s="15"/>
      <c r="H82" s="83"/>
    </row>
    <row r="83" spans="1:14" ht="27" thickBot="1" x14ac:dyDescent="0.35">
      <c r="A83" s="92" t="s">
        <v>31</v>
      </c>
      <c r="B83" s="15"/>
      <c r="C83" s="15"/>
      <c r="D83" s="15"/>
      <c r="E83" s="15"/>
      <c r="F83" s="15"/>
      <c r="G83" s="15"/>
      <c r="H83" s="83"/>
    </row>
    <row r="84" spans="1:14" ht="15" thickBot="1" x14ac:dyDescent="0.35">
      <c r="A84" s="96" t="s">
        <v>32</v>
      </c>
      <c r="B84" s="17"/>
      <c r="C84" s="17"/>
      <c r="D84" s="17"/>
      <c r="E84" s="17"/>
      <c r="F84" s="17"/>
      <c r="G84" s="17"/>
      <c r="H84" s="83"/>
    </row>
    <row r="85" spans="1:14" ht="15" thickBot="1" x14ac:dyDescent="0.35">
      <c r="A85" s="97" t="s">
        <v>33</v>
      </c>
      <c r="B85" s="36">
        <f>107400*1.1566</f>
        <v>124218.84000000001</v>
      </c>
      <c r="C85" s="36">
        <f t="shared" ref="C85:E87" si="2">B37*$B85</f>
        <v>496875.36000000004</v>
      </c>
      <c r="D85" s="36">
        <f t="shared" si="2"/>
        <v>1273243.1100000001</v>
      </c>
      <c r="E85" s="36">
        <f t="shared" si="2"/>
        <v>0</v>
      </c>
      <c r="F85" s="36">
        <f>SUM(C85:E85)</f>
        <v>1770118.4700000002</v>
      </c>
      <c r="G85" s="103">
        <f>F37*B85</f>
        <v>85024861.359592542</v>
      </c>
      <c r="H85" s="83">
        <f>(B85*10)*0.33</f>
        <v>409922.17200000008</v>
      </c>
    </row>
    <row r="86" spans="1:14" ht="15" thickBot="1" x14ac:dyDescent="0.35">
      <c r="A86" s="97" t="s">
        <v>34</v>
      </c>
      <c r="B86" s="36">
        <f>9000*1.1566</f>
        <v>10409.400000000001</v>
      </c>
      <c r="C86" s="36">
        <f t="shared" si="2"/>
        <v>41637.600000000006</v>
      </c>
      <c r="D86" s="36">
        <f t="shared" si="2"/>
        <v>793716.75000000012</v>
      </c>
      <c r="E86" s="36">
        <f t="shared" si="2"/>
        <v>0</v>
      </c>
      <c r="F86" s="36">
        <f>SUM(C86:E86)</f>
        <v>835354.35000000009</v>
      </c>
      <c r="G86" s="103">
        <f>F38*B86</f>
        <v>35368289.411213309</v>
      </c>
      <c r="H86" s="83">
        <f>(B86*10)*0.33</f>
        <v>34351.020000000004</v>
      </c>
    </row>
    <row r="87" spans="1:14" ht="15" thickBot="1" x14ac:dyDescent="0.35">
      <c r="A87" s="97" t="s">
        <v>35</v>
      </c>
      <c r="B87" s="36">
        <f>3600*1.1566</f>
        <v>4163.76</v>
      </c>
      <c r="C87" s="36">
        <f t="shared" si="2"/>
        <v>33310.080000000002</v>
      </c>
      <c r="D87" s="36">
        <f t="shared" si="2"/>
        <v>467382.06</v>
      </c>
      <c r="E87" s="36">
        <f t="shared" si="2"/>
        <v>0</v>
      </c>
      <c r="F87" s="36">
        <f>SUM(C87:E87)</f>
        <v>500692.14</v>
      </c>
      <c r="G87" s="103">
        <f>F39*B87</f>
        <v>21404977.793078143</v>
      </c>
      <c r="H87" s="83">
        <f>(B87*10)*0.33</f>
        <v>13740.408000000003</v>
      </c>
    </row>
    <row r="88" spans="1:14" ht="15" thickBot="1" x14ac:dyDescent="0.35">
      <c r="A88" s="96" t="s">
        <v>36</v>
      </c>
      <c r="B88" s="17"/>
      <c r="C88" s="17"/>
      <c r="D88" s="17"/>
      <c r="E88" s="17"/>
      <c r="F88" s="17"/>
      <c r="G88" s="17"/>
    </row>
    <row r="89" spans="1:14" ht="15" thickBot="1" x14ac:dyDescent="0.35">
      <c r="A89" s="97" t="s">
        <v>37</v>
      </c>
      <c r="B89" s="36">
        <f>270000*1.1566</f>
        <v>312282</v>
      </c>
      <c r="C89" s="36">
        <f t="shared" ref="C89:E91" si="3">B41*$B89</f>
        <v>624564</v>
      </c>
      <c r="D89" s="36">
        <f t="shared" si="3"/>
        <v>2576326.5</v>
      </c>
      <c r="E89" s="36">
        <f t="shared" si="3"/>
        <v>0</v>
      </c>
      <c r="F89" s="36">
        <f>SUM(C89:E89)</f>
        <v>3200890.5</v>
      </c>
      <c r="G89" s="103">
        <f>F41*B89</f>
        <v>146993151.05679238</v>
      </c>
      <c r="H89" s="83">
        <f>(B89*10)*0.33</f>
        <v>1030530.6000000001</v>
      </c>
    </row>
    <row r="90" spans="1:14" ht="15" thickBot="1" x14ac:dyDescent="0.35">
      <c r="A90" s="97" t="s">
        <v>34</v>
      </c>
      <c r="B90" s="36">
        <f>6000*1.1566</f>
        <v>6939.6</v>
      </c>
      <c r="C90" s="36">
        <f t="shared" si="3"/>
        <v>27758.400000000001</v>
      </c>
      <c r="D90" s="36">
        <f t="shared" si="3"/>
        <v>251560.5</v>
      </c>
      <c r="E90" s="36">
        <f t="shared" si="3"/>
        <v>0</v>
      </c>
      <c r="F90" s="36">
        <f>SUM(C90:E90)</f>
        <v>279318.90000000002</v>
      </c>
      <c r="G90" s="103">
        <f>F42*B90</f>
        <v>12167424.848233296</v>
      </c>
      <c r="H90" s="83">
        <f>(B90*10)*0.33</f>
        <v>22900.68</v>
      </c>
      <c r="J90" s="2" t="s">
        <v>84</v>
      </c>
      <c r="M90" s="2" t="s">
        <v>85</v>
      </c>
    </row>
    <row r="91" spans="1:14" ht="15" thickBot="1" x14ac:dyDescent="0.35">
      <c r="A91" s="97" t="s">
        <v>35</v>
      </c>
      <c r="B91" s="36">
        <f>4000*1.1566</f>
        <v>4626.4000000000005</v>
      </c>
      <c r="C91" s="36">
        <f t="shared" si="3"/>
        <v>27758.400000000001</v>
      </c>
      <c r="D91" s="36">
        <f t="shared" si="3"/>
        <v>158454.20000000001</v>
      </c>
      <c r="E91" s="36">
        <f t="shared" si="3"/>
        <v>0</v>
      </c>
      <c r="F91" s="36">
        <f>SUM(C91:E91)</f>
        <v>186212.6</v>
      </c>
      <c r="G91" s="103">
        <f>F43*B91</f>
        <v>8339839.4394041281</v>
      </c>
      <c r="H91" s="83">
        <f>(B91*10)*0.33</f>
        <v>15267.120000000003</v>
      </c>
      <c r="J91" t="s">
        <v>80</v>
      </c>
      <c r="K91" s="99">
        <f>'2021_v16'!G91</f>
        <v>1825812.0976700161</v>
      </c>
      <c r="M91" t="s">
        <v>83</v>
      </c>
      <c r="N91" s="99">
        <f>'2021_v16'!G93</f>
        <v>305040615.17260194</v>
      </c>
    </row>
    <row r="92" spans="1:14" ht="15" thickBot="1" x14ac:dyDescent="0.35">
      <c r="A92" s="107" t="s">
        <v>61</v>
      </c>
      <c r="B92" s="36">
        <f>SUM(B85:B91)</f>
        <v>462640</v>
      </c>
      <c r="C92" s="36">
        <f>SUM(C85:C91)</f>
        <v>1251903.8399999999</v>
      </c>
      <c r="D92" s="36">
        <f>SUM(D85:D91)</f>
        <v>5520683.1200000001</v>
      </c>
      <c r="E92" s="17"/>
      <c r="F92" s="53">
        <f>SUM(F85:F91)</f>
        <v>6772586.9600000009</v>
      </c>
      <c r="G92" s="109">
        <f>SUM(G85:G91)</f>
        <v>309298543.90831381</v>
      </c>
      <c r="H92" s="54">
        <f>SUM(H85:H91)</f>
        <v>1526712.0000000002</v>
      </c>
      <c r="J92" t="s">
        <v>81</v>
      </c>
      <c r="K92" s="99">
        <f>G91</f>
        <v>8339839.4394041281</v>
      </c>
      <c r="M92" t="s">
        <v>81</v>
      </c>
      <c r="N92" s="99">
        <f>G93</f>
        <v>311620829.14194804</v>
      </c>
    </row>
    <row r="93" spans="1:14" ht="15" thickBot="1" x14ac:dyDescent="0.35">
      <c r="A93" s="108" t="s">
        <v>62</v>
      </c>
      <c r="B93" s="17"/>
      <c r="C93" s="17"/>
      <c r="D93" s="17"/>
      <c r="E93" s="17"/>
      <c r="F93" s="53">
        <f>F69+F80+F92</f>
        <v>6825633.3600000013</v>
      </c>
      <c r="G93" s="109">
        <f>G80+G92+G69</f>
        <v>311620829.14194804</v>
      </c>
      <c r="H93" s="106">
        <f>H80+H92</f>
        <v>1695112.3200000003</v>
      </c>
      <c r="J93" s="100" t="s">
        <v>82</v>
      </c>
      <c r="K93" s="101">
        <f>K92-K91</f>
        <v>6514027.3417341122</v>
      </c>
      <c r="M93" s="100" t="s">
        <v>82</v>
      </c>
      <c r="N93" s="101">
        <f>N92-N91</f>
        <v>6580213.9693461061</v>
      </c>
    </row>
    <row r="94" spans="1:14" x14ac:dyDescent="0.3">
      <c r="A94" s="5"/>
      <c r="B94" s="5"/>
      <c r="C94" s="5"/>
      <c r="D94" s="5"/>
      <c r="E94" s="5"/>
      <c r="F94" s="5"/>
      <c r="G94" s="5"/>
      <c r="H94" s="100" t="s">
        <v>87</v>
      </c>
    </row>
    <row r="95" spans="1:14" x14ac:dyDescent="0.3">
      <c r="A95" s="5"/>
      <c r="B95" s="5"/>
      <c r="C95" s="5"/>
      <c r="D95" s="5"/>
      <c r="E95" s="5"/>
      <c r="F95" s="5"/>
      <c r="G95" s="5"/>
    </row>
    <row r="96" spans="1:14" ht="15" thickBot="1" x14ac:dyDescent="0.35">
      <c r="A96" s="5" t="s">
        <v>63</v>
      </c>
      <c r="B96" s="5"/>
      <c r="C96" s="5"/>
      <c r="D96" s="5"/>
      <c r="E96" s="5"/>
      <c r="F96" s="5"/>
      <c r="G96" s="5"/>
    </row>
    <row r="97" spans="1:8" ht="15" thickBot="1" x14ac:dyDescent="0.35">
      <c r="A97" s="56"/>
      <c r="B97" s="56" t="s">
        <v>59</v>
      </c>
      <c r="C97" s="56" t="s">
        <v>64</v>
      </c>
      <c r="D97" s="56" t="s">
        <v>65</v>
      </c>
      <c r="E97" s="56" t="s">
        <v>66</v>
      </c>
      <c r="F97" s="57" t="s">
        <v>67</v>
      </c>
      <c r="G97" s="5"/>
    </row>
    <row r="98" spans="1:8" ht="15" thickBot="1" x14ac:dyDescent="0.35">
      <c r="A98" s="56" t="s">
        <v>68</v>
      </c>
      <c r="B98" s="117">
        <f>F93</f>
        <v>6825633.3600000013</v>
      </c>
      <c r="C98" s="59">
        <f>G93</f>
        <v>311620829.14194804</v>
      </c>
      <c r="D98" s="59">
        <v>0</v>
      </c>
      <c r="E98" s="59">
        <f>H93</f>
        <v>1695112.3200000003</v>
      </c>
      <c r="F98" s="60">
        <f>SUM(C98:E98)</f>
        <v>313315941.46194804</v>
      </c>
      <c r="G98" s="5"/>
      <c r="H98" s="100" t="s">
        <v>86</v>
      </c>
    </row>
    <row r="99" spans="1:8" ht="15" thickBot="1" x14ac:dyDescent="0.35">
      <c r="A99" s="56" t="s">
        <v>69</v>
      </c>
      <c r="B99" s="58">
        <f>B98*3</f>
        <v>20476900.080000006</v>
      </c>
      <c r="C99" s="59">
        <f>C98*3</f>
        <v>934862487.42584419</v>
      </c>
      <c r="D99" s="59">
        <v>0</v>
      </c>
      <c r="E99" s="59">
        <f>E98*3</f>
        <v>5085336.9600000009</v>
      </c>
      <c r="F99" s="60">
        <f>SUM(C99:E99)</f>
        <v>939947824.38584423</v>
      </c>
      <c r="G99" s="5"/>
    </row>
    <row r="100" spans="1:8" x14ac:dyDescent="0.3">
      <c r="A100" s="5"/>
      <c r="B100" s="5"/>
      <c r="C100" s="5"/>
      <c r="D100" s="5"/>
      <c r="E100" s="5"/>
      <c r="F100" s="5"/>
      <c r="G100" s="5"/>
    </row>
    <row r="101" spans="1:8" x14ac:dyDescent="0.3">
      <c r="A101" s="5" t="s">
        <v>70</v>
      </c>
      <c r="B101" s="5" t="s">
        <v>71</v>
      </c>
      <c r="C101" s="5" t="s">
        <v>72</v>
      </c>
      <c r="D101" s="5"/>
      <c r="E101" s="5"/>
      <c r="F101" s="5"/>
      <c r="G101" s="5"/>
    </row>
    <row r="102" spans="1:8" x14ac:dyDescent="0.3">
      <c r="A102" s="5" t="s">
        <v>73</v>
      </c>
      <c r="B102" s="5"/>
      <c r="C102" s="5"/>
      <c r="D102" s="5"/>
      <c r="E102" s="5"/>
      <c r="F102" s="5"/>
      <c r="G102" s="5"/>
    </row>
    <row r="103" spans="1:8" x14ac:dyDescent="0.3">
      <c r="A103" s="5"/>
      <c r="B103" s="5"/>
      <c r="C103" s="5"/>
      <c r="D103" s="5"/>
      <c r="E103" s="5"/>
      <c r="F103" s="5"/>
      <c r="G103" s="5"/>
    </row>
    <row r="104" spans="1:8" ht="15" thickBot="1" x14ac:dyDescent="0.35">
      <c r="A104" s="5" t="s">
        <v>74</v>
      </c>
      <c r="B104" s="5"/>
      <c r="C104" s="5"/>
      <c r="D104" s="5"/>
      <c r="E104" s="5"/>
      <c r="F104" s="5"/>
      <c r="G104" s="5"/>
    </row>
    <row r="105" spans="1:8" ht="15" thickBot="1" x14ac:dyDescent="0.35">
      <c r="A105" s="61"/>
      <c r="B105" s="61" t="s">
        <v>15</v>
      </c>
      <c r="C105" s="61" t="s">
        <v>64</v>
      </c>
      <c r="D105" s="61" t="s">
        <v>65</v>
      </c>
      <c r="E105" s="61" t="s">
        <v>66</v>
      </c>
      <c r="F105" s="61" t="s">
        <v>67</v>
      </c>
      <c r="G105" s="5"/>
    </row>
    <row r="106" spans="1:8" ht="15" thickBot="1" x14ac:dyDescent="0.35">
      <c r="A106" s="62" t="s">
        <v>68</v>
      </c>
      <c r="B106" s="63">
        <f>F63</f>
        <v>137637.71320000003</v>
      </c>
      <c r="C106" s="64">
        <f>G63</f>
        <v>5529292.9278730005</v>
      </c>
      <c r="D106" s="65">
        <v>0</v>
      </c>
      <c r="E106" s="65">
        <f>H63</f>
        <v>19971.599999999999</v>
      </c>
      <c r="F106" s="66">
        <f>SUM(C106:E106)</f>
        <v>5549264.5278730001</v>
      </c>
      <c r="G106" s="5"/>
    </row>
    <row r="107" spans="1:8" ht="15" thickBot="1" x14ac:dyDescent="0.35">
      <c r="A107" s="62" t="s">
        <v>69</v>
      </c>
      <c r="B107" s="63">
        <f>B106*3</f>
        <v>412913.13960000011</v>
      </c>
      <c r="C107" s="65">
        <f>C106*3</f>
        <v>16587878.783619002</v>
      </c>
      <c r="D107" s="65">
        <v>0</v>
      </c>
      <c r="E107" s="65">
        <f>E106*3</f>
        <v>59914.799999999996</v>
      </c>
      <c r="F107" s="66">
        <f>SUM(C107:E107)</f>
        <v>16647793.583619002</v>
      </c>
      <c r="G107" s="5"/>
    </row>
    <row r="108" spans="1:8" x14ac:dyDescent="0.3">
      <c r="A108" s="5"/>
      <c r="B108" s="5"/>
      <c r="C108" s="5"/>
      <c r="D108" s="5"/>
      <c r="E108" s="5"/>
      <c r="F108" s="5"/>
      <c r="G108" s="5"/>
    </row>
    <row r="109" spans="1:8" ht="15" thickBot="1" x14ac:dyDescent="0.35">
      <c r="A109" s="5" t="s">
        <v>75</v>
      </c>
      <c r="B109" s="5"/>
      <c r="C109" s="5"/>
      <c r="D109" s="5"/>
      <c r="E109" s="5"/>
      <c r="F109" s="5"/>
      <c r="G109" s="5"/>
    </row>
    <row r="110" spans="1:8" ht="31.8" thickBot="1" x14ac:dyDescent="0.35">
      <c r="A110" s="67"/>
      <c r="B110" s="68" t="s">
        <v>76</v>
      </c>
      <c r="C110" s="68" t="s">
        <v>64</v>
      </c>
      <c r="D110" s="68" t="s">
        <v>65</v>
      </c>
      <c r="E110" s="68" t="s">
        <v>66</v>
      </c>
      <c r="F110" s="68" t="s">
        <v>67</v>
      </c>
      <c r="G110" s="5"/>
    </row>
    <row r="111" spans="1:8" ht="16.2" thickBot="1" x14ac:dyDescent="0.35">
      <c r="A111" s="67" t="s">
        <v>77</v>
      </c>
      <c r="B111" s="69">
        <f>B98</f>
        <v>6825633.3600000013</v>
      </c>
      <c r="C111" s="70">
        <f>C98</f>
        <v>311620829.14194804</v>
      </c>
      <c r="D111" s="71">
        <v>0</v>
      </c>
      <c r="E111" s="71">
        <f>E98</f>
        <v>1695112.3200000003</v>
      </c>
      <c r="F111" s="71">
        <f>SUM(C111:E111)</f>
        <v>313315941.46194804</v>
      </c>
      <c r="G111" s="5" t="s">
        <v>78</v>
      </c>
    </row>
    <row r="112" spans="1:8" ht="16.2" thickBot="1" x14ac:dyDescent="0.35">
      <c r="A112" s="72" t="s">
        <v>8</v>
      </c>
      <c r="B112" s="73">
        <f>B106</f>
        <v>137637.71320000003</v>
      </c>
      <c r="C112" s="71">
        <f>C106</f>
        <v>5529292.9278730005</v>
      </c>
      <c r="D112" s="71">
        <v>0</v>
      </c>
      <c r="E112" s="71">
        <f>E106</f>
        <v>19971.599999999999</v>
      </c>
      <c r="F112" s="71">
        <f>SUM(C112:E112)</f>
        <v>5549264.5278730001</v>
      </c>
      <c r="G112" s="5"/>
    </row>
    <row r="113" spans="1:7" ht="16.2" thickBot="1" x14ac:dyDescent="0.35">
      <c r="A113" s="74" t="s">
        <v>47</v>
      </c>
      <c r="B113" s="75">
        <f>SUM(B111:B112)</f>
        <v>6963271.0732000014</v>
      </c>
      <c r="C113" s="76">
        <f>SUM(C111:C112)</f>
        <v>317150122.06982106</v>
      </c>
      <c r="D113" s="76">
        <v>0</v>
      </c>
      <c r="E113" s="76">
        <f>SUM(E111:E112)</f>
        <v>1715083.9200000004</v>
      </c>
      <c r="F113" s="76">
        <f>SUM(F111:F112)</f>
        <v>318865205.98982102</v>
      </c>
      <c r="G113" s="5"/>
    </row>
    <row r="114" spans="1:7" ht="16.2" thickBot="1" x14ac:dyDescent="0.35">
      <c r="A114" s="67" t="s">
        <v>69</v>
      </c>
      <c r="B114" s="77">
        <f>B113*3</f>
        <v>20889813.219600003</v>
      </c>
      <c r="C114" s="78">
        <f>C113*3</f>
        <v>951450366.20946312</v>
      </c>
      <c r="D114" s="78">
        <f>D113*3</f>
        <v>0</v>
      </c>
      <c r="E114" s="78">
        <f>E113*3</f>
        <v>5145251.7600000016</v>
      </c>
      <c r="F114" s="78">
        <f>F113*3</f>
        <v>956595617.96946311</v>
      </c>
      <c r="G114" s="5"/>
    </row>
    <row r="115" spans="1:7" ht="15" thickBot="1" x14ac:dyDescent="0.35">
      <c r="G115" s="9"/>
    </row>
    <row r="116" spans="1:7" x14ac:dyDescent="0.3">
      <c r="A116">
        <v>38875155</v>
      </c>
      <c r="B116">
        <f>A116*3</f>
        <v>116625465</v>
      </c>
      <c r="G116" s="5"/>
    </row>
  </sheetData>
  <mergeCells count="1">
    <mergeCell ref="B58:G58"/>
  </mergeCells>
  <pageMargins left="0.7" right="0.7" top="0.75" bottom="0.75" header="0.3" footer="0.3"/>
  <pageSetup scale="8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EDD2B-398F-4017-AEE6-5FA5962E56F4}">
  <sheetPr>
    <tabColor rgb="FFFFFF00"/>
    <pageSetUpPr fitToPage="1"/>
  </sheetPr>
  <dimension ref="A1:P121"/>
  <sheetViews>
    <sheetView topLeftCell="D86" zoomScaleNormal="100" workbookViewId="0">
      <selection activeCell="I111" sqref="I111"/>
    </sheetView>
  </sheetViews>
  <sheetFormatPr defaultRowHeight="14.4" x14ac:dyDescent="0.3"/>
  <cols>
    <col min="1" max="1" width="33.44140625" customWidth="1"/>
    <col min="2" max="2" width="19.33203125" customWidth="1"/>
    <col min="3" max="3" width="17.44140625" customWidth="1"/>
    <col min="4" max="4" width="12.5546875" customWidth="1"/>
    <col min="5" max="5" width="18" customWidth="1"/>
    <col min="6" max="6" width="20" customWidth="1"/>
    <col min="7" max="7" width="37.21875" customWidth="1"/>
    <col min="8" max="8" width="10.77734375" customWidth="1"/>
    <col min="9" max="9" width="6.5546875" customWidth="1"/>
    <col min="10" max="10" width="26.21875" bestFit="1" customWidth="1"/>
    <col min="11" max="11" width="14.5546875" bestFit="1" customWidth="1"/>
    <col min="12" max="12" width="26.88671875" bestFit="1" customWidth="1"/>
    <col min="13" max="13" width="13.77734375" bestFit="1" customWidth="1"/>
    <col min="15" max="15" width="13.109375" bestFit="1" customWidth="1"/>
    <col min="16" max="16" width="16.109375" bestFit="1" customWidth="1"/>
  </cols>
  <sheetData>
    <row r="1" spans="1:13" ht="30.6" customHeight="1" x14ac:dyDescent="0.3">
      <c r="A1" s="180" t="s">
        <v>0</v>
      </c>
      <c r="B1" s="181" t="s">
        <v>257</v>
      </c>
      <c r="C1" s="182" t="s">
        <v>3</v>
      </c>
      <c r="D1" s="183"/>
      <c r="E1" s="184" t="s">
        <v>258</v>
      </c>
      <c r="F1" s="180" t="s">
        <v>3</v>
      </c>
    </row>
    <row r="2" spans="1:13" x14ac:dyDescent="0.3">
      <c r="A2" s="174" t="s">
        <v>4</v>
      </c>
      <c r="B2" s="175">
        <f>'2021_v16 Corrected Values'!E2</f>
        <v>73.504055999999991</v>
      </c>
      <c r="C2" s="175">
        <f>(B2*0.3) +(B7*0.7)</f>
        <v>65.775120239999993</v>
      </c>
      <c r="D2" s="175"/>
      <c r="E2" s="175">
        <f>'BLS ECEC Dec 2025 - Private'!$B$38</f>
        <v>87.9</v>
      </c>
      <c r="F2" s="175">
        <f>(E2*0.3) +(E7*0.7)</f>
        <v>87.13</v>
      </c>
      <c r="L2" s="127"/>
      <c r="M2" s="128"/>
    </row>
    <row r="3" spans="1:13" x14ac:dyDescent="0.3">
      <c r="A3" s="174" t="s">
        <v>5</v>
      </c>
      <c r="B3" s="175">
        <f>'2021_v16 Corrected Values'!E3</f>
        <v>58.079738399999997</v>
      </c>
      <c r="C3" s="175">
        <f>(B3*0.3) +(B8*0.7)</f>
        <v>41.109843359999999</v>
      </c>
      <c r="D3" s="175"/>
      <c r="E3" s="175">
        <f>'BLS ECEC Dec 2025 - Private'!$B$39</f>
        <v>74.94</v>
      </c>
      <c r="F3" s="175">
        <f>(E3*0.3) +(E8*0.7)</f>
        <v>72.951999999999998</v>
      </c>
      <c r="L3" s="127"/>
      <c r="M3" s="130"/>
    </row>
    <row r="4" spans="1:13" x14ac:dyDescent="0.3">
      <c r="A4" s="174" t="s">
        <v>6</v>
      </c>
      <c r="B4" s="175">
        <f>'2021_v16 Corrected Values'!E4</f>
        <v>27.283531200000002</v>
      </c>
      <c r="C4" s="175">
        <f>(B4*0.3) +(B9*0.7)</f>
        <v>26.652298080000001</v>
      </c>
      <c r="D4" s="175"/>
      <c r="E4" s="175">
        <f>'BLS ECEC Dec 2025 - Private'!$B$41</f>
        <v>38.520000000000003</v>
      </c>
      <c r="F4" s="175">
        <f>(E4*0.3) +(E9*0.7)</f>
        <v>36.531999999999996</v>
      </c>
      <c r="L4" s="3"/>
      <c r="M4" s="129"/>
    </row>
    <row r="5" spans="1:13" x14ac:dyDescent="0.3">
      <c r="A5" s="174"/>
      <c r="B5" s="175"/>
      <c r="C5" s="175"/>
      <c r="D5" s="175"/>
      <c r="E5" s="175"/>
      <c r="F5" s="174"/>
      <c r="L5" s="127"/>
      <c r="M5" s="128"/>
    </row>
    <row r="6" spans="1:13" x14ac:dyDescent="0.3">
      <c r="A6" s="176" t="s">
        <v>7</v>
      </c>
      <c r="B6" s="175"/>
      <c r="C6" s="175"/>
      <c r="D6" s="175"/>
      <c r="E6" s="175"/>
      <c r="F6" s="174"/>
      <c r="L6" s="3"/>
      <c r="M6" s="129"/>
    </row>
    <row r="7" spans="1:13" x14ac:dyDescent="0.3">
      <c r="A7" s="174" t="s">
        <v>4</v>
      </c>
      <c r="B7" s="175">
        <f>'2021_v16 Corrected Values'!E7</f>
        <v>62.462719200000002</v>
      </c>
      <c r="C7" s="175"/>
      <c r="D7" s="175"/>
      <c r="E7" s="175">
        <f>'BLS ECEC Dec 2025 - Private'!$B$50</f>
        <v>86.8</v>
      </c>
      <c r="F7" s="175"/>
    </row>
    <row r="8" spans="1:13" x14ac:dyDescent="0.3">
      <c r="A8" s="174" t="s">
        <v>5</v>
      </c>
      <c r="B8" s="175">
        <f>'2021_v16 Corrected Values'!E8</f>
        <v>33.837031200000006</v>
      </c>
      <c r="C8" s="175"/>
      <c r="D8" s="175"/>
      <c r="E8" s="175">
        <f>'BLS ECEC Dec 2025 - Private'!$B$51</f>
        <v>72.099999999999994</v>
      </c>
      <c r="F8" s="174"/>
      <c r="L8" s="2"/>
      <c r="M8" s="128"/>
    </row>
    <row r="9" spans="1:13" x14ac:dyDescent="0.3">
      <c r="A9" s="174" t="s">
        <v>6</v>
      </c>
      <c r="B9" s="175">
        <f>'2021_v16 Corrected Values'!E9</f>
        <v>26.381769600000002</v>
      </c>
      <c r="C9" s="175"/>
      <c r="D9" s="175"/>
      <c r="E9" s="175">
        <f>'BLS ECEC Dec 2025 - Private'!$B$54</f>
        <v>35.68</v>
      </c>
      <c r="F9" s="174"/>
    </row>
    <row r="10" spans="1:13" x14ac:dyDescent="0.3">
      <c r="A10" s="174"/>
      <c r="B10" s="174"/>
      <c r="C10" s="174"/>
      <c r="D10" s="174"/>
      <c r="E10" s="174"/>
      <c r="F10" s="174"/>
    </row>
    <row r="11" spans="1:13" x14ac:dyDescent="0.3">
      <c r="A11" s="176" t="s">
        <v>8</v>
      </c>
      <c r="B11" s="174"/>
      <c r="C11" s="174"/>
      <c r="D11" s="174"/>
      <c r="E11" s="174"/>
      <c r="F11" s="174"/>
    </row>
    <row r="12" spans="1:13" x14ac:dyDescent="0.3">
      <c r="A12" s="174" t="s">
        <v>4</v>
      </c>
      <c r="B12" s="175">
        <f>'2021_v16 Corrected Values'!E12</f>
        <v>62.515427699999996</v>
      </c>
      <c r="C12" s="174"/>
      <c r="D12" s="174"/>
      <c r="E12" s="175">
        <f>'BLS ECEC Dec 2025 - Public'!$B$9</f>
        <v>77.94</v>
      </c>
      <c r="F12" s="174"/>
    </row>
    <row r="13" spans="1:13" x14ac:dyDescent="0.3">
      <c r="A13" s="174" t="s">
        <v>5</v>
      </c>
      <c r="B13" s="175">
        <f>'2021_v16 Corrected Values'!E13</f>
        <v>60.850597499999999</v>
      </c>
      <c r="C13" s="174"/>
      <c r="D13" s="174"/>
      <c r="E13" s="175">
        <f>'BLS ECEC Dec 2025 - Public'!$B$10</f>
        <v>75.63</v>
      </c>
      <c r="F13" s="174"/>
    </row>
    <row r="14" spans="1:13" x14ac:dyDescent="0.3">
      <c r="A14" s="177" t="s">
        <v>6</v>
      </c>
      <c r="B14" s="178">
        <f>'2021_v16 Corrected Values'!E14</f>
        <v>35.994050399999992</v>
      </c>
      <c r="C14" s="177"/>
      <c r="D14" s="179"/>
      <c r="E14" s="178">
        <f>'BLS ECEC Dec 2025 - Public'!$B$14</f>
        <v>46.08</v>
      </c>
      <c r="F14" s="177"/>
    </row>
    <row r="15" spans="1:13" ht="53.4" customHeight="1" x14ac:dyDescent="0.3">
      <c r="A15" s="422" t="s">
        <v>278</v>
      </c>
      <c r="B15" s="423"/>
      <c r="C15" s="423"/>
      <c r="D15" s="423"/>
      <c r="E15" s="423"/>
      <c r="F15" s="424"/>
    </row>
    <row r="16" spans="1:13" ht="44.4" customHeight="1" x14ac:dyDescent="0.3">
      <c r="A16" s="425" t="s">
        <v>279</v>
      </c>
      <c r="B16" s="426"/>
      <c r="C16" s="426"/>
      <c r="D16" s="426"/>
      <c r="E16" s="426"/>
      <c r="F16" s="427"/>
    </row>
    <row r="17" spans="1:10" x14ac:dyDescent="0.3">
      <c r="B17" s="1"/>
    </row>
    <row r="18" spans="1:10" ht="15" thickBot="1" x14ac:dyDescent="0.35">
      <c r="A18" s="4" t="s">
        <v>325</v>
      </c>
      <c r="B18" s="5"/>
      <c r="C18" s="5"/>
      <c r="D18" s="5"/>
      <c r="E18" s="5"/>
      <c r="F18" s="5"/>
      <c r="G18" s="140"/>
    </row>
    <row r="19" spans="1:10" ht="21.75" customHeight="1" thickBot="1" x14ac:dyDescent="0.35">
      <c r="A19" s="11" t="s">
        <v>11</v>
      </c>
      <c r="B19" s="12" t="s">
        <v>12</v>
      </c>
      <c r="C19" s="12" t="s">
        <v>13</v>
      </c>
      <c r="D19" s="12" t="s">
        <v>14</v>
      </c>
      <c r="E19" s="13" t="s">
        <v>15</v>
      </c>
      <c r="F19" s="13" t="s">
        <v>16</v>
      </c>
      <c r="G19" s="5"/>
    </row>
    <row r="20" spans="1:10" ht="18.75" customHeight="1" thickBot="1" x14ac:dyDescent="0.35">
      <c r="A20" s="208" t="s">
        <v>17</v>
      </c>
      <c r="B20" s="206"/>
      <c r="C20" s="206"/>
      <c r="D20" s="206"/>
      <c r="E20" s="206"/>
      <c r="F20" s="206"/>
      <c r="G20" s="5"/>
      <c r="J20" s="121" t="s">
        <v>287</v>
      </c>
    </row>
    <row r="21" spans="1:10" ht="18" customHeight="1" thickBot="1" x14ac:dyDescent="0.35">
      <c r="A21" s="216" t="s">
        <v>18</v>
      </c>
      <c r="B21" s="207">
        <f>'2021_v16 Corrected Values'!B20</f>
        <v>2.5</v>
      </c>
      <c r="C21" s="207">
        <f>'2021_v16 Corrected Values'!C20</f>
        <v>7.5</v>
      </c>
      <c r="D21" s="207">
        <v>0</v>
      </c>
      <c r="E21" s="207">
        <f>SUM(B21:D21)</f>
        <v>10</v>
      </c>
      <c r="F21" s="218">
        <f>$B21*$F$2+ $C21*$F$3+$D21*$F$4</f>
        <v>764.96499999999992</v>
      </c>
      <c r="G21" s="140"/>
      <c r="J21" s="122">
        <f>F21-'2021_v16 Corrected Values'!F20</f>
        <v>292.20337419999998</v>
      </c>
    </row>
    <row r="22" spans="1:10" ht="16.5" customHeight="1" thickBot="1" x14ac:dyDescent="0.35">
      <c r="A22" s="16"/>
      <c r="B22" s="15"/>
      <c r="C22" s="15"/>
      <c r="D22" s="15"/>
      <c r="E22" s="15"/>
      <c r="F22" s="15"/>
      <c r="G22" s="5"/>
      <c r="J22" s="123"/>
    </row>
    <row r="23" spans="1:10" ht="19.5" customHeight="1" x14ac:dyDescent="0.3">
      <c r="A23" s="208" t="s">
        <v>19</v>
      </c>
      <c r="B23" s="206"/>
      <c r="C23" s="206"/>
      <c r="D23" s="206"/>
      <c r="E23" s="206"/>
      <c r="F23" s="206"/>
      <c r="G23" s="5"/>
      <c r="J23" s="123"/>
    </row>
    <row r="24" spans="1:10" x14ac:dyDescent="0.3">
      <c r="A24" s="209" t="s">
        <v>20</v>
      </c>
      <c r="B24" s="210"/>
      <c r="C24" s="210"/>
      <c r="D24" s="210"/>
      <c r="E24" s="210"/>
      <c r="F24" s="210"/>
      <c r="G24" s="5"/>
      <c r="J24" s="123"/>
    </row>
    <row r="25" spans="1:10" ht="30" customHeight="1" x14ac:dyDescent="0.3">
      <c r="A25" s="211" t="s">
        <v>21</v>
      </c>
      <c r="B25" s="212">
        <v>1</v>
      </c>
      <c r="C25" s="212">
        <v>3</v>
      </c>
      <c r="D25" s="212">
        <v>0</v>
      </c>
      <c r="E25" s="212">
        <f>SUM(B25:D25)</f>
        <v>4</v>
      </c>
      <c r="F25" s="213">
        <f>$B25*$F$2+ $C25*$F$3+$D25*$F$4</f>
        <v>305.98599999999999</v>
      </c>
      <c r="G25" s="5"/>
      <c r="J25" s="123">
        <f>F25-'2021_v16 Corrected Values'!F24</f>
        <v>116.88134968</v>
      </c>
    </row>
    <row r="26" spans="1:10" ht="26.4" x14ac:dyDescent="0.3">
      <c r="A26" s="211" t="s">
        <v>22</v>
      </c>
      <c r="B26" s="151">
        <v>0.25</v>
      </c>
      <c r="C26" s="212">
        <v>1</v>
      </c>
      <c r="D26" s="212">
        <v>0.5</v>
      </c>
      <c r="E26" s="212">
        <f t="shared" ref="E26:E32" si="0">SUM(B26:D26)</f>
        <v>1.75</v>
      </c>
      <c r="F26" s="213">
        <f>$B26*$F$2+ $C26*$F$3+$D26*$F$4</f>
        <v>113.00049999999999</v>
      </c>
      <c r="G26" s="5"/>
      <c r="J26" s="123">
        <f>F26-'2021_v16 Corrected Values'!F25</f>
        <v>42.12072753999999</v>
      </c>
    </row>
    <row r="27" spans="1:10" ht="15.75" customHeight="1" x14ac:dyDescent="0.3">
      <c r="A27" s="209" t="s">
        <v>23</v>
      </c>
      <c r="B27" s="151"/>
      <c r="C27" s="151"/>
      <c r="D27" s="151"/>
      <c r="E27" s="212"/>
      <c r="F27" s="214"/>
      <c r="G27" s="5"/>
      <c r="J27" s="123"/>
    </row>
    <row r="28" spans="1:10" ht="39.6" x14ac:dyDescent="0.3">
      <c r="A28" s="211" t="s">
        <v>24</v>
      </c>
      <c r="B28" s="212">
        <v>0</v>
      </c>
      <c r="C28" s="212">
        <v>1</v>
      </c>
      <c r="D28" s="151">
        <v>0.25</v>
      </c>
      <c r="E28" s="212">
        <f t="shared" si="0"/>
        <v>1.25</v>
      </c>
      <c r="F28" s="213">
        <f>$B28*$F$2+ $C28*$F$3+$D28*$F$4</f>
        <v>82.084999999999994</v>
      </c>
      <c r="G28" s="5"/>
      <c r="J28" s="123">
        <f>F28-'2021_v16 Corrected Values'!F27</f>
        <v>34.312082119999992</v>
      </c>
    </row>
    <row r="29" spans="1:10" ht="26.4" x14ac:dyDescent="0.3">
      <c r="A29" s="211" t="s">
        <v>25</v>
      </c>
      <c r="B29" s="151">
        <v>0.25</v>
      </c>
      <c r="C29" s="212">
        <v>0.5</v>
      </c>
      <c r="D29" s="151">
        <v>0.25</v>
      </c>
      <c r="E29" s="212">
        <f t="shared" si="0"/>
        <v>1</v>
      </c>
      <c r="F29" s="213">
        <f>$B29*$F$2+ $C29*$F$3+$D29*$F$4</f>
        <v>67.391499999999994</v>
      </c>
      <c r="G29" s="5"/>
      <c r="J29" s="123">
        <f>F29-'2021_v16 Corrected Values'!F28</f>
        <v>23.72972373999999</v>
      </c>
    </row>
    <row r="30" spans="1:10" ht="26.4" x14ac:dyDescent="0.3">
      <c r="A30" s="211" t="s">
        <v>26</v>
      </c>
      <c r="B30" s="151">
        <v>0.25</v>
      </c>
      <c r="C30" s="212">
        <v>0.5</v>
      </c>
      <c r="D30" s="151">
        <v>0.25</v>
      </c>
      <c r="E30" s="212">
        <f t="shared" si="0"/>
        <v>1</v>
      </c>
      <c r="F30" s="213">
        <f>$B30*$F$2+ $C30*$F$3+$D30*$F$4</f>
        <v>67.391499999999994</v>
      </c>
      <c r="G30" s="5"/>
      <c r="J30" s="123">
        <f>F30-'2021_v16 Corrected Values'!F29</f>
        <v>23.72972373999999</v>
      </c>
    </row>
    <row r="31" spans="1:10" ht="24" customHeight="1" x14ac:dyDescent="0.3">
      <c r="A31" s="209" t="s">
        <v>27</v>
      </c>
      <c r="B31" s="210"/>
      <c r="C31" s="215"/>
      <c r="D31" s="210"/>
      <c r="E31" s="212"/>
      <c r="F31" s="210"/>
      <c r="G31" s="5"/>
      <c r="J31" s="123"/>
    </row>
    <row r="32" spans="1:10" ht="27" thickBot="1" x14ac:dyDescent="0.35">
      <c r="A32" s="216" t="s">
        <v>28</v>
      </c>
      <c r="B32" s="217">
        <v>0.25</v>
      </c>
      <c r="C32" s="207">
        <v>0.5</v>
      </c>
      <c r="D32" s="217">
        <v>0.25</v>
      </c>
      <c r="E32" s="207">
        <f t="shared" si="0"/>
        <v>1</v>
      </c>
      <c r="F32" s="218">
        <f>$B32*$F$2+ $C32*$F$3+$D32*$F$4</f>
        <v>67.391499999999994</v>
      </c>
      <c r="G32" s="5"/>
      <c r="J32" s="123">
        <f>F32-'2021_v16 Corrected Values'!F31</f>
        <v>23.72972373999999</v>
      </c>
    </row>
    <row r="33" spans="1:16" ht="15" thickBot="1" x14ac:dyDescent="0.35">
      <c r="A33" s="14"/>
      <c r="B33" s="15"/>
      <c r="C33" s="15"/>
      <c r="D33" s="15"/>
      <c r="E33" s="15"/>
      <c r="F33" s="15"/>
      <c r="G33" s="5"/>
      <c r="J33" s="123"/>
    </row>
    <row r="34" spans="1:16" ht="24" customHeight="1" x14ac:dyDescent="0.3">
      <c r="A34" s="208" t="s">
        <v>29</v>
      </c>
      <c r="B34" s="206"/>
      <c r="C34" s="206"/>
      <c r="D34" s="206"/>
      <c r="E34" s="206"/>
      <c r="F34" s="206"/>
      <c r="G34" s="5"/>
      <c r="J34" s="123"/>
    </row>
    <row r="35" spans="1:16" x14ac:dyDescent="0.3">
      <c r="A35" s="209" t="s">
        <v>30</v>
      </c>
      <c r="B35" s="210"/>
      <c r="C35" s="210"/>
      <c r="D35" s="210"/>
      <c r="E35" s="210"/>
      <c r="F35" s="210"/>
      <c r="G35" s="5"/>
      <c r="J35" s="123"/>
    </row>
    <row r="36" spans="1:16" ht="27" thickBot="1" x14ac:dyDescent="0.35">
      <c r="A36" s="216" t="s">
        <v>31</v>
      </c>
      <c r="B36" s="219"/>
      <c r="C36" s="219"/>
      <c r="D36" s="219"/>
      <c r="E36" s="219"/>
      <c r="F36" s="219"/>
      <c r="G36" s="5"/>
      <c r="J36" s="123"/>
    </row>
    <row r="37" spans="1:16" ht="15" thickBot="1" x14ac:dyDescent="0.35">
      <c r="A37" s="21" t="s">
        <v>32</v>
      </c>
      <c r="B37" s="17"/>
      <c r="C37" s="17"/>
      <c r="D37" s="17"/>
      <c r="E37" s="17"/>
      <c r="F37" s="17"/>
      <c r="G37" s="5" t="s">
        <v>288</v>
      </c>
      <c r="J37" s="123"/>
    </row>
    <row r="38" spans="1:16" x14ac:dyDescent="0.3">
      <c r="A38" s="221" t="s">
        <v>33</v>
      </c>
      <c r="B38" s="220">
        <f>'2021_v16 Corrected Values'!B37</f>
        <v>4</v>
      </c>
      <c r="C38" s="220">
        <f>'2021_v16 Corrected Values'!C37</f>
        <v>10.25</v>
      </c>
      <c r="D38" s="220">
        <v>0</v>
      </c>
      <c r="E38" s="220">
        <f>SUM(B38:D38)</f>
        <v>14.25</v>
      </c>
      <c r="F38" s="228">
        <f>$B38*$F$2+ $C38*$F$3+$D38*$F$4</f>
        <v>1096.278</v>
      </c>
      <c r="G38" s="224">
        <f>E38/1.3</f>
        <v>10.961538461538462</v>
      </c>
      <c r="J38" s="143">
        <f>F38-'2021_v16 Corrected Values'!F37</f>
        <v>411.80162460000008</v>
      </c>
    </row>
    <row r="39" spans="1:16" x14ac:dyDescent="0.3">
      <c r="A39" s="222" t="s">
        <v>34</v>
      </c>
      <c r="B39" s="212">
        <f>'2021_v16 Corrected Values'!B38</f>
        <v>4</v>
      </c>
      <c r="C39" s="212">
        <f>'2021_v16 Corrected Values'!C38</f>
        <v>76.25</v>
      </c>
      <c r="D39" s="212">
        <v>0</v>
      </c>
      <c r="E39" s="212">
        <f>SUM(B39:D39)</f>
        <v>80.25</v>
      </c>
      <c r="F39" s="213">
        <f>$B39*$F$2+ $C39*$F$3+$D39*$F$4</f>
        <v>5911.1100000000006</v>
      </c>
      <c r="G39" s="224">
        <f>E39/1.3</f>
        <v>61.730769230769226</v>
      </c>
      <c r="J39" s="143">
        <f>F39-'2021_v16 Corrected Values'!F38</f>
        <v>2513.3839628400005</v>
      </c>
    </row>
    <row r="40" spans="1:16" ht="15" thickBot="1" x14ac:dyDescent="0.35">
      <c r="A40" s="223" t="s">
        <v>35</v>
      </c>
      <c r="B40" s="207">
        <f>'2021_v16 Corrected Values'!B39</f>
        <v>8</v>
      </c>
      <c r="C40" s="207">
        <f>'2021_v16 Corrected Values'!C39</f>
        <v>112.25</v>
      </c>
      <c r="D40" s="207">
        <v>0</v>
      </c>
      <c r="E40" s="207">
        <f>SUM(B40:D40)</f>
        <v>120.25</v>
      </c>
      <c r="F40" s="218">
        <f>$B40*$F$2+ $C40*$F$3+$D40*$F$4</f>
        <v>8885.902</v>
      </c>
      <c r="G40" s="224">
        <f>E40/1.3</f>
        <v>92.5</v>
      </c>
      <c r="J40" s="143">
        <f>F40-'2021_v16 Corrected Values'!F39</f>
        <v>3745.1211209200001</v>
      </c>
    </row>
    <row r="41" spans="1:16" ht="15" thickBot="1" x14ac:dyDescent="0.35">
      <c r="A41" s="21" t="s">
        <v>36</v>
      </c>
      <c r="B41" s="114"/>
      <c r="C41" s="114"/>
      <c r="D41" s="114"/>
      <c r="E41" s="114"/>
      <c r="F41" s="17"/>
      <c r="G41" s="225"/>
      <c r="J41" s="143"/>
    </row>
    <row r="42" spans="1:16" x14ac:dyDescent="0.3">
      <c r="A42" s="221" t="s">
        <v>37</v>
      </c>
      <c r="B42" s="220">
        <f>'2021_v16 Corrected Values'!B41</f>
        <v>2</v>
      </c>
      <c r="C42" s="220">
        <f>'2021_v16 Corrected Values'!C41</f>
        <v>8.25</v>
      </c>
      <c r="D42" s="220">
        <v>0</v>
      </c>
      <c r="E42" s="220">
        <f>SUM(B42:D42)</f>
        <v>10.25</v>
      </c>
      <c r="F42" s="228">
        <f>$B42*$F$2+ $C42*$F$3+$D42*$F$4</f>
        <v>776.11400000000003</v>
      </c>
      <c r="G42" s="224">
        <f>E42/1.3</f>
        <v>7.8846153846153841</v>
      </c>
      <c r="J42" s="143">
        <f>F42-'2021_v16 Corrected Values'!F41</f>
        <v>305.40755180000008</v>
      </c>
      <c r="L42" s="2"/>
      <c r="O42" s="2"/>
    </row>
    <row r="43" spans="1:16" x14ac:dyDescent="0.3">
      <c r="A43" s="222" t="s">
        <v>34</v>
      </c>
      <c r="B43" s="212">
        <f>'2021_v16 Corrected Values'!B42</f>
        <v>4</v>
      </c>
      <c r="C43" s="212">
        <f>'2021_v16 Corrected Values'!C42</f>
        <v>36.25</v>
      </c>
      <c r="D43" s="212">
        <v>0</v>
      </c>
      <c r="E43" s="212">
        <f>SUM(B43:D43)</f>
        <v>40.25</v>
      </c>
      <c r="F43" s="213">
        <f>$B43*$F$2+ $C43*$F$3+$D43*$F$4</f>
        <v>2993.0299999999997</v>
      </c>
      <c r="G43" s="224">
        <f>E43/1.3</f>
        <v>30.96153846153846</v>
      </c>
      <c r="J43" s="143">
        <f>F43-'2021_v16 Corrected Values'!F42</f>
        <v>1239.6976972399998</v>
      </c>
      <c r="M43" s="99"/>
      <c r="P43" s="99"/>
    </row>
    <row r="44" spans="1:16" ht="15" thickBot="1" x14ac:dyDescent="0.35">
      <c r="A44" s="223" t="s">
        <v>35</v>
      </c>
      <c r="B44" s="207">
        <f>'2021_v16 Corrected Values'!B43</f>
        <v>6</v>
      </c>
      <c r="C44" s="207">
        <f>'2021_v16 Corrected Values'!C43</f>
        <v>34.25</v>
      </c>
      <c r="D44" s="207">
        <v>0</v>
      </c>
      <c r="E44" s="207">
        <f>SUM(B44:D44)</f>
        <v>40.25</v>
      </c>
      <c r="F44" s="218">
        <f>$B44*$F$2+ $C44*$F$3+$D44*$F$4</f>
        <v>3021.3859999999995</v>
      </c>
      <c r="G44" s="224">
        <f>E44/1.3</f>
        <v>30.96153846153846</v>
      </c>
      <c r="J44" s="143">
        <f>F44-'2021_v16 Corrected Values'!F43</f>
        <v>1218.7231434799996</v>
      </c>
      <c r="M44" s="99"/>
      <c r="P44" s="99"/>
    </row>
    <row r="45" spans="1:16" x14ac:dyDescent="0.3">
      <c r="A45" s="5"/>
      <c r="B45" s="5"/>
      <c r="C45" s="5"/>
      <c r="D45" s="5"/>
      <c r="E45" s="5"/>
      <c r="F45" s="226">
        <f>SUM(F21:F44)</f>
        <v>24152.030999999999</v>
      </c>
      <c r="G45" s="5"/>
      <c r="J45" s="143">
        <f>F45-'2021_v16 Corrected Values'!F44</f>
        <v>9990.8418056399969</v>
      </c>
      <c r="L45" s="100"/>
      <c r="M45" s="101"/>
      <c r="O45" s="100"/>
      <c r="P45" s="101"/>
    </row>
    <row r="46" spans="1:16" ht="15" thickBot="1" x14ac:dyDescent="0.35">
      <c r="A46" s="5"/>
      <c r="B46" s="5"/>
      <c r="C46" s="5"/>
      <c r="D46" s="5"/>
      <c r="E46" s="5"/>
      <c r="F46" s="6"/>
      <c r="G46" s="5"/>
      <c r="J46" s="123"/>
    </row>
    <row r="47" spans="1:16" ht="15" thickBot="1" x14ac:dyDescent="0.35">
      <c r="A47" s="5"/>
      <c r="B47" s="5"/>
      <c r="C47" s="5"/>
      <c r="D47" s="5"/>
      <c r="E47" s="5"/>
      <c r="F47" s="6"/>
      <c r="G47" s="5"/>
      <c r="J47" s="121" t="s">
        <v>287</v>
      </c>
    </row>
    <row r="48" spans="1:16" ht="15" thickBot="1" x14ac:dyDescent="0.35">
      <c r="A48" s="4" t="s">
        <v>326</v>
      </c>
      <c r="B48" s="5"/>
      <c r="C48" s="5"/>
      <c r="D48" s="5"/>
      <c r="E48" s="5"/>
      <c r="F48" s="5"/>
      <c r="G48" s="5"/>
      <c r="J48" s="123"/>
    </row>
    <row r="49" spans="1:11" ht="15" thickBot="1" x14ac:dyDescent="0.35">
      <c r="A49" s="23"/>
      <c r="B49" s="24" t="s">
        <v>39</v>
      </c>
      <c r="C49" s="24" t="s">
        <v>40</v>
      </c>
      <c r="D49" s="24" t="s">
        <v>41</v>
      </c>
      <c r="E49" s="24" t="s">
        <v>15</v>
      </c>
      <c r="F49" s="12" t="s">
        <v>16</v>
      </c>
      <c r="G49" s="5"/>
      <c r="J49" s="123"/>
    </row>
    <row r="50" spans="1:11" x14ac:dyDescent="0.3">
      <c r="A50" s="208" t="s">
        <v>42</v>
      </c>
      <c r="B50" s="229"/>
      <c r="C50" s="229"/>
      <c r="D50" s="229"/>
      <c r="E50" s="229"/>
      <c r="F50" s="229"/>
      <c r="G50" s="5"/>
      <c r="J50" s="123"/>
    </row>
    <row r="51" spans="1:11" ht="24.75" customHeight="1" x14ac:dyDescent="0.3">
      <c r="A51" s="211" t="s">
        <v>43</v>
      </c>
      <c r="B51" s="151">
        <v>0</v>
      </c>
      <c r="C51" s="230">
        <f>5*1.1566</f>
        <v>5.7830000000000004</v>
      </c>
      <c r="D51" s="230">
        <f>27.5*1.1566</f>
        <v>31.806500000000003</v>
      </c>
      <c r="E51" s="230">
        <f>SUM(B51:D51)</f>
        <v>37.589500000000001</v>
      </c>
      <c r="F51" s="150">
        <f>B51*$E$12+C51*$E$13+D51*$E$14</f>
        <v>1903.01181</v>
      </c>
      <c r="G51" s="5"/>
      <c r="J51" s="143">
        <f>F51-'2021_v16 Corrected Values'!F50</f>
        <v>406.26804060990003</v>
      </c>
    </row>
    <row r="52" spans="1:11" ht="15" customHeight="1" x14ac:dyDescent="0.3">
      <c r="A52" s="211" t="s">
        <v>44</v>
      </c>
      <c r="B52" s="151">
        <v>0</v>
      </c>
      <c r="C52" s="230">
        <f>40*1.1566</f>
        <v>46.264000000000003</v>
      </c>
      <c r="D52" s="230">
        <f>280*1.1566</f>
        <v>323.84800000000001</v>
      </c>
      <c r="E52" s="230">
        <f>SUM(B52:D52)</f>
        <v>370.11200000000002</v>
      </c>
      <c r="F52" s="150">
        <f>B52*$E$12+C52*$E$13+D52*$E$14</f>
        <v>18421.862160000001</v>
      </c>
      <c r="G52" s="5"/>
      <c r="J52" s="143">
        <f>F52-'2021_v16 Corrected Values'!F51</f>
        <v>3950.0688833208023</v>
      </c>
    </row>
    <row r="53" spans="1:11" x14ac:dyDescent="0.3">
      <c r="A53" s="211" t="s">
        <v>45</v>
      </c>
      <c r="B53" s="151">
        <v>0</v>
      </c>
      <c r="C53" s="230">
        <f>0.5*1.1566</f>
        <v>0.57830000000000004</v>
      </c>
      <c r="D53" s="230">
        <f>0.5*1.1566</f>
        <v>0.57830000000000004</v>
      </c>
      <c r="E53" s="230">
        <f>SUM(B53:D53)</f>
        <v>1.1566000000000001</v>
      </c>
      <c r="F53" s="150">
        <f>B53*$E$12+C53*$E$13+D53*$E$14</f>
        <v>70.384893000000005</v>
      </c>
      <c r="G53" s="5"/>
      <c r="J53" s="143">
        <f>F53-'2021_v16 Corrected Values'!F52</f>
        <v>14.379633119430011</v>
      </c>
    </row>
    <row r="54" spans="1:11" ht="27.75" customHeight="1" x14ac:dyDescent="0.3">
      <c r="A54" s="211" t="s">
        <v>46</v>
      </c>
      <c r="B54" s="151">
        <v>0</v>
      </c>
      <c r="C54" s="230">
        <f>0.5*1.1566</f>
        <v>0.57830000000000004</v>
      </c>
      <c r="D54" s="230">
        <f>0.5*1.1566</f>
        <v>0.57830000000000004</v>
      </c>
      <c r="E54" s="230">
        <f>SUM(B54:D54)</f>
        <v>1.1566000000000001</v>
      </c>
      <c r="F54" s="150">
        <f>B54*$E$12+C54*$E$13+D54*$E$14</f>
        <v>70.384893000000005</v>
      </c>
      <c r="G54" s="5"/>
      <c r="J54" s="143">
        <f>F54-'2021_v16 Corrected Values'!F53</f>
        <v>14.379633119430011</v>
      </c>
    </row>
    <row r="55" spans="1:11" ht="15" thickBot="1" x14ac:dyDescent="0.35">
      <c r="A55" s="231" t="s">
        <v>47</v>
      </c>
      <c r="B55" s="232">
        <f>SUM(B51:B54)</f>
        <v>0</v>
      </c>
      <c r="C55" s="233">
        <f>SUM(C51:C54)</f>
        <v>53.203600000000002</v>
      </c>
      <c r="D55" s="233">
        <f>SUM(D51:D54)</f>
        <v>356.81110000000007</v>
      </c>
      <c r="E55" s="233">
        <f>SUM(E51:E54)</f>
        <v>410.01470000000006</v>
      </c>
      <c r="F55" s="234">
        <f>SUM(F51:F54)</f>
        <v>20465.643755999998</v>
      </c>
      <c r="G55" s="5"/>
      <c r="J55" s="143">
        <f>F55-'2021_v16 Corrected Values'!F54</f>
        <v>4385.0961901695591</v>
      </c>
    </row>
    <row r="56" spans="1:11" ht="15" thickBot="1" x14ac:dyDescent="0.35">
      <c r="A56" s="7"/>
      <c r="B56" s="5"/>
      <c r="C56" s="5"/>
      <c r="D56" s="5"/>
      <c r="E56" s="5"/>
      <c r="F56" s="5"/>
      <c r="G56" s="5"/>
      <c r="J56" s="123"/>
    </row>
    <row r="57" spans="1:11" ht="24.6" thickBot="1" x14ac:dyDescent="0.35">
      <c r="A57" s="8" t="s">
        <v>327</v>
      </c>
      <c r="B57" s="5"/>
      <c r="C57" s="5"/>
      <c r="D57" s="5"/>
      <c r="E57" s="5"/>
      <c r="F57" s="5"/>
      <c r="G57" s="5"/>
      <c r="J57" s="121" t="s">
        <v>287</v>
      </c>
      <c r="K57" s="263"/>
    </row>
    <row r="58" spans="1:11" ht="27" thickBot="1" x14ac:dyDescent="0.35">
      <c r="A58" s="11"/>
      <c r="B58" s="12" t="s">
        <v>49</v>
      </c>
      <c r="C58" s="12" t="s">
        <v>39</v>
      </c>
      <c r="D58" s="12" t="s">
        <v>40</v>
      </c>
      <c r="E58" s="12" t="s">
        <v>41</v>
      </c>
      <c r="F58" s="12" t="s">
        <v>50</v>
      </c>
      <c r="G58" s="90" t="s">
        <v>51</v>
      </c>
      <c r="H58" s="255" t="s">
        <v>52</v>
      </c>
      <c r="J58" s="259" t="s">
        <v>289</v>
      </c>
      <c r="K58" s="260" t="s">
        <v>52</v>
      </c>
    </row>
    <row r="59" spans="1:11" ht="15" thickBot="1" x14ac:dyDescent="0.35">
      <c r="A59" s="14" t="s">
        <v>53</v>
      </c>
      <c r="B59" s="420"/>
      <c r="C59" s="421"/>
      <c r="D59" s="421"/>
      <c r="E59" s="421"/>
      <c r="F59" s="421"/>
      <c r="G59" s="421"/>
      <c r="H59" s="257"/>
      <c r="J59" s="123"/>
      <c r="K59" s="141"/>
    </row>
    <row r="60" spans="1:11" ht="25.5" customHeight="1" x14ac:dyDescent="0.3">
      <c r="A60" s="235" t="s">
        <v>54</v>
      </c>
      <c r="B60" s="236">
        <v>3052</v>
      </c>
      <c r="C60" s="237">
        <v>0</v>
      </c>
      <c r="D60" s="238">
        <f>C51*$B60</f>
        <v>17649.716</v>
      </c>
      <c r="E60" s="238">
        <f>D51*B60</f>
        <v>97073.438000000009</v>
      </c>
      <c r="F60" s="238">
        <f>SUM(C60:E60)</f>
        <v>114723.15400000001</v>
      </c>
      <c r="G60" s="239">
        <f>F51*B60</f>
        <v>5807992.0441199997</v>
      </c>
      <c r="H60" s="256"/>
      <c r="J60" s="143">
        <f>G60-'2021_v16 Corrected Values'!G59</f>
        <v>1239930.0599414147</v>
      </c>
      <c r="K60" s="141"/>
    </row>
    <row r="61" spans="1:11" ht="15.75" customHeight="1" x14ac:dyDescent="0.3">
      <c r="A61" s="240" t="s">
        <v>44</v>
      </c>
      <c r="B61" s="241">
        <v>43</v>
      </c>
      <c r="C61" s="241">
        <v>0</v>
      </c>
      <c r="D61" s="242">
        <f>C52*$B61</f>
        <v>1989.3520000000001</v>
      </c>
      <c r="E61" s="242">
        <f>D52*$B61</f>
        <v>13925.464</v>
      </c>
      <c r="F61" s="242">
        <f>SUM(C61:E61)</f>
        <v>15914.816000000001</v>
      </c>
      <c r="G61" s="243">
        <f>F52*B61</f>
        <v>792140.07287999999</v>
      </c>
      <c r="H61" s="254"/>
      <c r="J61" s="143">
        <f>G61-'2021_v16 Corrected Values'!G60</f>
        <v>169852.96198279446</v>
      </c>
      <c r="K61" s="141"/>
    </row>
    <row r="62" spans="1:11" x14ac:dyDescent="0.3">
      <c r="A62" s="211" t="s">
        <v>55</v>
      </c>
      <c r="B62" s="244">
        <v>3000</v>
      </c>
      <c r="C62" s="151">
        <v>0</v>
      </c>
      <c r="D62" s="242">
        <f>C53*$B62</f>
        <v>1734.9</v>
      </c>
      <c r="E62" s="242">
        <f>D53*$B62</f>
        <v>1734.9</v>
      </c>
      <c r="F62" s="242">
        <f>SUM(C62:E62)</f>
        <v>3469.8</v>
      </c>
      <c r="G62" s="245">
        <f>F53*B62</f>
        <v>211154.679</v>
      </c>
      <c r="H62" s="399">
        <f>(B62*10)*0.33*'GDP Price Deflator'!$H$8</f>
        <v>11589.143811373493</v>
      </c>
      <c r="J62" s="143">
        <f>G62-'2021_v16 Corrected Values'!G61</f>
        <v>43138.899358290015</v>
      </c>
      <c r="K62" s="261">
        <f>H62-'2021_v16 Corrected Values'!H61</f>
        <v>1689.143811373493</v>
      </c>
    </row>
    <row r="63" spans="1:11" ht="26.4" x14ac:dyDescent="0.3">
      <c r="A63" s="211" t="s">
        <v>56</v>
      </c>
      <c r="B63" s="244">
        <v>3052</v>
      </c>
      <c r="C63" s="246">
        <v>0</v>
      </c>
      <c r="D63" s="247">
        <f>1526*1.1566</f>
        <v>1764.9716000000001</v>
      </c>
      <c r="E63" s="248">
        <f>1526*1.1566</f>
        <v>1764.9716000000001</v>
      </c>
      <c r="F63" s="249">
        <f>3052*1.1566</f>
        <v>3529.9432000000002</v>
      </c>
      <c r="G63" s="245">
        <f>F54*B63</f>
        <v>214814.69343600003</v>
      </c>
      <c r="H63" s="399">
        <f>(B63*10)*0.33*'GDP Price Deflator'!$H$8</f>
        <v>11790.022304103968</v>
      </c>
      <c r="J63" s="143">
        <f>G63-'2021_v16 Corrected Values'!G62</f>
        <v>43886.640280500404</v>
      </c>
      <c r="K63" s="261">
        <f>H63-'2021_v16 Corrected Values'!H62</f>
        <v>1718.4223041039677</v>
      </c>
    </row>
    <row r="64" spans="1:11" ht="15" thickBot="1" x14ac:dyDescent="0.35">
      <c r="A64" s="250" t="s">
        <v>57</v>
      </c>
      <c r="B64" s="251"/>
      <c r="C64" s="252"/>
      <c r="D64" s="251">
        <f>SUM(D60:D63)</f>
        <v>23138.939600000002</v>
      </c>
      <c r="E64" s="251">
        <f>SUM(E60:E63)</f>
        <v>114498.7736</v>
      </c>
      <c r="F64" s="258">
        <f>SUM(F60:F63)</f>
        <v>137637.71320000003</v>
      </c>
      <c r="G64" s="253">
        <f>SUM(G60:G63)</f>
        <v>7026101.4894360006</v>
      </c>
      <c r="H64" s="400">
        <f>SUM(H60:H63)</f>
        <v>23379.166115477463</v>
      </c>
      <c r="J64" s="143">
        <f>G64-'2021_v16 Corrected Values'!G63</f>
        <v>1496808.5615630001</v>
      </c>
      <c r="K64" s="261">
        <f>H64-'2021_v16 Corrected Values'!H63</f>
        <v>3407.5661154774643</v>
      </c>
    </row>
    <row r="65" spans="1:11" ht="15" thickBot="1" x14ac:dyDescent="0.35">
      <c r="A65" s="5"/>
      <c r="B65" s="5"/>
      <c r="C65" s="5"/>
      <c r="D65" s="5"/>
      <c r="E65" s="5"/>
      <c r="F65" s="5"/>
      <c r="G65" s="5"/>
      <c r="J65" s="123"/>
      <c r="K65" s="262"/>
    </row>
    <row r="66" spans="1:11" ht="15" thickBot="1" x14ac:dyDescent="0.35">
      <c r="A66" s="4" t="s">
        <v>63</v>
      </c>
      <c r="B66" s="5"/>
      <c r="C66" s="5"/>
      <c r="D66" s="5"/>
      <c r="E66" s="5"/>
      <c r="F66" s="5"/>
      <c r="G66" s="5"/>
      <c r="J66" s="121" t="s">
        <v>287</v>
      </c>
      <c r="K66" s="263"/>
    </row>
    <row r="67" spans="1:11" ht="27" thickBot="1" x14ac:dyDescent="0.35">
      <c r="A67" s="11"/>
      <c r="B67" s="12" t="s">
        <v>49</v>
      </c>
      <c r="C67" s="12" t="s">
        <v>39</v>
      </c>
      <c r="D67" s="12" t="s">
        <v>40</v>
      </c>
      <c r="E67" s="12" t="s">
        <v>41</v>
      </c>
      <c r="F67" s="12" t="s">
        <v>59</v>
      </c>
      <c r="G67" s="12" t="s">
        <v>51</v>
      </c>
      <c r="H67" s="12" t="s">
        <v>60</v>
      </c>
      <c r="J67" s="259" t="s">
        <v>289</v>
      </c>
      <c r="K67" s="260" t="s">
        <v>52</v>
      </c>
    </row>
    <row r="68" spans="1:11" x14ac:dyDescent="0.3">
      <c r="A68" s="208" t="s">
        <v>17</v>
      </c>
      <c r="B68" s="229"/>
      <c r="C68" s="206"/>
      <c r="D68" s="206"/>
      <c r="E68" s="206"/>
      <c r="F68" s="206"/>
      <c r="G68" s="206"/>
      <c r="H68" s="206"/>
      <c r="J68" s="123"/>
      <c r="K68" s="141"/>
    </row>
    <row r="69" spans="1:11" ht="15" thickBot="1" x14ac:dyDescent="0.35">
      <c r="A69" s="216" t="s">
        <v>18</v>
      </c>
      <c r="B69" s="217">
        <v>140</v>
      </c>
      <c r="C69" s="217">
        <f>B21*B69</f>
        <v>350</v>
      </c>
      <c r="D69" s="217">
        <f>C21*B69</f>
        <v>1050</v>
      </c>
      <c r="E69" s="217">
        <v>0</v>
      </c>
      <c r="F69" s="273">
        <f>SUM(C69:E69)</f>
        <v>1400</v>
      </c>
      <c r="G69" s="147">
        <f>F21*B69</f>
        <v>107095.09999999999</v>
      </c>
      <c r="H69" s="147"/>
      <c r="J69" s="143">
        <f>G69-'2021_v16 Corrected Values'!G68</f>
        <v>40908.472387999995</v>
      </c>
      <c r="K69" s="141"/>
    </row>
    <row r="70" spans="1:11" ht="15" thickBot="1" x14ac:dyDescent="0.35">
      <c r="A70" s="43" t="s">
        <v>61</v>
      </c>
      <c r="B70" s="15"/>
      <c r="C70" s="15"/>
      <c r="D70" s="15"/>
      <c r="E70" s="15"/>
      <c r="F70" s="47">
        <f>F69</f>
        <v>1400</v>
      </c>
      <c r="G70" s="48">
        <f>G69</f>
        <v>107095.09999999999</v>
      </c>
      <c r="H70" s="48"/>
      <c r="J70" s="143">
        <f>G70-'2021_v16 Corrected Values'!G69</f>
        <v>40908.472387999995</v>
      </c>
      <c r="K70" s="141"/>
    </row>
    <row r="71" spans="1:11" ht="15" thickBot="1" x14ac:dyDescent="0.35">
      <c r="A71" s="14" t="s">
        <v>19</v>
      </c>
      <c r="B71" s="15"/>
      <c r="C71" s="15"/>
      <c r="D71" s="15"/>
      <c r="E71" s="15"/>
      <c r="F71" s="15"/>
      <c r="G71" s="49"/>
      <c r="H71" s="49"/>
      <c r="J71" s="143"/>
      <c r="K71" s="141"/>
    </row>
    <row r="72" spans="1:11" ht="15" thickBot="1" x14ac:dyDescent="0.35">
      <c r="A72" s="14" t="s">
        <v>20</v>
      </c>
      <c r="B72" s="15"/>
      <c r="C72" s="15"/>
      <c r="D72" s="15"/>
      <c r="E72" s="15"/>
      <c r="F72" s="15"/>
      <c r="G72" s="49"/>
      <c r="H72" s="49"/>
      <c r="J72" s="143"/>
      <c r="K72" s="141"/>
    </row>
    <row r="73" spans="1:11" ht="26.4" x14ac:dyDescent="0.3">
      <c r="A73" s="264" t="s">
        <v>21</v>
      </c>
      <c r="B73" s="229">
        <v>140</v>
      </c>
      <c r="C73" s="229">
        <f t="shared" ref="C73:E74" si="1">B25*$B73</f>
        <v>140</v>
      </c>
      <c r="D73" s="229">
        <f t="shared" si="1"/>
        <v>420</v>
      </c>
      <c r="E73" s="229">
        <f t="shared" si="1"/>
        <v>0</v>
      </c>
      <c r="F73" s="265">
        <f>SUM(C73:E73)</f>
        <v>560</v>
      </c>
      <c r="G73" s="146">
        <f>F25*B73</f>
        <v>42838.04</v>
      </c>
      <c r="H73" s="146"/>
      <c r="J73" s="143">
        <f>G73-'2021_v16 Corrected Values'!G72</f>
        <v>16363.388955200004</v>
      </c>
      <c r="K73" s="141"/>
    </row>
    <row r="74" spans="1:11" ht="27" thickBot="1" x14ac:dyDescent="0.35">
      <c r="A74" s="216" t="s">
        <v>22</v>
      </c>
      <c r="B74" s="217">
        <f>B69*0.3</f>
        <v>42</v>
      </c>
      <c r="C74" s="217">
        <f t="shared" si="1"/>
        <v>10.5</v>
      </c>
      <c r="D74" s="217">
        <f t="shared" si="1"/>
        <v>42</v>
      </c>
      <c r="E74" s="217">
        <f t="shared" si="1"/>
        <v>21</v>
      </c>
      <c r="F74" s="266">
        <f>SUM(C74:E74)</f>
        <v>73.5</v>
      </c>
      <c r="G74" s="147">
        <f>F26*B74</f>
        <v>4746.0209999999997</v>
      </c>
      <c r="H74" s="147">
        <f>(B74*10)*0.33*'GDP Price Deflator'!$H$8</f>
        <v>162.24801335922891</v>
      </c>
      <c r="J74" s="143">
        <f>G74-'2021_v16 Corrected Values'!G73</f>
        <v>1769.0705566799998</v>
      </c>
      <c r="K74" s="143">
        <f>H74-'2021_v16 Corrected Values'!H73</f>
        <v>23.648013359228912</v>
      </c>
    </row>
    <row r="75" spans="1:11" ht="15" thickBot="1" x14ac:dyDescent="0.35">
      <c r="A75" s="14" t="s">
        <v>23</v>
      </c>
      <c r="B75" s="15"/>
      <c r="C75" s="17"/>
      <c r="D75" s="17"/>
      <c r="E75" s="17"/>
      <c r="F75" s="17"/>
      <c r="G75" s="49"/>
      <c r="H75" s="49"/>
      <c r="J75" s="143"/>
      <c r="K75" s="141"/>
    </row>
    <row r="76" spans="1:11" ht="39.6" x14ac:dyDescent="0.3">
      <c r="A76" s="264" t="s">
        <v>24</v>
      </c>
      <c r="B76" s="229">
        <f>B69*0.7</f>
        <v>98</v>
      </c>
      <c r="C76" s="229">
        <f t="shared" ref="C76:E78" si="2">B28*$B76</f>
        <v>0</v>
      </c>
      <c r="D76" s="229">
        <f t="shared" si="2"/>
        <v>98</v>
      </c>
      <c r="E76" s="229">
        <f t="shared" si="2"/>
        <v>24.5</v>
      </c>
      <c r="F76" s="267">
        <f>SUM(C76:E76)</f>
        <v>122.5</v>
      </c>
      <c r="G76" s="146">
        <f>F28*B76</f>
        <v>8044.329999999999</v>
      </c>
      <c r="H76" s="146">
        <f>(B76*10)*0.33*'GDP Price Deflator'!$H$8</f>
        <v>378.57869783820081</v>
      </c>
      <c r="J76" s="143">
        <f>G76-'2021_v16 Corrected Values'!G75</f>
        <v>3362.5840477599986</v>
      </c>
      <c r="K76" s="141"/>
    </row>
    <row r="77" spans="1:11" ht="26.4" x14ac:dyDescent="0.3">
      <c r="A77" s="211" t="s">
        <v>25</v>
      </c>
      <c r="B77" s="268">
        <f>20000*1.1566</f>
        <v>23132</v>
      </c>
      <c r="C77" s="268">
        <f t="shared" si="2"/>
        <v>5783</v>
      </c>
      <c r="D77" s="268">
        <f t="shared" si="2"/>
        <v>11566</v>
      </c>
      <c r="E77" s="268">
        <f t="shared" si="2"/>
        <v>5783</v>
      </c>
      <c r="F77" s="268">
        <f>SUM(C77:E77)</f>
        <v>23132</v>
      </c>
      <c r="G77" s="145">
        <f>F29*B77</f>
        <v>1558900.1779999998</v>
      </c>
      <c r="H77" s="145">
        <f>(B77*10)*0.33*'GDP Price Deflator'!$H$8</f>
        <v>89360.024881563892</v>
      </c>
      <c r="J77" s="143">
        <f>G77-'2021_v16 Corrected Values'!G76</f>
        <v>548915.96955367981</v>
      </c>
      <c r="K77" s="141"/>
    </row>
    <row r="78" spans="1:11" ht="27" thickBot="1" x14ac:dyDescent="0.35">
      <c r="A78" s="216" t="s">
        <v>26</v>
      </c>
      <c r="B78" s="269">
        <f>20000*1.1566</f>
        <v>23132</v>
      </c>
      <c r="C78" s="269">
        <f t="shared" si="2"/>
        <v>5783</v>
      </c>
      <c r="D78" s="269">
        <f t="shared" si="2"/>
        <v>11566</v>
      </c>
      <c r="E78" s="269">
        <f t="shared" si="2"/>
        <v>5783</v>
      </c>
      <c r="F78" s="269">
        <f>SUM(C78:E78)</f>
        <v>23132</v>
      </c>
      <c r="G78" s="144">
        <f>F30*B78</f>
        <v>1558900.1779999998</v>
      </c>
      <c r="H78" s="144">
        <f>(B78*10)*0.33*'GDP Price Deflator'!$H$8</f>
        <v>89360.024881563892</v>
      </c>
      <c r="J78" s="143">
        <f>G78-'2021_v16 Corrected Values'!G77</f>
        <v>548915.96955367981</v>
      </c>
      <c r="K78" s="141"/>
    </row>
    <row r="79" spans="1:11" x14ac:dyDescent="0.3">
      <c r="A79" s="208" t="s">
        <v>27</v>
      </c>
      <c r="B79" s="270"/>
      <c r="C79" s="270"/>
      <c r="D79" s="270"/>
      <c r="E79" s="270"/>
      <c r="F79" s="271"/>
      <c r="G79" s="272"/>
      <c r="H79" s="272"/>
      <c r="J79" s="143"/>
      <c r="K79" s="141"/>
    </row>
    <row r="80" spans="1:11" ht="27" thickBot="1" x14ac:dyDescent="0.35">
      <c r="A80" s="216" t="s">
        <v>28</v>
      </c>
      <c r="B80" s="269">
        <f>4000*1.1566</f>
        <v>4626.4000000000005</v>
      </c>
      <c r="C80" s="269">
        <f>B32*$B80</f>
        <v>1156.6000000000001</v>
      </c>
      <c r="D80" s="269">
        <f>C32*$B80</f>
        <v>2313.2000000000003</v>
      </c>
      <c r="E80" s="269">
        <f>D32*$B80</f>
        <v>1156.6000000000001</v>
      </c>
      <c r="F80" s="269">
        <f>SUM(C80:E80)</f>
        <v>4626.4000000000005</v>
      </c>
      <c r="G80" s="144">
        <f>F32*B80</f>
        <v>311780.0356</v>
      </c>
      <c r="H80" s="144">
        <f>(B80*10)*0.33*'GDP Price Deflator'!$H$8</f>
        <v>17872.004976312779</v>
      </c>
      <c r="J80" s="143">
        <f>G80-'2021_v16 Corrected Values'!G79</f>
        <v>109783.19391073595</v>
      </c>
      <c r="K80" s="143">
        <f>H80-'2021_v16 Corrected Values'!H79</f>
        <v>2604.8849763127764</v>
      </c>
    </row>
    <row r="81" spans="1:16" ht="15" thickBot="1" x14ac:dyDescent="0.35">
      <c r="A81" s="43" t="s">
        <v>61</v>
      </c>
      <c r="B81" s="15"/>
      <c r="C81" s="15"/>
      <c r="D81" s="15"/>
      <c r="E81" s="15"/>
      <c r="F81" s="47">
        <f>SUM(F73:F80)</f>
        <v>51646.400000000001</v>
      </c>
      <c r="G81" s="48">
        <f>SUM(G73:G80)</f>
        <v>3485208.7825999996</v>
      </c>
      <c r="H81" s="48">
        <f>SUM(H73:H80)</f>
        <v>197132.88145063797</v>
      </c>
      <c r="J81" s="143">
        <f>G81-'2021_v16 Corrected Values'!G80</f>
        <v>1229110.1765777357</v>
      </c>
      <c r="K81" s="143">
        <f>H81-'2021_v16 Corrected Values'!H80</f>
        <v>28732.561450637964</v>
      </c>
    </row>
    <row r="82" spans="1:16" ht="15" thickBot="1" x14ac:dyDescent="0.35">
      <c r="A82" s="14" t="s">
        <v>29</v>
      </c>
      <c r="B82" s="15"/>
      <c r="C82" s="15"/>
      <c r="D82" s="15"/>
      <c r="E82" s="15"/>
      <c r="F82" s="15"/>
      <c r="G82" s="15"/>
      <c r="H82" s="15"/>
      <c r="J82" s="123"/>
      <c r="K82" s="141"/>
    </row>
    <row r="83" spans="1:16" ht="15" thickBot="1" x14ac:dyDescent="0.35">
      <c r="A83" s="208" t="s">
        <v>30</v>
      </c>
      <c r="B83" s="206"/>
      <c r="C83" s="206"/>
      <c r="D83" s="206"/>
      <c r="E83" s="206"/>
      <c r="F83" s="206"/>
      <c r="G83" s="206"/>
      <c r="H83" s="206"/>
      <c r="J83" s="123"/>
      <c r="K83" s="262"/>
    </row>
    <row r="84" spans="1:16" ht="27" thickBot="1" x14ac:dyDescent="0.35">
      <c r="A84" s="216" t="s">
        <v>31</v>
      </c>
      <c r="B84" s="219"/>
      <c r="C84" s="219"/>
      <c r="D84" s="219"/>
      <c r="E84" s="219"/>
      <c r="F84" s="219"/>
      <c r="G84" s="219"/>
      <c r="H84" s="219"/>
      <c r="J84" s="121" t="s">
        <v>287</v>
      </c>
      <c r="K84" s="263"/>
    </row>
    <row r="85" spans="1:16" x14ac:dyDescent="0.3">
      <c r="A85" s="275" t="s">
        <v>32</v>
      </c>
      <c r="B85" s="229"/>
      <c r="C85" s="229"/>
      <c r="D85" s="229"/>
      <c r="E85" s="229"/>
      <c r="F85" s="229"/>
      <c r="G85" s="229"/>
      <c r="H85" s="229"/>
      <c r="J85" s="259" t="s">
        <v>289</v>
      </c>
      <c r="K85" s="260" t="s">
        <v>52</v>
      </c>
    </row>
    <row r="86" spans="1:16" x14ac:dyDescent="0.3">
      <c r="A86" s="222" t="s">
        <v>33</v>
      </c>
      <c r="B86" s="244">
        <f>107400*1.1566</f>
        <v>124218.84000000001</v>
      </c>
      <c r="C86" s="244">
        <f t="shared" ref="C86:E88" si="3">B38*$B86</f>
        <v>496875.36000000004</v>
      </c>
      <c r="D86" s="244">
        <f t="shared" si="3"/>
        <v>1273243.1100000001</v>
      </c>
      <c r="E86" s="244">
        <f t="shared" si="3"/>
        <v>0</v>
      </c>
      <c r="F86" s="244">
        <f>SUM(C86:E86)</f>
        <v>1770118.4700000002</v>
      </c>
      <c r="G86" s="150">
        <f>F38*B86</f>
        <v>136178381.47752002</v>
      </c>
      <c r="H86" s="150">
        <f>(B86*10)*0.33*'GDP Price Deflator'!$H$8</f>
        <v>479863.33361399814</v>
      </c>
      <c r="J86" s="123">
        <f>G86-'2021_v16 Corrected Values'!G85</f>
        <v>51153520.117927477</v>
      </c>
      <c r="K86" s="277">
        <f>H86-'2021_v16 Corrected Values'!H85</f>
        <v>69941.161613998062</v>
      </c>
    </row>
    <row r="87" spans="1:16" x14ac:dyDescent="0.3">
      <c r="A87" s="222" t="s">
        <v>34</v>
      </c>
      <c r="B87" s="244">
        <f>9000*1.1566</f>
        <v>10409.400000000001</v>
      </c>
      <c r="C87" s="244">
        <f t="shared" si="3"/>
        <v>41637.600000000006</v>
      </c>
      <c r="D87" s="244">
        <f t="shared" si="3"/>
        <v>793716.75000000012</v>
      </c>
      <c r="E87" s="244">
        <f t="shared" si="3"/>
        <v>0</v>
      </c>
      <c r="F87" s="244">
        <f>SUM(C87:E87)</f>
        <v>835354.35000000009</v>
      </c>
      <c r="G87" s="150">
        <f>F39*B87</f>
        <v>61531108.434000015</v>
      </c>
      <c r="H87" s="150">
        <f>(B87*10)*0.33*'GDP Price Deflator'!$H$8</f>
        <v>40212.011196703752</v>
      </c>
      <c r="J87" s="123">
        <f>G87-'2021_v16 Corrected Values'!G86</f>
        <v>26162819.022786707</v>
      </c>
      <c r="K87" s="277">
        <f>H87-'2021_v16 Corrected Values'!H86</f>
        <v>5860.9911967037478</v>
      </c>
    </row>
    <row r="88" spans="1:16" ht="15" thickBot="1" x14ac:dyDescent="0.35">
      <c r="A88" s="223" t="s">
        <v>35</v>
      </c>
      <c r="B88" s="273">
        <f>3600*1.1566</f>
        <v>4163.76</v>
      </c>
      <c r="C88" s="273">
        <f t="shared" si="3"/>
        <v>33310.080000000002</v>
      </c>
      <c r="D88" s="273">
        <f t="shared" si="3"/>
        <v>467382.06</v>
      </c>
      <c r="E88" s="273">
        <f t="shared" si="3"/>
        <v>0</v>
      </c>
      <c r="F88" s="273">
        <f>SUM(C88:E88)</f>
        <v>500692.14</v>
      </c>
      <c r="G88" s="147">
        <f>F40*B88</f>
        <v>36998763.311520003</v>
      </c>
      <c r="H88" s="147">
        <f>(B88*10)*0.33*'GDP Price Deflator'!$H$8</f>
        <v>16084.804478681503</v>
      </c>
      <c r="J88" s="123">
        <f>G88-'2021_v16 Corrected Values'!G87</f>
        <v>15593785.51844186</v>
      </c>
      <c r="K88" s="277">
        <f>H88-'2021_v16 Corrected Values'!H87</f>
        <v>2344.3964786814995</v>
      </c>
    </row>
    <row r="89" spans="1:16" ht="15" thickBot="1" x14ac:dyDescent="0.35">
      <c r="A89" s="21" t="s">
        <v>36</v>
      </c>
      <c r="B89" s="17"/>
      <c r="C89" s="17"/>
      <c r="D89" s="17"/>
      <c r="E89" s="17"/>
      <c r="F89" s="17"/>
      <c r="G89" s="17"/>
      <c r="H89" s="17"/>
      <c r="J89" s="123"/>
      <c r="K89" s="277"/>
    </row>
    <row r="90" spans="1:16" x14ac:dyDescent="0.3">
      <c r="A90" s="221" t="s">
        <v>37</v>
      </c>
      <c r="B90" s="265">
        <f>270000*1.1566</f>
        <v>312282</v>
      </c>
      <c r="C90" s="265">
        <f t="shared" ref="C90:E92" si="4">B42*$B90</f>
        <v>624564</v>
      </c>
      <c r="D90" s="265">
        <f t="shared" si="4"/>
        <v>2576326.5</v>
      </c>
      <c r="E90" s="265">
        <f t="shared" si="4"/>
        <v>0</v>
      </c>
      <c r="F90" s="265">
        <f>SUM(C90:E90)</f>
        <v>3200890.5</v>
      </c>
      <c r="G90" s="146">
        <f>F42*B90</f>
        <v>242366432.148</v>
      </c>
      <c r="H90" s="146">
        <f>(B90*10)*0.33*'GDP Price Deflator'!$H$8</f>
        <v>1206360.3359011125</v>
      </c>
      <c r="J90" s="123">
        <f>G90-'2021_v16 Corrected Values'!G89</f>
        <v>95373281.091207623</v>
      </c>
      <c r="K90" s="277">
        <f>H90-'2021_v16 Corrected Values'!H89</f>
        <v>175829.73590111244</v>
      </c>
    </row>
    <row r="91" spans="1:16" x14ac:dyDescent="0.3">
      <c r="A91" s="222" t="s">
        <v>34</v>
      </c>
      <c r="B91" s="244">
        <f>6000*1.1566</f>
        <v>6939.6</v>
      </c>
      <c r="C91" s="244">
        <f t="shared" si="4"/>
        <v>27758.400000000001</v>
      </c>
      <c r="D91" s="244">
        <f t="shared" si="4"/>
        <v>251560.5</v>
      </c>
      <c r="E91" s="244">
        <f t="shared" si="4"/>
        <v>0</v>
      </c>
      <c r="F91" s="244">
        <f>SUM(C91:E91)</f>
        <v>279318.90000000002</v>
      </c>
      <c r="G91" s="150">
        <f>F43*B91</f>
        <v>20770430.987999998</v>
      </c>
      <c r="H91" s="150">
        <f>(B91*10)*0.33*'GDP Price Deflator'!$H$8</f>
        <v>26808.007464469163</v>
      </c>
      <c r="J91" s="123">
        <f>G91-'2021_v16 Corrected Values'!G90</f>
        <v>8603006.1397667024</v>
      </c>
      <c r="K91" s="277">
        <f>H91-'2021_v16 Corrected Values'!H90</f>
        <v>3907.3274644691628</v>
      </c>
      <c r="L91" s="2"/>
      <c r="O91" s="2"/>
    </row>
    <row r="92" spans="1:16" x14ac:dyDescent="0.3">
      <c r="A92" s="222" t="s">
        <v>35</v>
      </c>
      <c r="B92" s="244">
        <f>4000*1.1566</f>
        <v>4626.4000000000005</v>
      </c>
      <c r="C92" s="244">
        <f t="shared" si="4"/>
        <v>27758.400000000001</v>
      </c>
      <c r="D92" s="244">
        <f t="shared" si="4"/>
        <v>158454.20000000001</v>
      </c>
      <c r="E92" s="244">
        <f t="shared" si="4"/>
        <v>0</v>
      </c>
      <c r="F92" s="244">
        <f>SUM(C92:E92)</f>
        <v>186212.6</v>
      </c>
      <c r="G92" s="150">
        <f>F44*B92</f>
        <v>13978140.190399999</v>
      </c>
      <c r="H92" s="150">
        <f>(B92*10)*0.33*'GDP Price Deflator'!$H$8</f>
        <v>17872.004976312779</v>
      </c>
      <c r="J92" s="123">
        <f>G92-'2021_v16 Corrected Values'!G91</f>
        <v>5638300.7509958707</v>
      </c>
      <c r="K92" s="277">
        <f>H92-'2021_v16 Corrected Values'!H91</f>
        <v>2604.8849763127764</v>
      </c>
      <c r="M92" s="99"/>
      <c r="P92" s="99"/>
    </row>
    <row r="93" spans="1:16" ht="15" thickBot="1" x14ac:dyDescent="0.35">
      <c r="A93" s="250" t="s">
        <v>61</v>
      </c>
      <c r="B93" s="273">
        <f>SUM(B86:B92)</f>
        <v>462640</v>
      </c>
      <c r="C93" s="273">
        <f>SUM(C86:C92)</f>
        <v>1251903.8399999999</v>
      </c>
      <c r="D93" s="273">
        <f>SUM(D86:D92)</f>
        <v>5520683.1200000001</v>
      </c>
      <c r="E93" s="217"/>
      <c r="F93" s="274">
        <f>SUM(F86:F92)</f>
        <v>6772586.9600000009</v>
      </c>
      <c r="G93" s="276">
        <f>SUM(G86:G92)</f>
        <v>511823256.54944003</v>
      </c>
      <c r="H93" s="276">
        <f>SUM(H86:H92)</f>
        <v>1787200.4976312779</v>
      </c>
      <c r="J93" s="123">
        <f>G93-'2021_v16 Corrected Values'!G92</f>
        <v>202524712.64112622</v>
      </c>
      <c r="K93" s="277">
        <f>H93-'2021_v16 Corrected Values'!H92</f>
        <v>260488.49763127766</v>
      </c>
      <c r="M93" s="99"/>
      <c r="P93" s="99"/>
    </row>
    <row r="94" spans="1:16" ht="15" thickBot="1" x14ac:dyDescent="0.35">
      <c r="A94" s="55" t="s">
        <v>62</v>
      </c>
      <c r="B94" s="17"/>
      <c r="C94" s="17"/>
      <c r="D94" s="17"/>
      <c r="E94" s="17"/>
      <c r="F94" s="53">
        <f>F70+F81+F93</f>
        <v>6825633.3600000013</v>
      </c>
      <c r="G94" s="115">
        <f>G81+G93+G70</f>
        <v>515415560.43204004</v>
      </c>
      <c r="H94" s="115">
        <f>H81+H93</f>
        <v>1984333.3790819158</v>
      </c>
      <c r="J94" s="124">
        <f>G94-'2021_v16 Corrected Values'!G93</f>
        <v>203794731.29009199</v>
      </c>
      <c r="K94" s="278">
        <f>H94-'2021_v16 Corrected Values'!H93</f>
        <v>289221.05908191553</v>
      </c>
      <c r="L94" s="100"/>
      <c r="M94" s="101"/>
      <c r="O94" s="100"/>
      <c r="P94" s="101"/>
    </row>
    <row r="95" spans="1:16" ht="15" thickBot="1" x14ac:dyDescent="0.35">
      <c r="A95" s="5"/>
      <c r="B95" s="5"/>
      <c r="C95" s="5"/>
      <c r="D95" s="5"/>
      <c r="E95" s="5"/>
      <c r="F95" s="119"/>
      <c r="G95" s="116"/>
      <c r="J95" s="121" t="s">
        <v>287</v>
      </c>
      <c r="K95" s="263"/>
    </row>
    <row r="96" spans="1:16" x14ac:dyDescent="0.3">
      <c r="A96" s="5"/>
      <c r="B96" s="5"/>
      <c r="C96" s="5"/>
      <c r="D96" s="5"/>
      <c r="E96" s="5"/>
      <c r="F96" s="120"/>
      <c r="G96" s="279"/>
    </row>
    <row r="97" spans="1:13" ht="15" thickBot="1" x14ac:dyDescent="0.35">
      <c r="A97" s="149" t="s">
        <v>328</v>
      </c>
      <c r="B97" s="282"/>
      <c r="C97" s="282"/>
      <c r="D97" s="282"/>
      <c r="E97" s="282"/>
      <c r="F97" s="282"/>
      <c r="G97" s="5"/>
    </row>
    <row r="98" spans="1:13" ht="15" thickBot="1" x14ac:dyDescent="0.35">
      <c r="A98" s="280"/>
      <c r="B98" s="280" t="s">
        <v>59</v>
      </c>
      <c r="C98" s="280" t="s">
        <v>64</v>
      </c>
      <c r="D98" s="280" t="s">
        <v>65</v>
      </c>
      <c r="E98" s="280" t="s">
        <v>66</v>
      </c>
      <c r="F98" s="281" t="s">
        <v>67</v>
      </c>
      <c r="I98" s="120" t="s">
        <v>335</v>
      </c>
      <c r="J98" s="412" t="s">
        <v>290</v>
      </c>
      <c r="K98" s="412" t="s">
        <v>332</v>
      </c>
      <c r="L98" s="412" t="s">
        <v>333</v>
      </c>
    </row>
    <row r="99" spans="1:13" x14ac:dyDescent="0.3">
      <c r="A99" s="301" t="s">
        <v>68</v>
      </c>
      <c r="B99" s="311">
        <f>F94</f>
        <v>6825633.3600000013</v>
      </c>
      <c r="C99" s="302">
        <f>G94</f>
        <v>515415560.43204004</v>
      </c>
      <c r="D99" s="302">
        <v>0</v>
      </c>
      <c r="E99" s="312">
        <f>H94</f>
        <v>1984333.3790819158</v>
      </c>
      <c r="F99" s="303">
        <f>SUM(C99:E99)</f>
        <v>517399893.81112194</v>
      </c>
      <c r="I99" s="416">
        <v>1352.16</v>
      </c>
      <c r="J99" s="413">
        <f>'2021_v16 Corrected Values'!B98</f>
        <v>6825633.3600000013</v>
      </c>
      <c r="K99" s="152">
        <f>'2021_v16 Corrected Values'!C98</f>
        <v>311620829.14194804</v>
      </c>
      <c r="L99" s="152">
        <f>'2021_v16 Corrected Values'!E98</f>
        <v>1695112.3200000003</v>
      </c>
      <c r="M99" s="118"/>
    </row>
    <row r="100" spans="1:13" ht="15" thickBot="1" x14ac:dyDescent="0.35">
      <c r="A100" s="304" t="s">
        <v>69</v>
      </c>
      <c r="B100" s="305">
        <f>B99*3</f>
        <v>20476900.080000006</v>
      </c>
      <c r="C100" s="306">
        <f>C99*3</f>
        <v>1546246681.2961202</v>
      </c>
      <c r="D100" s="306">
        <v>0</v>
      </c>
      <c r="E100" s="306">
        <f>E99*3</f>
        <v>5953000.1372457473</v>
      </c>
      <c r="F100" s="307">
        <f>SUM(C100:E100)</f>
        <v>1552199681.4333658</v>
      </c>
      <c r="I100" s="119" t="s">
        <v>331</v>
      </c>
      <c r="J100" s="413">
        <f>B99</f>
        <v>6825633.3600000013</v>
      </c>
      <c r="K100" s="152">
        <f>C99</f>
        <v>515415560.43204004</v>
      </c>
      <c r="L100" s="152">
        <f>E99</f>
        <v>1984333.3790819158</v>
      </c>
    </row>
    <row r="101" spans="1:13" x14ac:dyDescent="0.3">
      <c r="A101" s="5"/>
      <c r="B101" s="5"/>
      <c r="C101" s="5"/>
      <c r="D101" s="5"/>
      <c r="E101" s="5"/>
      <c r="F101" s="5"/>
      <c r="I101" s="5"/>
      <c r="J101" s="414">
        <f>J100-J99</f>
        <v>0</v>
      </c>
      <c r="K101" s="415">
        <f>K100-K99</f>
        <v>203794731.29009199</v>
      </c>
      <c r="L101" s="415">
        <f>L100-L99</f>
        <v>289221.05908191553</v>
      </c>
    </row>
    <row r="102" spans="1:13" x14ac:dyDescent="0.3">
      <c r="A102" s="5"/>
      <c r="B102" s="5"/>
      <c r="C102" s="5"/>
      <c r="D102" s="5"/>
      <c r="E102" s="5"/>
      <c r="F102" s="5"/>
      <c r="G102" s="5"/>
    </row>
    <row r="103" spans="1:13" x14ac:dyDescent="0.3">
      <c r="A103" s="5"/>
      <c r="B103" s="5"/>
      <c r="C103" s="5"/>
      <c r="D103" s="5"/>
      <c r="E103" s="5"/>
      <c r="F103" s="5"/>
      <c r="G103" s="5"/>
    </row>
    <row r="104" spans="1:13" x14ac:dyDescent="0.3">
      <c r="A104" s="5"/>
      <c r="B104" s="5"/>
      <c r="C104" s="5"/>
      <c r="D104" s="5"/>
      <c r="E104" s="5"/>
      <c r="F104" s="5"/>
      <c r="G104" s="5"/>
      <c r="L104" s="126"/>
    </row>
    <row r="105" spans="1:13" ht="15" thickBot="1" x14ac:dyDescent="0.35">
      <c r="A105" s="149" t="s">
        <v>329</v>
      </c>
      <c r="B105" s="142"/>
      <c r="C105" s="142"/>
      <c r="D105" s="142"/>
      <c r="E105" s="142"/>
      <c r="F105" s="142"/>
      <c r="G105" s="5"/>
    </row>
    <row r="106" spans="1:13" ht="15" thickBot="1" x14ac:dyDescent="0.35">
      <c r="A106" s="292"/>
      <c r="B106" s="292" t="s">
        <v>15</v>
      </c>
      <c r="C106" s="292" t="s">
        <v>64</v>
      </c>
      <c r="D106" s="292" t="s">
        <v>65</v>
      </c>
      <c r="E106" s="292" t="s">
        <v>66</v>
      </c>
      <c r="F106" s="292" t="s">
        <v>67</v>
      </c>
      <c r="G106" s="5"/>
      <c r="I106" s="411" t="s">
        <v>334</v>
      </c>
      <c r="J106" s="412" t="s">
        <v>290</v>
      </c>
      <c r="K106" s="412" t="s">
        <v>332</v>
      </c>
      <c r="L106" s="412" t="s">
        <v>333</v>
      </c>
    </row>
    <row r="107" spans="1:13" x14ac:dyDescent="0.3">
      <c r="A107" s="293" t="s">
        <v>68</v>
      </c>
      <c r="B107" s="294">
        <f>F64</f>
        <v>137637.71320000003</v>
      </c>
      <c r="C107" s="295">
        <f>G64</f>
        <v>7026101.4894360006</v>
      </c>
      <c r="D107" s="296">
        <v>0</v>
      </c>
      <c r="E107" s="296">
        <f>H64</f>
        <v>23379.166115477463</v>
      </c>
      <c r="F107" s="297">
        <f>SUM(C107:E107)</f>
        <v>7049480.6555514783</v>
      </c>
      <c r="G107" s="5"/>
      <c r="I107" s="416">
        <v>1352.16</v>
      </c>
      <c r="J107" s="413">
        <f>'2021_v16 Corrected Values'!B106</f>
        <v>137637.71320000003</v>
      </c>
      <c r="K107" s="152">
        <f>'2021_v16 Corrected Values'!C106</f>
        <v>5529292.9278730005</v>
      </c>
      <c r="L107" s="152">
        <f>'2021_v16 Corrected Values'!E106</f>
        <v>19971.599999999999</v>
      </c>
    </row>
    <row r="108" spans="1:13" ht="15" thickBot="1" x14ac:dyDescent="0.35">
      <c r="A108" s="298" t="s">
        <v>69</v>
      </c>
      <c r="B108" s="299">
        <f>B107*3</f>
        <v>412913.13960000011</v>
      </c>
      <c r="C108" s="300">
        <f>C107*3</f>
        <v>21078304.468308002</v>
      </c>
      <c r="D108" s="300">
        <v>0</v>
      </c>
      <c r="E108" s="300">
        <f>E107*3</f>
        <v>70137.498346432389</v>
      </c>
      <c r="F108" s="291">
        <f>SUM(C108:E108)</f>
        <v>21148441.966654435</v>
      </c>
      <c r="G108" s="5"/>
      <c r="I108" s="119" t="s">
        <v>331</v>
      </c>
      <c r="J108" s="413">
        <f>B107</f>
        <v>137637.71320000003</v>
      </c>
      <c r="K108" s="152">
        <f>C107</f>
        <v>7026101.4894360006</v>
      </c>
      <c r="L108" s="152">
        <f>E107</f>
        <v>23379.166115477463</v>
      </c>
    </row>
    <row r="109" spans="1:13" x14ac:dyDescent="0.3">
      <c r="A109" s="5"/>
      <c r="B109" s="5"/>
      <c r="C109" s="5"/>
      <c r="D109" s="5"/>
      <c r="E109" s="5"/>
      <c r="F109" s="5"/>
      <c r="G109" s="5"/>
      <c r="J109" s="414">
        <f>J108-J107</f>
        <v>0</v>
      </c>
      <c r="K109" s="415">
        <f>K108-K107</f>
        <v>1496808.5615630001</v>
      </c>
      <c r="L109" s="415">
        <f>L108-L107</f>
        <v>3407.5661154774643</v>
      </c>
    </row>
    <row r="110" spans="1:13" ht="15" thickBot="1" x14ac:dyDescent="0.35">
      <c r="A110" s="149" t="s">
        <v>330</v>
      </c>
      <c r="B110" s="142"/>
      <c r="C110" s="142"/>
      <c r="D110" s="142"/>
      <c r="E110" s="142"/>
      <c r="F110" s="142"/>
      <c r="G110" s="5"/>
    </row>
    <row r="111" spans="1:13" ht="15" thickBot="1" x14ac:dyDescent="0.35">
      <c r="A111" s="37"/>
      <c r="B111" s="24" t="s">
        <v>76</v>
      </c>
      <c r="C111" s="24" t="s">
        <v>64</v>
      </c>
      <c r="D111" s="24" t="s">
        <v>65</v>
      </c>
      <c r="E111" s="24" t="s">
        <v>66</v>
      </c>
      <c r="F111" s="24" t="s">
        <v>67</v>
      </c>
      <c r="G111" s="5"/>
    </row>
    <row r="112" spans="1:13" x14ac:dyDescent="0.3">
      <c r="A112" s="264" t="s">
        <v>77</v>
      </c>
      <c r="B112" s="283">
        <f>B99</f>
        <v>6825633.3600000013</v>
      </c>
      <c r="C112" s="284">
        <f>C99</f>
        <v>515415560.43204004</v>
      </c>
      <c r="D112" s="285">
        <v>0</v>
      </c>
      <c r="E112" s="285">
        <f>E99</f>
        <v>1984333.3790819158</v>
      </c>
      <c r="F112" s="285">
        <f>SUM(C112:E112)</f>
        <v>517399893.81112194</v>
      </c>
      <c r="G112" s="5" t="s">
        <v>78</v>
      </c>
      <c r="I112" s="2" t="s">
        <v>234</v>
      </c>
      <c r="J112" s="412" t="s">
        <v>290</v>
      </c>
      <c r="K112" s="412" t="s">
        <v>332</v>
      </c>
      <c r="L112" s="412" t="s">
        <v>333</v>
      </c>
    </row>
    <row r="113" spans="1:12" x14ac:dyDescent="0.3">
      <c r="A113" s="286" t="s">
        <v>8</v>
      </c>
      <c r="B113" s="287">
        <f>B107</f>
        <v>137637.71320000003</v>
      </c>
      <c r="C113" s="288">
        <f>C107</f>
        <v>7026101.4894360006</v>
      </c>
      <c r="D113" s="288">
        <v>0</v>
      </c>
      <c r="E113" s="288">
        <f>E107</f>
        <v>23379.166115477463</v>
      </c>
      <c r="F113" s="288">
        <f>SUM(C113:E113)</f>
        <v>7049480.6555514783</v>
      </c>
      <c r="G113" s="5"/>
      <c r="I113" s="416">
        <v>1352.16</v>
      </c>
      <c r="J113" s="413">
        <f>'2021_v16 Corrected Values'!B113</f>
        <v>6963271.0732000014</v>
      </c>
      <c r="K113" s="152">
        <f>'2021_v16 Corrected Values'!C113</f>
        <v>317150122.06982106</v>
      </c>
      <c r="L113" s="152">
        <f>'2021_v16 Corrected Values'!E113</f>
        <v>1715083.9200000004</v>
      </c>
    </row>
    <row r="114" spans="1:12" x14ac:dyDescent="0.3">
      <c r="A114" s="209" t="s">
        <v>47</v>
      </c>
      <c r="B114" s="289">
        <f>SUM(B112:B113)</f>
        <v>6963271.0732000014</v>
      </c>
      <c r="C114" s="290">
        <f>SUM(C112:C113)</f>
        <v>522441661.92147601</v>
      </c>
      <c r="D114" s="290">
        <v>0</v>
      </c>
      <c r="E114" s="290">
        <f>SUM(E112:E113)</f>
        <v>2007712.5451973933</v>
      </c>
      <c r="F114" s="290">
        <f>SUM(F112:F113)</f>
        <v>524449374.46667343</v>
      </c>
      <c r="G114" s="5"/>
      <c r="I114" s="119" t="s">
        <v>331</v>
      </c>
      <c r="J114" s="413">
        <f>B114</f>
        <v>6963271.0732000014</v>
      </c>
      <c r="K114" s="152">
        <f>C114</f>
        <v>522441661.92147601</v>
      </c>
      <c r="L114" s="152">
        <f>E114</f>
        <v>2007712.5451973933</v>
      </c>
    </row>
    <row r="115" spans="1:12" ht="15" thickBot="1" x14ac:dyDescent="0.35">
      <c r="A115" s="308" t="s">
        <v>69</v>
      </c>
      <c r="B115" s="309">
        <f>B114*3</f>
        <v>20889813.219600003</v>
      </c>
      <c r="C115" s="310">
        <f>C114*3</f>
        <v>1567324985.7644281</v>
      </c>
      <c r="D115" s="310">
        <f>D114*3</f>
        <v>0</v>
      </c>
      <c r="E115" s="310">
        <f>E114*3</f>
        <v>6023137.6355921794</v>
      </c>
      <c r="F115" s="310">
        <f>F114*3</f>
        <v>1573348123.4000204</v>
      </c>
      <c r="G115" s="5"/>
      <c r="J115" s="414">
        <f>J114-J113</f>
        <v>0</v>
      </c>
      <c r="K115" s="415">
        <f>K114-K113</f>
        <v>205291539.85165495</v>
      </c>
      <c r="L115" s="415">
        <f>L114-L113</f>
        <v>292628.62519739289</v>
      </c>
    </row>
    <row r="116" spans="1:12" x14ac:dyDescent="0.3">
      <c r="G116" s="5"/>
    </row>
    <row r="117" spans="1:12" x14ac:dyDescent="0.3">
      <c r="G117" s="5"/>
    </row>
    <row r="119" spans="1:12" x14ac:dyDescent="0.3">
      <c r="A119" s="148" t="s">
        <v>336</v>
      </c>
    </row>
    <row r="120" spans="1:12" x14ac:dyDescent="0.3">
      <c r="A120" s="417">
        <v>70000</v>
      </c>
    </row>
    <row r="121" spans="1:12" x14ac:dyDescent="0.3">
      <c r="A121" s="417">
        <f>A120*'GDP Price Deflator'!$H$8</f>
        <v>81943.441090519642</v>
      </c>
    </row>
  </sheetData>
  <mergeCells count="3">
    <mergeCell ref="B59:G59"/>
    <mergeCell ref="A15:F15"/>
    <mergeCell ref="A16:F16"/>
  </mergeCells>
  <pageMargins left="0.7" right="0.7" top="0.75" bottom="0.75" header="0.3" footer="0.3"/>
  <pageSetup scale="8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1FA7-ECAE-4336-8ADC-A9DE9EF8BA7A}">
  <sheetPr>
    <tabColor rgb="FFFFFF00"/>
  </sheetPr>
  <dimension ref="A3:I101"/>
  <sheetViews>
    <sheetView zoomScale="115" zoomScaleNormal="115" workbookViewId="0">
      <selection activeCell="G68" sqref="G68:H68"/>
    </sheetView>
  </sheetViews>
  <sheetFormatPr defaultRowHeight="14.4" x14ac:dyDescent="0.3"/>
  <cols>
    <col min="1" max="1" width="24.21875" customWidth="1"/>
    <col min="2" max="2" width="35.21875" customWidth="1"/>
    <col min="3" max="7" width="13.88671875" customWidth="1"/>
    <col min="8" max="8" width="13.88671875" bestFit="1" customWidth="1"/>
    <col min="9" max="9" width="10.44140625" bestFit="1" customWidth="1"/>
  </cols>
  <sheetData>
    <row r="3" spans="1:3" ht="15" thickBot="1" x14ac:dyDescent="0.35">
      <c r="A3" s="384" t="s">
        <v>318</v>
      </c>
      <c r="B3" s="316"/>
      <c r="C3" s="316"/>
    </row>
    <row r="4" spans="1:3" ht="27.6" x14ac:dyDescent="0.3">
      <c r="A4" s="386" t="s">
        <v>240</v>
      </c>
      <c r="B4" s="387" t="s">
        <v>241</v>
      </c>
      <c r="C4" s="362" t="s">
        <v>239</v>
      </c>
    </row>
    <row r="5" spans="1:3" x14ac:dyDescent="0.3">
      <c r="A5" s="388" t="s">
        <v>235</v>
      </c>
      <c r="B5" s="385" t="s">
        <v>237</v>
      </c>
      <c r="C5" s="389">
        <f>'1352.19 Renewal'!E2</f>
        <v>87.9</v>
      </c>
    </row>
    <row r="6" spans="1:3" x14ac:dyDescent="0.3">
      <c r="A6" s="388" t="s">
        <v>235</v>
      </c>
      <c r="B6" s="385" t="s">
        <v>13</v>
      </c>
      <c r="C6" s="389">
        <f>'1352.19 Renewal'!E3</f>
        <v>74.94</v>
      </c>
    </row>
    <row r="7" spans="1:3" x14ac:dyDescent="0.3">
      <c r="A7" s="388" t="s">
        <v>235</v>
      </c>
      <c r="B7" s="385" t="s">
        <v>14</v>
      </c>
      <c r="C7" s="389">
        <f>'1352.19 Renewal'!E4</f>
        <v>38.520000000000003</v>
      </c>
    </row>
    <row r="8" spans="1:3" x14ac:dyDescent="0.3">
      <c r="A8" s="388" t="s">
        <v>236</v>
      </c>
      <c r="B8" s="385" t="s">
        <v>237</v>
      </c>
      <c r="C8" s="389">
        <f>'1352.19 Renewal'!E7</f>
        <v>86.8</v>
      </c>
    </row>
    <row r="9" spans="1:3" x14ac:dyDescent="0.3">
      <c r="A9" s="388" t="s">
        <v>236</v>
      </c>
      <c r="B9" s="385" t="s">
        <v>13</v>
      </c>
      <c r="C9" s="389">
        <f>'1352.19 Renewal'!E8</f>
        <v>72.099999999999994</v>
      </c>
    </row>
    <row r="10" spans="1:3" x14ac:dyDescent="0.3">
      <c r="A10" s="388" t="s">
        <v>236</v>
      </c>
      <c r="B10" s="385" t="s">
        <v>14</v>
      </c>
      <c r="C10" s="389">
        <f>'1352.19 Renewal'!E9</f>
        <v>35.68</v>
      </c>
    </row>
    <row r="11" spans="1:3" x14ac:dyDescent="0.3">
      <c r="A11" s="388" t="s">
        <v>238</v>
      </c>
      <c r="B11" s="385" t="s">
        <v>237</v>
      </c>
      <c r="C11" s="389">
        <f>'1352.19 Renewal'!F2</f>
        <v>87.13</v>
      </c>
    </row>
    <row r="12" spans="1:3" x14ac:dyDescent="0.3">
      <c r="A12" s="388" t="s">
        <v>238</v>
      </c>
      <c r="B12" s="385" t="s">
        <v>13</v>
      </c>
      <c r="C12" s="389">
        <f>'1352.19 Renewal'!F3</f>
        <v>72.951999999999998</v>
      </c>
    </row>
    <row r="13" spans="1:3" x14ac:dyDescent="0.3">
      <c r="A13" s="388" t="s">
        <v>238</v>
      </c>
      <c r="B13" s="385" t="s">
        <v>14</v>
      </c>
      <c r="C13" s="389">
        <f>'1352.19 Renewal'!F4</f>
        <v>36.531999999999996</v>
      </c>
    </row>
    <row r="14" spans="1:3" x14ac:dyDescent="0.3">
      <c r="A14" s="388" t="s">
        <v>8</v>
      </c>
      <c r="B14" s="385" t="s">
        <v>237</v>
      </c>
      <c r="C14" s="389">
        <f>'1352.19 Renewal'!E12</f>
        <v>77.94</v>
      </c>
    </row>
    <row r="15" spans="1:3" x14ac:dyDescent="0.3">
      <c r="A15" s="388" t="s">
        <v>8</v>
      </c>
      <c r="B15" s="385" t="s">
        <v>13</v>
      </c>
      <c r="C15" s="389">
        <f>'1352.19 Renewal'!E13</f>
        <v>75.63</v>
      </c>
    </row>
    <row r="16" spans="1:3" ht="15" thickBot="1" x14ac:dyDescent="0.35">
      <c r="A16" s="390" t="s">
        <v>8</v>
      </c>
      <c r="B16" s="391" t="s">
        <v>14</v>
      </c>
      <c r="C16" s="392">
        <f>'1352.19 Renewal'!E14</f>
        <v>46.08</v>
      </c>
    </row>
    <row r="19" spans="1:7" x14ac:dyDescent="0.3">
      <c r="A19" s="204" t="s">
        <v>319</v>
      </c>
    </row>
    <row r="20" spans="1:7" ht="15" thickBot="1" x14ac:dyDescent="0.35">
      <c r="A20" s="205" t="s">
        <v>286</v>
      </c>
    </row>
    <row r="21" spans="1:7" ht="27.6" x14ac:dyDescent="0.3">
      <c r="A21" s="323" t="s">
        <v>299</v>
      </c>
      <c r="B21" s="324" t="s">
        <v>300</v>
      </c>
      <c r="C21" s="354" t="s">
        <v>242</v>
      </c>
      <c r="D21" s="354" t="s">
        <v>243</v>
      </c>
      <c r="E21" s="354" t="s">
        <v>244</v>
      </c>
      <c r="F21" s="325" t="s">
        <v>15</v>
      </c>
      <c r="G21" s="326" t="s">
        <v>16</v>
      </c>
    </row>
    <row r="22" spans="1:7" x14ac:dyDescent="0.3">
      <c r="A22" s="394" t="s">
        <v>245</v>
      </c>
      <c r="B22" s="319" t="s">
        <v>280</v>
      </c>
      <c r="C22" s="397">
        <f>'1352.19 Renewal'!B21</f>
        <v>2.5</v>
      </c>
      <c r="D22" s="397">
        <f>'1352.19 Renewal'!C21</f>
        <v>7.5</v>
      </c>
      <c r="E22" s="397">
        <f>'1352.19 Renewal'!D21</f>
        <v>0</v>
      </c>
      <c r="F22" s="397">
        <f>'1352.19 Renewal'!E21</f>
        <v>10</v>
      </c>
      <c r="G22" s="327">
        <f>'1352.19 Renewal'!F21</f>
        <v>764.96499999999992</v>
      </c>
    </row>
    <row r="23" spans="1:7" ht="27.6" x14ac:dyDescent="0.3">
      <c r="A23" s="394" t="s">
        <v>301</v>
      </c>
      <c r="B23" s="334" t="s">
        <v>21</v>
      </c>
      <c r="C23" s="397">
        <f>'1352.19 Renewal'!B25</f>
        <v>1</v>
      </c>
      <c r="D23" s="397">
        <f>'1352.19 Renewal'!C25</f>
        <v>3</v>
      </c>
      <c r="E23" s="397">
        <f>'1352.19 Renewal'!D25</f>
        <v>0</v>
      </c>
      <c r="F23" s="397">
        <f>'1352.19 Renewal'!E25</f>
        <v>4</v>
      </c>
      <c r="G23" s="327">
        <f>'1352.19 Renewal'!F25</f>
        <v>305.98599999999999</v>
      </c>
    </row>
    <row r="24" spans="1:7" ht="27.6" x14ac:dyDescent="0.3">
      <c r="A24" s="394" t="s">
        <v>301</v>
      </c>
      <c r="B24" s="334" t="s">
        <v>302</v>
      </c>
      <c r="C24" s="397">
        <f>'1352.19 Renewal'!B26</f>
        <v>0.25</v>
      </c>
      <c r="D24" s="397">
        <f>'1352.19 Renewal'!C26</f>
        <v>1</v>
      </c>
      <c r="E24" s="397">
        <f>'1352.19 Renewal'!D26</f>
        <v>0.5</v>
      </c>
      <c r="F24" s="397">
        <f>'1352.19 Renewal'!E26</f>
        <v>1.75</v>
      </c>
      <c r="G24" s="328">
        <f>'1352.19 Renewal'!F26</f>
        <v>113.00049999999999</v>
      </c>
    </row>
    <row r="25" spans="1:7" ht="27.6" x14ac:dyDescent="0.3">
      <c r="A25" s="394" t="s">
        <v>303</v>
      </c>
      <c r="B25" s="334" t="s">
        <v>282</v>
      </c>
      <c r="C25" s="397">
        <f>'1352.19 Renewal'!B28</f>
        <v>0</v>
      </c>
      <c r="D25" s="397">
        <f>'1352.19 Renewal'!C28</f>
        <v>1</v>
      </c>
      <c r="E25" s="397">
        <f>'1352.19 Renewal'!D28</f>
        <v>0.25</v>
      </c>
      <c r="F25" s="397">
        <f>'1352.19 Renewal'!E28</f>
        <v>1.25</v>
      </c>
      <c r="G25" s="327">
        <f>'1352.19 Renewal'!F28</f>
        <v>82.084999999999994</v>
      </c>
    </row>
    <row r="26" spans="1:7" ht="27.6" x14ac:dyDescent="0.3">
      <c r="A26" s="394" t="s">
        <v>303</v>
      </c>
      <c r="B26" s="334" t="s">
        <v>304</v>
      </c>
      <c r="C26" s="397">
        <f>'1352.19 Renewal'!B29</f>
        <v>0.25</v>
      </c>
      <c r="D26" s="397">
        <f>'1352.19 Renewal'!C29</f>
        <v>0.5</v>
      </c>
      <c r="E26" s="397">
        <f>'1352.19 Renewal'!D29</f>
        <v>0.25</v>
      </c>
      <c r="F26" s="397">
        <f>'1352.19 Renewal'!E29</f>
        <v>1</v>
      </c>
      <c r="G26" s="328">
        <f>'1352.19 Renewal'!F29</f>
        <v>67.391499999999994</v>
      </c>
    </row>
    <row r="27" spans="1:7" x14ac:dyDescent="0.3">
      <c r="A27" s="394" t="s">
        <v>303</v>
      </c>
      <c r="B27" s="334" t="s">
        <v>284</v>
      </c>
      <c r="C27" s="397">
        <f>'1352.19 Renewal'!B30</f>
        <v>0.25</v>
      </c>
      <c r="D27" s="397">
        <f>'1352.19 Renewal'!C30</f>
        <v>0.5</v>
      </c>
      <c r="E27" s="397">
        <f>'1352.19 Renewal'!D30</f>
        <v>0.25</v>
      </c>
      <c r="F27" s="397">
        <f>'1352.19 Renewal'!E30</f>
        <v>1</v>
      </c>
      <c r="G27" s="328">
        <f>'1352.19 Renewal'!F30</f>
        <v>67.391499999999994</v>
      </c>
    </row>
    <row r="28" spans="1:7" ht="27.6" x14ac:dyDescent="0.3">
      <c r="A28" s="394" t="s">
        <v>306</v>
      </c>
      <c r="B28" s="334" t="s">
        <v>305</v>
      </c>
      <c r="C28" s="397">
        <f>'1352.19 Renewal'!B32</f>
        <v>0.25</v>
      </c>
      <c r="D28" s="397">
        <f>'1352.19 Renewal'!C32</f>
        <v>0.5</v>
      </c>
      <c r="E28" s="397">
        <f>'1352.19 Renewal'!D32</f>
        <v>0.25</v>
      </c>
      <c r="F28" s="397">
        <f>'1352.19 Renewal'!E32</f>
        <v>1</v>
      </c>
      <c r="G28" s="328">
        <f>'1352.19 Renewal'!F32</f>
        <v>67.391499999999994</v>
      </c>
    </row>
    <row r="29" spans="1:7" ht="27.6" x14ac:dyDescent="0.3">
      <c r="A29" s="329" t="s">
        <v>299</v>
      </c>
      <c r="B29" s="318" t="s">
        <v>240</v>
      </c>
      <c r="C29" s="357" t="s">
        <v>242</v>
      </c>
      <c r="D29" s="357" t="s">
        <v>243</v>
      </c>
      <c r="E29" s="357" t="s">
        <v>244</v>
      </c>
      <c r="F29" s="343" t="s">
        <v>15</v>
      </c>
      <c r="G29" s="344" t="s">
        <v>16</v>
      </c>
    </row>
    <row r="30" spans="1:7" x14ac:dyDescent="0.3">
      <c r="A30" s="394" t="s">
        <v>307</v>
      </c>
      <c r="B30" s="332" t="s">
        <v>308</v>
      </c>
      <c r="C30" s="397">
        <f>'1352.19 Renewal'!B38</f>
        <v>4</v>
      </c>
      <c r="D30" s="320">
        <f>'1352.19 Renewal'!C38</f>
        <v>10.25</v>
      </c>
      <c r="E30" s="397">
        <f>'1352.19 Renewal'!D38</f>
        <v>0</v>
      </c>
      <c r="F30" s="320">
        <f>'1352.19 Renewal'!E38</f>
        <v>14.25</v>
      </c>
      <c r="G30" s="327">
        <f>'1352.19 Renewal'!F38</f>
        <v>1096.278</v>
      </c>
    </row>
    <row r="31" spans="1:7" x14ac:dyDescent="0.3">
      <c r="A31" s="394" t="s">
        <v>307</v>
      </c>
      <c r="B31" s="332" t="s">
        <v>309</v>
      </c>
      <c r="C31" s="397">
        <f>'1352.19 Renewal'!B39</f>
        <v>4</v>
      </c>
      <c r="D31" s="320">
        <f>'1352.19 Renewal'!C39</f>
        <v>76.25</v>
      </c>
      <c r="E31" s="397">
        <f>'1352.19 Renewal'!D39</f>
        <v>0</v>
      </c>
      <c r="F31" s="320">
        <f>'1352.19 Renewal'!E39</f>
        <v>80.25</v>
      </c>
      <c r="G31" s="327">
        <f>'1352.19 Renewal'!F39</f>
        <v>5911.1100000000006</v>
      </c>
    </row>
    <row r="32" spans="1:7" x14ac:dyDescent="0.3">
      <c r="A32" s="394" t="s">
        <v>307</v>
      </c>
      <c r="B32" s="332" t="s">
        <v>310</v>
      </c>
      <c r="C32" s="397">
        <f>'1352.19 Renewal'!B40</f>
        <v>8</v>
      </c>
      <c r="D32" s="320">
        <f>'1352.19 Renewal'!C40</f>
        <v>112.25</v>
      </c>
      <c r="E32" s="397">
        <f>'1352.19 Renewal'!D40</f>
        <v>0</v>
      </c>
      <c r="F32" s="320">
        <f>'1352.19 Renewal'!E40</f>
        <v>120.25</v>
      </c>
      <c r="G32" s="327">
        <f>'1352.19 Renewal'!F40</f>
        <v>8885.902</v>
      </c>
    </row>
    <row r="33" spans="1:9" x14ac:dyDescent="0.3">
      <c r="A33" s="394" t="s">
        <v>307</v>
      </c>
      <c r="B33" s="332" t="s">
        <v>311</v>
      </c>
      <c r="C33" s="397">
        <f>'1352.19 Renewal'!B42</f>
        <v>2</v>
      </c>
      <c r="D33" s="320">
        <f>'1352.19 Renewal'!C42</f>
        <v>8.25</v>
      </c>
      <c r="E33" s="397">
        <f>'1352.19 Renewal'!D42</f>
        <v>0</v>
      </c>
      <c r="F33" s="320">
        <f>'1352.19 Renewal'!E42</f>
        <v>10.25</v>
      </c>
      <c r="G33" s="327">
        <f>'1352.19 Renewal'!F42</f>
        <v>776.11400000000003</v>
      </c>
    </row>
    <row r="34" spans="1:9" x14ac:dyDescent="0.3">
      <c r="A34" s="394" t="s">
        <v>307</v>
      </c>
      <c r="B34" s="332" t="s">
        <v>312</v>
      </c>
      <c r="C34" s="397">
        <f>'1352.19 Renewal'!B43</f>
        <v>4</v>
      </c>
      <c r="D34" s="320">
        <f>'1352.19 Renewal'!C43</f>
        <v>36.25</v>
      </c>
      <c r="E34" s="397">
        <f>'1352.19 Renewal'!D43</f>
        <v>0</v>
      </c>
      <c r="F34" s="320">
        <f>'1352.19 Renewal'!E43</f>
        <v>40.25</v>
      </c>
      <c r="G34" s="327">
        <f>'1352.19 Renewal'!F43</f>
        <v>2993.0299999999997</v>
      </c>
    </row>
    <row r="35" spans="1:9" ht="15" thickBot="1" x14ac:dyDescent="0.35">
      <c r="A35" s="395" t="s">
        <v>307</v>
      </c>
      <c r="B35" s="333" t="s">
        <v>313</v>
      </c>
      <c r="C35" s="398">
        <f>'1352.19 Renewal'!B44</f>
        <v>6</v>
      </c>
      <c r="D35" s="321">
        <f>'1352.19 Renewal'!C44</f>
        <v>34.25</v>
      </c>
      <c r="E35" s="398">
        <f>'1352.19 Renewal'!D44</f>
        <v>0</v>
      </c>
      <c r="F35" s="321">
        <f>'1352.19 Renewal'!E44</f>
        <v>40.25</v>
      </c>
      <c r="G35" s="330">
        <f>'1352.19 Renewal'!F44</f>
        <v>3021.3859999999995</v>
      </c>
    </row>
    <row r="38" spans="1:9" x14ac:dyDescent="0.3">
      <c r="A38" s="204" t="s">
        <v>293</v>
      </c>
      <c r="B38" s="204"/>
      <c r="C38" s="316"/>
      <c r="D38" s="316"/>
      <c r="E38" s="316"/>
      <c r="F38" s="316"/>
      <c r="G38" s="316"/>
    </row>
    <row r="39" spans="1:9" ht="15" thickBot="1" x14ac:dyDescent="0.35">
      <c r="A39" s="205" t="s">
        <v>292</v>
      </c>
      <c r="B39" s="205"/>
      <c r="C39" s="316"/>
      <c r="D39" s="316"/>
      <c r="E39" s="316"/>
      <c r="F39" s="316"/>
      <c r="G39" s="316"/>
    </row>
    <row r="40" spans="1:9" ht="27.6" x14ac:dyDescent="0.3">
      <c r="A40" s="323" t="s">
        <v>299</v>
      </c>
      <c r="B40" s="324" t="s">
        <v>300</v>
      </c>
      <c r="C40" s="354" t="s">
        <v>242</v>
      </c>
      <c r="D40" s="354" t="s">
        <v>243</v>
      </c>
      <c r="E40" s="354" t="s">
        <v>244</v>
      </c>
      <c r="F40" s="325" t="s">
        <v>15</v>
      </c>
      <c r="G40" s="326" t="s">
        <v>16</v>
      </c>
    </row>
    <row r="41" spans="1:9" ht="22.8" customHeight="1" x14ac:dyDescent="0.3">
      <c r="A41" s="394" t="s">
        <v>314</v>
      </c>
      <c r="B41" s="334" t="s">
        <v>43</v>
      </c>
      <c r="C41" s="335">
        <f>'1352.19 Renewal'!B51</f>
        <v>0</v>
      </c>
      <c r="D41" s="401">
        <f>'1352.19 Renewal'!C51</f>
        <v>5.7830000000000004</v>
      </c>
      <c r="E41" s="401">
        <f>'1352.19 Renewal'!D51</f>
        <v>31.806500000000003</v>
      </c>
      <c r="F41" s="401">
        <f>'1352.19 Renewal'!E51</f>
        <v>37.589500000000001</v>
      </c>
      <c r="G41" s="337">
        <f>'1352.19 Renewal'!F51</f>
        <v>1903.01181</v>
      </c>
    </row>
    <row r="42" spans="1:9" ht="22.8" customHeight="1" x14ac:dyDescent="0.3">
      <c r="A42" s="394" t="s">
        <v>314</v>
      </c>
      <c r="B42" s="334" t="s">
        <v>44</v>
      </c>
      <c r="C42" s="335">
        <f>'1352.19 Renewal'!B52</f>
        <v>0</v>
      </c>
      <c r="D42" s="401">
        <f>'1352.19 Renewal'!C52</f>
        <v>46.264000000000003</v>
      </c>
      <c r="E42" s="401">
        <f>'1352.19 Renewal'!D52</f>
        <v>323.84800000000001</v>
      </c>
      <c r="F42" s="401">
        <f>'1352.19 Renewal'!E52</f>
        <v>370.11200000000002</v>
      </c>
      <c r="G42" s="337">
        <f>'1352.19 Renewal'!F52</f>
        <v>18421.862160000001</v>
      </c>
    </row>
    <row r="43" spans="1:9" ht="22.8" customHeight="1" x14ac:dyDescent="0.3">
      <c r="A43" s="394" t="s">
        <v>314</v>
      </c>
      <c r="B43" s="334" t="s">
        <v>45</v>
      </c>
      <c r="C43" s="335">
        <f>'1352.19 Renewal'!B53</f>
        <v>0</v>
      </c>
      <c r="D43" s="401">
        <f>'1352.19 Renewal'!C53</f>
        <v>0.57830000000000004</v>
      </c>
      <c r="E43" s="401">
        <f>'1352.19 Renewal'!D53</f>
        <v>0.57830000000000004</v>
      </c>
      <c r="F43" s="401">
        <f>'1352.19 Renewal'!E53</f>
        <v>1.1566000000000001</v>
      </c>
      <c r="G43" s="337">
        <f>'1352.19 Renewal'!F53</f>
        <v>70.384893000000005</v>
      </c>
    </row>
    <row r="44" spans="1:9" ht="22.8" customHeight="1" thickBot="1" x14ac:dyDescent="0.35">
      <c r="A44" s="395" t="s">
        <v>314</v>
      </c>
      <c r="B44" s="340" t="s">
        <v>46</v>
      </c>
      <c r="C44" s="341">
        <f>'1352.19 Renewal'!B54</f>
        <v>0</v>
      </c>
      <c r="D44" s="402">
        <f>'1352.19 Renewal'!C54</f>
        <v>0.57830000000000004</v>
      </c>
      <c r="E44" s="402">
        <f>'1352.19 Renewal'!D54</f>
        <v>0.57830000000000004</v>
      </c>
      <c r="F44" s="402">
        <f>'1352.19 Renewal'!E54</f>
        <v>1.1566000000000001</v>
      </c>
      <c r="G44" s="342">
        <f>'1352.19 Renewal'!F54</f>
        <v>70.384893000000005</v>
      </c>
    </row>
    <row r="45" spans="1:9" ht="15" thickBot="1" x14ac:dyDescent="0.35">
      <c r="A45" s="331" t="s">
        <v>47</v>
      </c>
      <c r="B45" s="322"/>
      <c r="C45" s="338">
        <f>'1352.19 Renewal'!B55</f>
        <v>0</v>
      </c>
      <c r="D45" s="403">
        <f>'1352.19 Renewal'!C55</f>
        <v>53.203600000000002</v>
      </c>
      <c r="E45" s="403">
        <f>'1352.19 Renewal'!D55</f>
        <v>356.81110000000007</v>
      </c>
      <c r="F45" s="403">
        <f>'1352.19 Renewal'!E55</f>
        <v>410.01470000000006</v>
      </c>
      <c r="G45" s="339">
        <f>'1352.19 Renewal'!F55</f>
        <v>20465.643755999998</v>
      </c>
    </row>
    <row r="47" spans="1:9" x14ac:dyDescent="0.3">
      <c r="H47" s="316"/>
      <c r="I47" s="316"/>
    </row>
    <row r="48" spans="1:9" x14ac:dyDescent="0.3">
      <c r="A48" s="204" t="s">
        <v>320</v>
      </c>
      <c r="B48" s="204"/>
      <c r="C48" s="316"/>
      <c r="D48" s="316"/>
      <c r="E48" s="316"/>
      <c r="F48" s="316"/>
      <c r="G48" s="316"/>
      <c r="H48" s="316"/>
      <c r="I48" s="316"/>
    </row>
    <row r="49" spans="1:9" ht="14.4" customHeight="1" thickBot="1" x14ac:dyDescent="0.35">
      <c r="A49" s="205" t="s">
        <v>294</v>
      </c>
      <c r="B49" s="205"/>
      <c r="C49" s="316"/>
      <c r="D49" s="316"/>
      <c r="E49" s="316"/>
      <c r="F49" s="316"/>
      <c r="G49" s="316"/>
      <c r="H49" s="345"/>
      <c r="I49" s="345"/>
    </row>
    <row r="50" spans="1:9" ht="27.6" x14ac:dyDescent="0.3">
      <c r="A50" s="323" t="s">
        <v>299</v>
      </c>
      <c r="B50" s="324" t="s">
        <v>300</v>
      </c>
      <c r="C50" s="355" t="s">
        <v>49</v>
      </c>
      <c r="D50" s="354" t="s">
        <v>242</v>
      </c>
      <c r="E50" s="354" t="s">
        <v>243</v>
      </c>
      <c r="F50" s="354" t="s">
        <v>244</v>
      </c>
      <c r="G50" s="354" t="s">
        <v>50</v>
      </c>
      <c r="H50" s="356" t="s">
        <v>315</v>
      </c>
      <c r="I50" s="346"/>
    </row>
    <row r="51" spans="1:9" ht="24.6" customHeight="1" x14ac:dyDescent="0.3">
      <c r="A51" s="394" t="s">
        <v>314</v>
      </c>
      <c r="B51" s="334" t="s">
        <v>43</v>
      </c>
      <c r="C51" s="404">
        <f>'1352.19 Renewal'!B60</f>
        <v>3052</v>
      </c>
      <c r="D51" s="319">
        <f>'1352.19 Renewal'!C60</f>
        <v>0</v>
      </c>
      <c r="E51" s="404">
        <f>'1352.19 Renewal'!D60</f>
        <v>17649.716</v>
      </c>
      <c r="F51" s="404">
        <f>'1352.19 Renewal'!E60</f>
        <v>97073.438000000009</v>
      </c>
      <c r="G51" s="404">
        <f>'1352.19 Renewal'!F60</f>
        <v>114723.15400000001</v>
      </c>
      <c r="H51" s="405">
        <f>'1352.19 Renewal'!G60</f>
        <v>5807992.0441199997</v>
      </c>
      <c r="I51" s="346"/>
    </row>
    <row r="52" spans="1:9" x14ac:dyDescent="0.3">
      <c r="A52" s="394" t="s">
        <v>314</v>
      </c>
      <c r="B52" s="319" t="s">
        <v>44</v>
      </c>
      <c r="C52" s="319">
        <f>'1352.19 Renewal'!B61</f>
        <v>43</v>
      </c>
      <c r="D52" s="319">
        <f>'1352.19 Renewal'!C61</f>
        <v>0</v>
      </c>
      <c r="E52" s="404">
        <f>'1352.19 Renewal'!D61</f>
        <v>1989.3520000000001</v>
      </c>
      <c r="F52" s="404">
        <f>'1352.19 Renewal'!E61</f>
        <v>13925.464</v>
      </c>
      <c r="G52" s="404">
        <f>'1352.19 Renewal'!F61</f>
        <v>15914.816000000001</v>
      </c>
      <c r="H52" s="405">
        <f>'1352.19 Renewal'!G61</f>
        <v>792140.07287999999</v>
      </c>
      <c r="I52" s="347"/>
    </row>
    <row r="53" spans="1:9" x14ac:dyDescent="0.3">
      <c r="A53" s="394" t="s">
        <v>314</v>
      </c>
      <c r="B53" s="334" t="s">
        <v>55</v>
      </c>
      <c r="C53" s="360">
        <f>'1352.19 Renewal'!B62</f>
        <v>3000</v>
      </c>
      <c r="D53" s="334">
        <f>'1352.19 Renewal'!C62</f>
        <v>0</v>
      </c>
      <c r="E53" s="404">
        <f>'1352.19 Renewal'!D62</f>
        <v>1734.9</v>
      </c>
      <c r="F53" s="404">
        <f>'1352.19 Renewal'!E62</f>
        <v>1734.9</v>
      </c>
      <c r="G53" s="404">
        <f>'1352.19 Renewal'!F62</f>
        <v>3469.8</v>
      </c>
      <c r="H53" s="418">
        <f>'1352.19 Renewal'!G62</f>
        <v>211154.679</v>
      </c>
      <c r="I53" s="348"/>
    </row>
    <row r="54" spans="1:9" ht="28.2" thickBot="1" x14ac:dyDescent="0.35">
      <c r="A54" s="395" t="s">
        <v>314</v>
      </c>
      <c r="B54" s="340" t="s">
        <v>56</v>
      </c>
      <c r="C54" s="406">
        <f>'1352.19 Renewal'!B63</f>
        <v>3052</v>
      </c>
      <c r="D54" s="374">
        <f>'1352.19 Renewal'!C63</f>
        <v>0</v>
      </c>
      <c r="E54" s="407">
        <f>'1352.19 Renewal'!D63</f>
        <v>1764.9716000000001</v>
      </c>
      <c r="F54" s="407">
        <f>'1352.19 Renewal'!E63</f>
        <v>1764.9716000000001</v>
      </c>
      <c r="G54" s="406">
        <f>'1352.19 Renewal'!F63</f>
        <v>3529.9432000000002</v>
      </c>
      <c r="H54" s="408">
        <f>'1352.19 Renewal'!G63</f>
        <v>214814.69343600003</v>
      </c>
      <c r="I54" s="346"/>
    </row>
    <row r="55" spans="1:9" ht="15" thickBot="1" x14ac:dyDescent="0.35">
      <c r="A55" s="331" t="s">
        <v>47</v>
      </c>
      <c r="B55" s="351" t="s">
        <v>57</v>
      </c>
      <c r="C55" s="409">
        <f>'1352.19 Renewal'!B64</f>
        <v>0</v>
      </c>
      <c r="D55" s="322">
        <f>'1352.19 Renewal'!C64</f>
        <v>0</v>
      </c>
      <c r="E55" s="409">
        <f>'1352.19 Renewal'!D64</f>
        <v>23138.939600000002</v>
      </c>
      <c r="F55" s="409">
        <f>'1352.19 Renewal'!E64</f>
        <v>114498.7736</v>
      </c>
      <c r="G55" s="409">
        <f>'1352.19 Renewal'!F64</f>
        <v>137637.71320000003</v>
      </c>
      <c r="H55" s="410">
        <f>'1352.19 Renewal'!G64</f>
        <v>7026101.4894360006</v>
      </c>
      <c r="I55" s="316"/>
    </row>
    <row r="56" spans="1:9" x14ac:dyDescent="0.3">
      <c r="B56" s="316"/>
      <c r="C56" s="316"/>
      <c r="D56" s="316"/>
      <c r="E56" s="316"/>
      <c r="F56" s="316"/>
      <c r="G56" s="316"/>
      <c r="H56" s="316"/>
      <c r="I56" s="316"/>
    </row>
    <row r="57" spans="1:9" x14ac:dyDescent="0.3">
      <c r="B57" s="316"/>
      <c r="C57" s="316"/>
      <c r="D57" s="316"/>
      <c r="E57" s="316"/>
      <c r="F57" s="316"/>
      <c r="G57" s="316"/>
      <c r="H57" s="316"/>
      <c r="I57" s="316"/>
    </row>
    <row r="58" spans="1:9" x14ac:dyDescent="0.3">
      <c r="A58" s="204" t="s">
        <v>321</v>
      </c>
      <c r="B58" s="204"/>
      <c r="C58" s="316"/>
      <c r="D58" s="316"/>
      <c r="E58" s="316"/>
      <c r="F58" s="316"/>
      <c r="G58" s="316"/>
      <c r="H58" s="316"/>
      <c r="I58" s="316"/>
    </row>
    <row r="59" spans="1:9" ht="15" thickBot="1" x14ac:dyDescent="0.35">
      <c r="A59" s="205" t="s">
        <v>295</v>
      </c>
      <c r="B59" s="205"/>
      <c r="C59" s="316"/>
      <c r="D59" s="316"/>
      <c r="E59" s="316"/>
      <c r="F59" s="316"/>
      <c r="G59" s="316"/>
      <c r="I59" s="316"/>
    </row>
    <row r="60" spans="1:9" ht="27.6" x14ac:dyDescent="0.3">
      <c r="A60" s="323" t="s">
        <v>299</v>
      </c>
      <c r="B60" s="324" t="s">
        <v>300</v>
      </c>
      <c r="C60" s="361" t="s">
        <v>49</v>
      </c>
      <c r="D60" s="361" t="s">
        <v>242</v>
      </c>
      <c r="E60" s="361" t="s">
        <v>243</v>
      </c>
      <c r="F60" s="361" t="s">
        <v>244</v>
      </c>
      <c r="G60" s="355" t="s">
        <v>316</v>
      </c>
      <c r="H60" s="362" t="s">
        <v>315</v>
      </c>
      <c r="I60" s="316"/>
    </row>
    <row r="61" spans="1:9" x14ac:dyDescent="0.3">
      <c r="A61" s="394" t="s">
        <v>245</v>
      </c>
      <c r="B61" s="319" t="s">
        <v>280</v>
      </c>
      <c r="C61" s="335">
        <f>'1352.19 Renewal'!B69</f>
        <v>140</v>
      </c>
      <c r="D61" s="335">
        <f>'1352.19 Renewal'!C69</f>
        <v>350</v>
      </c>
      <c r="E61" s="335">
        <f>'1352.19 Renewal'!D69</f>
        <v>1050</v>
      </c>
      <c r="F61" s="335">
        <f>'1352.19 Renewal'!E69</f>
        <v>0</v>
      </c>
      <c r="G61" s="349">
        <f>'1352.19 Renewal'!F69</f>
        <v>1400</v>
      </c>
      <c r="H61" s="337">
        <f>'1352.19 Renewal'!G69</f>
        <v>107095.09999999999</v>
      </c>
      <c r="I61" s="316"/>
    </row>
    <row r="62" spans="1:9" x14ac:dyDescent="0.3">
      <c r="A62" s="394" t="s">
        <v>301</v>
      </c>
      <c r="B62" s="319" t="s">
        <v>21</v>
      </c>
      <c r="C62" s="335">
        <f>'1352.19 Renewal'!B73</f>
        <v>140</v>
      </c>
      <c r="D62" s="335">
        <f>'1352.19 Renewal'!C73</f>
        <v>140</v>
      </c>
      <c r="E62" s="335">
        <f>'1352.19 Renewal'!D73</f>
        <v>420</v>
      </c>
      <c r="F62" s="335">
        <f>'1352.19 Renewal'!E73</f>
        <v>0</v>
      </c>
      <c r="G62" s="349">
        <f>'1352.19 Renewal'!F73</f>
        <v>560</v>
      </c>
      <c r="H62" s="337">
        <f>'1352.19 Renewal'!G73</f>
        <v>42838.04</v>
      </c>
      <c r="I62" s="316"/>
    </row>
    <row r="63" spans="1:9" x14ac:dyDescent="0.3">
      <c r="A63" s="394" t="s">
        <v>301</v>
      </c>
      <c r="B63" s="319" t="s">
        <v>281</v>
      </c>
      <c r="C63" s="335">
        <f>'1352.19 Renewal'!B74</f>
        <v>42</v>
      </c>
      <c r="D63" s="335">
        <f>'1352.19 Renewal'!C74</f>
        <v>10.5</v>
      </c>
      <c r="E63" s="335">
        <f>'1352.19 Renewal'!D74</f>
        <v>42</v>
      </c>
      <c r="F63" s="335">
        <f>'1352.19 Renewal'!E74</f>
        <v>21</v>
      </c>
      <c r="G63" s="349">
        <f>'1352.19 Renewal'!F74</f>
        <v>73.5</v>
      </c>
      <c r="H63" s="363">
        <f>'1352.19 Renewal'!G74</f>
        <v>4746.0209999999997</v>
      </c>
      <c r="I63" s="316"/>
    </row>
    <row r="64" spans="1:9" x14ac:dyDescent="0.3">
      <c r="A64" s="394" t="s">
        <v>303</v>
      </c>
      <c r="B64" s="319" t="s">
        <v>282</v>
      </c>
      <c r="C64" s="335">
        <f>'1352.19 Renewal'!B76</f>
        <v>98</v>
      </c>
      <c r="D64" s="335">
        <f>'1352.19 Renewal'!C76</f>
        <v>0</v>
      </c>
      <c r="E64" s="335">
        <f>'1352.19 Renewal'!D76</f>
        <v>98</v>
      </c>
      <c r="F64" s="335">
        <f>'1352.19 Renewal'!E76</f>
        <v>24.5</v>
      </c>
      <c r="G64" s="349">
        <f>'1352.19 Renewal'!F76</f>
        <v>122.5</v>
      </c>
      <c r="H64" s="337">
        <f>'1352.19 Renewal'!G76</f>
        <v>8044.329999999999</v>
      </c>
      <c r="I64" s="316"/>
    </row>
    <row r="65" spans="1:9" x14ac:dyDescent="0.3">
      <c r="A65" s="394" t="s">
        <v>303</v>
      </c>
      <c r="B65" s="319" t="s">
        <v>283</v>
      </c>
      <c r="C65" s="349">
        <f>'1352.19 Renewal'!B77</f>
        <v>23132</v>
      </c>
      <c r="D65" s="349">
        <f>'1352.19 Renewal'!C77</f>
        <v>5783</v>
      </c>
      <c r="E65" s="349">
        <f>'1352.19 Renewal'!D77</f>
        <v>11566</v>
      </c>
      <c r="F65" s="349">
        <f>'1352.19 Renewal'!E77</f>
        <v>5783</v>
      </c>
      <c r="G65" s="349">
        <f>'1352.19 Renewal'!F77</f>
        <v>23132</v>
      </c>
      <c r="H65" s="337">
        <f>'1352.19 Renewal'!G77</f>
        <v>1558900.1779999998</v>
      </c>
      <c r="I65" s="316"/>
    </row>
    <row r="66" spans="1:9" x14ac:dyDescent="0.3">
      <c r="A66" s="394" t="s">
        <v>303</v>
      </c>
      <c r="B66" s="319" t="s">
        <v>284</v>
      </c>
      <c r="C66" s="349">
        <f>'1352.19 Renewal'!B78</f>
        <v>23132</v>
      </c>
      <c r="D66" s="349">
        <f>'1352.19 Renewal'!C78</f>
        <v>5783</v>
      </c>
      <c r="E66" s="335">
        <f>'1352.19 Renewal'!D78</f>
        <v>11566</v>
      </c>
      <c r="F66" s="349">
        <f>'1352.19 Renewal'!E78</f>
        <v>5783</v>
      </c>
      <c r="G66" s="349">
        <f>'1352.19 Renewal'!F78</f>
        <v>23132</v>
      </c>
      <c r="H66" s="337">
        <f>'1352.19 Renewal'!G78</f>
        <v>1558900.1779999998</v>
      </c>
      <c r="I66" s="316"/>
    </row>
    <row r="67" spans="1:9" ht="15" thickBot="1" x14ac:dyDescent="0.35">
      <c r="A67" s="395" t="s">
        <v>306</v>
      </c>
      <c r="B67" s="374" t="s">
        <v>285</v>
      </c>
      <c r="C67" s="352">
        <f>'1352.19 Renewal'!B80</f>
        <v>4626.4000000000005</v>
      </c>
      <c r="D67" s="352">
        <f>'1352.19 Renewal'!C80</f>
        <v>1156.6000000000001</v>
      </c>
      <c r="E67" s="352">
        <f>'1352.19 Renewal'!D80</f>
        <v>2313.2000000000003</v>
      </c>
      <c r="F67" s="352">
        <f>'1352.19 Renewal'!E80</f>
        <v>1156.6000000000001</v>
      </c>
      <c r="G67" s="352">
        <f>'1352.19 Renewal'!F80</f>
        <v>4626.4000000000005</v>
      </c>
      <c r="H67" s="342">
        <f>'1352.19 Renewal'!G80</f>
        <v>311780.0356</v>
      </c>
      <c r="I67" s="316"/>
    </row>
    <row r="68" spans="1:9" x14ac:dyDescent="0.3">
      <c r="A68" s="393" t="s">
        <v>61</v>
      </c>
      <c r="B68" s="369"/>
      <c r="C68" s="370"/>
      <c r="D68" s="370"/>
      <c r="E68" s="370"/>
      <c r="F68" s="370"/>
      <c r="G68" s="372">
        <f>'1352.19 Renewal'!F81+G61</f>
        <v>53046.400000000001</v>
      </c>
      <c r="H68" s="371">
        <f>'1352.19 Renewal'!G81+H61</f>
        <v>3592303.8825999997</v>
      </c>
      <c r="I68" s="316"/>
    </row>
    <row r="69" spans="1:9" ht="27.6" x14ac:dyDescent="0.3">
      <c r="A69" s="329" t="s">
        <v>299</v>
      </c>
      <c r="B69" s="318" t="s">
        <v>240</v>
      </c>
      <c r="C69" s="358" t="s">
        <v>49</v>
      </c>
      <c r="D69" s="358" t="s">
        <v>242</v>
      </c>
      <c r="E69" s="358" t="s">
        <v>243</v>
      </c>
      <c r="F69" s="358" t="s">
        <v>244</v>
      </c>
      <c r="G69" s="359" t="s">
        <v>316</v>
      </c>
      <c r="H69" s="364" t="s">
        <v>315</v>
      </c>
      <c r="I69" s="316"/>
    </row>
    <row r="70" spans="1:9" x14ac:dyDescent="0.3">
      <c r="A70" s="394" t="s">
        <v>307</v>
      </c>
      <c r="B70" s="332" t="s">
        <v>308</v>
      </c>
      <c r="C70" s="349">
        <f>'1352.19 Renewal'!B86</f>
        <v>124218.84000000001</v>
      </c>
      <c r="D70" s="349">
        <f>'1352.19 Renewal'!C86</f>
        <v>496875.36000000004</v>
      </c>
      <c r="E70" s="349">
        <f>'1352.19 Renewal'!D86</f>
        <v>1273243.1100000001</v>
      </c>
      <c r="F70" s="335">
        <f>'1352.19 Renewal'!E86</f>
        <v>0</v>
      </c>
      <c r="G70" s="349">
        <f>'1352.19 Renewal'!F86</f>
        <v>1770118.4700000002</v>
      </c>
      <c r="H70" s="337">
        <f>'1352.19 Renewal'!G86</f>
        <v>136178381.47752002</v>
      </c>
      <c r="I70" s="316"/>
    </row>
    <row r="71" spans="1:9" x14ac:dyDescent="0.3">
      <c r="A71" s="394" t="s">
        <v>307</v>
      </c>
      <c r="B71" s="332" t="s">
        <v>309</v>
      </c>
      <c r="C71" s="349">
        <f>'1352.19 Renewal'!B87</f>
        <v>10409.400000000001</v>
      </c>
      <c r="D71" s="349">
        <f>'1352.19 Renewal'!C87</f>
        <v>41637.600000000006</v>
      </c>
      <c r="E71" s="349">
        <f>'1352.19 Renewal'!D87</f>
        <v>793716.75000000012</v>
      </c>
      <c r="F71" s="335">
        <f>'1352.19 Renewal'!E87</f>
        <v>0</v>
      </c>
      <c r="G71" s="349">
        <f>'1352.19 Renewal'!F87</f>
        <v>835354.35000000009</v>
      </c>
      <c r="H71" s="337">
        <f>'1352.19 Renewal'!G87</f>
        <v>61531108.434000015</v>
      </c>
      <c r="I71" s="316"/>
    </row>
    <row r="72" spans="1:9" x14ac:dyDescent="0.3">
      <c r="A72" s="394" t="s">
        <v>307</v>
      </c>
      <c r="B72" s="332" t="s">
        <v>310</v>
      </c>
      <c r="C72" s="349">
        <f>'1352.19 Renewal'!B88</f>
        <v>4163.76</v>
      </c>
      <c r="D72" s="349">
        <f>'1352.19 Renewal'!C88</f>
        <v>33310.080000000002</v>
      </c>
      <c r="E72" s="349">
        <f>'1352.19 Renewal'!D88</f>
        <v>467382.06</v>
      </c>
      <c r="F72" s="335">
        <f>'1352.19 Renewal'!E88</f>
        <v>0</v>
      </c>
      <c r="G72" s="349">
        <f>'1352.19 Renewal'!F88</f>
        <v>500692.14</v>
      </c>
      <c r="H72" s="337">
        <f>'1352.19 Renewal'!G88</f>
        <v>36998763.311520003</v>
      </c>
      <c r="I72" s="316"/>
    </row>
    <row r="73" spans="1:9" x14ac:dyDescent="0.3">
      <c r="A73" s="394" t="s">
        <v>307</v>
      </c>
      <c r="B73" s="332" t="s">
        <v>311</v>
      </c>
      <c r="C73" s="349">
        <f>'1352.19 Renewal'!B90</f>
        <v>312282</v>
      </c>
      <c r="D73" s="349">
        <f>'1352.19 Renewal'!C90</f>
        <v>624564</v>
      </c>
      <c r="E73" s="349">
        <f>'1352.19 Renewal'!D90</f>
        <v>2576326.5</v>
      </c>
      <c r="F73" s="335">
        <f>'1352.19 Renewal'!E90</f>
        <v>0</v>
      </c>
      <c r="G73" s="349">
        <f>'1352.19 Renewal'!F90</f>
        <v>3200890.5</v>
      </c>
      <c r="H73" s="337">
        <f>'1352.19 Renewal'!G90</f>
        <v>242366432.148</v>
      </c>
      <c r="I73" s="316"/>
    </row>
    <row r="74" spans="1:9" x14ac:dyDescent="0.3">
      <c r="A74" s="394" t="s">
        <v>307</v>
      </c>
      <c r="B74" s="332" t="s">
        <v>312</v>
      </c>
      <c r="C74" s="349">
        <f>'1352.19 Renewal'!B91</f>
        <v>6939.6</v>
      </c>
      <c r="D74" s="349">
        <f>'1352.19 Renewal'!C91</f>
        <v>27758.400000000001</v>
      </c>
      <c r="E74" s="349">
        <f>'1352.19 Renewal'!D91</f>
        <v>251560.5</v>
      </c>
      <c r="F74" s="335">
        <f>'1352.19 Renewal'!E91</f>
        <v>0</v>
      </c>
      <c r="G74" s="349">
        <f>'1352.19 Renewal'!F91</f>
        <v>279318.90000000002</v>
      </c>
      <c r="H74" s="337">
        <f>'1352.19 Renewal'!G91</f>
        <v>20770430.987999998</v>
      </c>
      <c r="I74" s="316"/>
    </row>
    <row r="75" spans="1:9" ht="15" thickBot="1" x14ac:dyDescent="0.35">
      <c r="A75" s="395" t="s">
        <v>307</v>
      </c>
      <c r="B75" s="333" t="s">
        <v>313</v>
      </c>
      <c r="C75" s="352">
        <f>'1352.19 Renewal'!B92</f>
        <v>4626.4000000000005</v>
      </c>
      <c r="D75" s="352">
        <f>'1352.19 Renewal'!C92</f>
        <v>27758.400000000001</v>
      </c>
      <c r="E75" s="352">
        <f>'1352.19 Renewal'!D92</f>
        <v>158454.20000000001</v>
      </c>
      <c r="F75" s="341">
        <f>'1352.19 Renewal'!E92</f>
        <v>0</v>
      </c>
      <c r="G75" s="352">
        <f>'1352.19 Renewal'!F92</f>
        <v>186212.6</v>
      </c>
      <c r="H75" s="342">
        <f>'1352.19 Renewal'!G92</f>
        <v>13978140.190399999</v>
      </c>
      <c r="I75" s="316"/>
    </row>
    <row r="76" spans="1:9" x14ac:dyDescent="0.3">
      <c r="A76" s="393" t="s">
        <v>61</v>
      </c>
      <c r="B76" s="369"/>
      <c r="C76" s="372">
        <f>'1352.19 Renewal'!B93</f>
        <v>462640</v>
      </c>
      <c r="D76" s="372">
        <f>'1352.19 Renewal'!C93</f>
        <v>1251903.8399999999</v>
      </c>
      <c r="E76" s="372">
        <f>'1352.19 Renewal'!D93</f>
        <v>5520683.1200000001</v>
      </c>
      <c r="F76" s="373">
        <f>'1352.19 Renewal'!E93</f>
        <v>0</v>
      </c>
      <c r="G76" s="372">
        <f>'1352.19 Renewal'!F93</f>
        <v>6772586.9600000009</v>
      </c>
      <c r="H76" s="371">
        <f>'1352.19 Renewal'!G93</f>
        <v>511823256.54944003</v>
      </c>
      <c r="I76" s="316"/>
    </row>
    <row r="77" spans="1:9" ht="15" thickBot="1" x14ac:dyDescent="0.35">
      <c r="A77" s="396" t="s">
        <v>47</v>
      </c>
      <c r="B77" s="365"/>
      <c r="C77" s="366" t="s">
        <v>296</v>
      </c>
      <c r="D77" s="366" t="s">
        <v>296</v>
      </c>
      <c r="E77" s="366" t="s">
        <v>296</v>
      </c>
      <c r="F77" s="366" t="s">
        <v>296</v>
      </c>
      <c r="G77" s="367">
        <f>'1352.19 Renewal'!F94</f>
        <v>6825633.3600000013</v>
      </c>
      <c r="H77" s="368">
        <f>'1352.19 Renewal'!G94</f>
        <v>515415560.43204004</v>
      </c>
      <c r="I77" s="316"/>
    </row>
    <row r="78" spans="1:9" x14ac:dyDescent="0.3">
      <c r="B78" s="316"/>
      <c r="C78" s="316"/>
      <c r="D78" s="316"/>
      <c r="E78" s="316"/>
      <c r="F78" s="316"/>
      <c r="G78" s="316"/>
      <c r="H78" s="316"/>
      <c r="I78" s="316"/>
    </row>
    <row r="79" spans="1:9" x14ac:dyDescent="0.3">
      <c r="B79" s="316"/>
      <c r="C79" s="316"/>
      <c r="D79" s="316"/>
      <c r="E79" s="316"/>
      <c r="F79" s="316"/>
      <c r="G79" s="316"/>
      <c r="H79" s="316"/>
      <c r="I79" s="316"/>
    </row>
    <row r="80" spans="1:9" ht="15" thickBot="1" x14ac:dyDescent="0.35">
      <c r="A80" s="317" t="s">
        <v>322</v>
      </c>
      <c r="B80" s="317"/>
      <c r="C80" s="316"/>
      <c r="D80" s="316"/>
      <c r="E80" s="316"/>
      <c r="F80" s="316"/>
      <c r="G80" s="316"/>
      <c r="H80" s="316"/>
      <c r="I80" s="316"/>
    </row>
    <row r="81" spans="1:9" x14ac:dyDescent="0.3">
      <c r="A81" s="383" t="s">
        <v>317</v>
      </c>
      <c r="B81" s="354" t="s">
        <v>59</v>
      </c>
      <c r="C81" s="354" t="s">
        <v>64</v>
      </c>
      <c r="D81" s="354" t="s">
        <v>65</v>
      </c>
      <c r="E81" s="354" t="s">
        <v>66</v>
      </c>
      <c r="F81" s="356" t="s">
        <v>67</v>
      </c>
      <c r="H81" s="316"/>
      <c r="I81" s="316"/>
    </row>
    <row r="82" spans="1:9" x14ac:dyDescent="0.3">
      <c r="A82" s="375" t="s">
        <v>68</v>
      </c>
      <c r="B82" s="349">
        <f>'1352.19 Renewal'!B99</f>
        <v>6825633.3600000013</v>
      </c>
      <c r="C82" s="336">
        <f>'1352.19 Renewal'!C99</f>
        <v>515415560.43204004</v>
      </c>
      <c r="D82" s="336">
        <f>'1352.19 Renewal'!D99</f>
        <v>0</v>
      </c>
      <c r="E82" s="336">
        <f>'1352.19 Renewal'!E99</f>
        <v>1984333.3790819158</v>
      </c>
      <c r="F82" s="350">
        <f>'1352.19 Renewal'!F99</f>
        <v>517399893.81112194</v>
      </c>
      <c r="H82" s="316"/>
      <c r="I82" s="316"/>
    </row>
    <row r="83" spans="1:9" ht="15" thickBot="1" x14ac:dyDescent="0.35">
      <c r="A83" s="376" t="s">
        <v>69</v>
      </c>
      <c r="B83" s="352">
        <f>'1352.19 Renewal'!B100</f>
        <v>20476900.080000006</v>
      </c>
      <c r="C83" s="378">
        <f>'1352.19 Renewal'!C100</f>
        <v>1546246681.2961202</v>
      </c>
      <c r="D83" s="378">
        <f>'1352.19 Renewal'!D100</f>
        <v>0</v>
      </c>
      <c r="E83" s="378">
        <f>'1352.19 Renewal'!E100</f>
        <v>5953000.1372457473</v>
      </c>
      <c r="F83" s="353">
        <f>'1352.19 Renewal'!F100</f>
        <v>1552199681.4333658</v>
      </c>
      <c r="H83" s="316"/>
      <c r="I83" s="316"/>
    </row>
    <row r="84" spans="1:9" x14ac:dyDescent="0.3">
      <c r="B84" s="316"/>
      <c r="C84" s="316"/>
      <c r="D84" s="316"/>
      <c r="E84" s="316"/>
      <c r="F84" s="316"/>
      <c r="G84" s="316"/>
      <c r="H84" s="316"/>
      <c r="I84" s="316"/>
    </row>
    <row r="85" spans="1:9" x14ac:dyDescent="0.3">
      <c r="B85" s="316"/>
      <c r="C85" s="316"/>
      <c r="D85" s="316"/>
      <c r="E85" s="316"/>
      <c r="F85" s="316"/>
      <c r="G85" s="316"/>
      <c r="H85" s="316"/>
      <c r="I85" s="316"/>
    </row>
    <row r="86" spans="1:9" ht="15" thickBot="1" x14ac:dyDescent="0.35">
      <c r="A86" s="317" t="s">
        <v>323</v>
      </c>
      <c r="C86" s="316"/>
      <c r="D86" s="316"/>
      <c r="E86" s="316"/>
      <c r="F86" s="316"/>
      <c r="G86" s="316"/>
      <c r="H86" s="316"/>
      <c r="I86" s="316"/>
    </row>
    <row r="87" spans="1:9" x14ac:dyDescent="0.3">
      <c r="A87" s="383" t="s">
        <v>317</v>
      </c>
      <c r="B87" s="354" t="s">
        <v>59</v>
      </c>
      <c r="C87" s="354" t="s">
        <v>64</v>
      </c>
      <c r="D87" s="354" t="s">
        <v>65</v>
      </c>
      <c r="E87" s="354" t="s">
        <v>66</v>
      </c>
      <c r="F87" s="356" t="s">
        <v>67</v>
      </c>
      <c r="H87" s="316"/>
      <c r="I87" s="316"/>
    </row>
    <row r="88" spans="1:9" x14ac:dyDescent="0.3">
      <c r="A88" s="375" t="s">
        <v>68</v>
      </c>
      <c r="B88" s="349">
        <f>'1352.19 Renewal'!B107</f>
        <v>137637.71320000003</v>
      </c>
      <c r="C88" s="336">
        <f>'1352.19 Renewal'!C107</f>
        <v>7026101.4894360006</v>
      </c>
      <c r="D88" s="336">
        <f>'1352.19 Renewal'!D107</f>
        <v>0</v>
      </c>
      <c r="E88" s="336">
        <f>'1352.19 Renewal'!E107</f>
        <v>23379.166115477463</v>
      </c>
      <c r="F88" s="350">
        <f>'1352.19 Renewal'!F107</f>
        <v>7049480.6555514783</v>
      </c>
      <c r="H88" s="316"/>
      <c r="I88" s="316"/>
    </row>
    <row r="89" spans="1:9" ht="15" thickBot="1" x14ac:dyDescent="0.35">
      <c r="A89" s="376" t="s">
        <v>69</v>
      </c>
      <c r="B89" s="352">
        <f>'1352.19 Renewal'!B108</f>
        <v>412913.13960000011</v>
      </c>
      <c r="C89" s="378">
        <f>'1352.19 Renewal'!C108</f>
        <v>21078304.468308002</v>
      </c>
      <c r="D89" s="378">
        <f>'1352.19 Renewal'!D108</f>
        <v>0</v>
      </c>
      <c r="E89" s="378">
        <f>'1352.19 Renewal'!E108</f>
        <v>70137.498346432389</v>
      </c>
      <c r="F89" s="353">
        <f>'1352.19 Renewal'!F108</f>
        <v>21148441.966654435</v>
      </c>
      <c r="H89" s="316"/>
      <c r="I89" s="316"/>
    </row>
    <row r="90" spans="1:9" x14ac:dyDescent="0.3">
      <c r="B90" s="316"/>
      <c r="C90" s="316"/>
      <c r="D90" s="316"/>
      <c r="E90" s="316"/>
      <c r="F90" s="316"/>
      <c r="G90" s="316"/>
      <c r="H90" s="316"/>
      <c r="I90" s="316"/>
    </row>
    <row r="91" spans="1:9" x14ac:dyDescent="0.3">
      <c r="B91" s="316"/>
      <c r="C91" s="316"/>
      <c r="D91" s="316"/>
      <c r="E91" s="316"/>
      <c r="F91" s="316"/>
      <c r="G91" s="316"/>
      <c r="H91" s="316"/>
      <c r="I91" s="316"/>
    </row>
    <row r="92" spans="1:9" ht="15" thickBot="1" x14ac:dyDescent="0.35">
      <c r="A92" s="317" t="s">
        <v>324</v>
      </c>
      <c r="C92" s="316"/>
      <c r="D92" s="316"/>
      <c r="E92" s="316"/>
      <c r="F92" s="316"/>
      <c r="G92" s="316"/>
      <c r="H92" s="316"/>
      <c r="I92" s="316"/>
    </row>
    <row r="93" spans="1:9" x14ac:dyDescent="0.3">
      <c r="A93" s="383" t="s">
        <v>240</v>
      </c>
      <c r="B93" s="354" t="s">
        <v>59</v>
      </c>
      <c r="C93" s="354" t="s">
        <v>64</v>
      </c>
      <c r="D93" s="354" t="s">
        <v>65</v>
      </c>
      <c r="E93" s="354" t="s">
        <v>66</v>
      </c>
      <c r="F93" s="356" t="s">
        <v>67</v>
      </c>
      <c r="H93" s="316"/>
      <c r="I93" s="316"/>
    </row>
    <row r="94" spans="1:9" x14ac:dyDescent="0.3">
      <c r="A94" s="377" t="s">
        <v>77</v>
      </c>
      <c r="B94" s="349">
        <f>'1352.19 Renewal'!B112</f>
        <v>6825633.3600000013</v>
      </c>
      <c r="C94" s="336">
        <f>'1352.19 Renewal'!C112</f>
        <v>515415560.43204004</v>
      </c>
      <c r="D94" s="336">
        <f>'1352.19 Renewal'!D112</f>
        <v>0</v>
      </c>
      <c r="E94" s="336">
        <f>'1352.19 Renewal'!E112</f>
        <v>1984333.3790819158</v>
      </c>
      <c r="F94" s="350">
        <f>'1352.19 Renewal'!F112</f>
        <v>517399893.81112194</v>
      </c>
      <c r="H94" s="316"/>
      <c r="I94" s="316"/>
    </row>
    <row r="95" spans="1:9" ht="15" thickBot="1" x14ac:dyDescent="0.35">
      <c r="A95" s="382" t="s">
        <v>8</v>
      </c>
      <c r="B95" s="352">
        <f>'1352.19 Renewal'!B113</f>
        <v>137637.71320000003</v>
      </c>
      <c r="C95" s="378">
        <f>'1352.19 Renewal'!C113</f>
        <v>7026101.4894360006</v>
      </c>
      <c r="D95" s="378">
        <f>'1352.19 Renewal'!D113</f>
        <v>0</v>
      </c>
      <c r="E95" s="378">
        <f>'1352.19 Renewal'!E113</f>
        <v>23379.166115477463</v>
      </c>
      <c r="F95" s="353">
        <f>'1352.19 Renewal'!F113</f>
        <v>7049480.6555514783</v>
      </c>
      <c r="H95" s="316"/>
      <c r="I95" s="316"/>
    </row>
    <row r="96" spans="1:9" x14ac:dyDescent="0.3">
      <c r="A96" s="379" t="s">
        <v>297</v>
      </c>
      <c r="B96" s="380">
        <f>'1352.19 Renewal'!B114</f>
        <v>6963271.0732000014</v>
      </c>
      <c r="C96" s="381">
        <f>'1352.19 Renewal'!C114</f>
        <v>522441661.92147601</v>
      </c>
      <c r="D96" s="381">
        <f>'1352.19 Renewal'!D114</f>
        <v>0</v>
      </c>
      <c r="E96" s="381">
        <f>'1352.19 Renewal'!E114</f>
        <v>2007712.5451973933</v>
      </c>
      <c r="F96" s="371">
        <f>'1352.19 Renewal'!F114</f>
        <v>524449374.46667343</v>
      </c>
      <c r="H96" s="316"/>
      <c r="I96" s="316"/>
    </row>
    <row r="97" spans="1:9" ht="15" thickBot="1" x14ac:dyDescent="0.35">
      <c r="A97" s="376" t="s">
        <v>298</v>
      </c>
      <c r="B97" s="352">
        <f>'1352.19 Renewal'!B115</f>
        <v>20889813.219600003</v>
      </c>
      <c r="C97" s="378">
        <f>'1352.19 Renewal'!C115</f>
        <v>1567324985.7644281</v>
      </c>
      <c r="D97" s="378">
        <f>'1352.19 Renewal'!D115</f>
        <v>0</v>
      </c>
      <c r="E97" s="378">
        <f>'1352.19 Renewal'!E115</f>
        <v>6023137.6355921794</v>
      </c>
      <c r="F97" s="353">
        <f>'1352.19 Renewal'!F115</f>
        <v>1573348123.4000204</v>
      </c>
      <c r="H97" s="316"/>
      <c r="I97" s="316"/>
    </row>
    <row r="98" spans="1:9" x14ac:dyDescent="0.3">
      <c r="B98" s="316"/>
      <c r="C98" s="316"/>
      <c r="D98" s="316"/>
      <c r="E98" s="316"/>
      <c r="F98" s="316"/>
      <c r="G98" s="316"/>
      <c r="H98" s="316"/>
      <c r="I98" s="316"/>
    </row>
    <row r="99" spans="1:9" x14ac:dyDescent="0.3">
      <c r="B99" s="316"/>
      <c r="C99" s="316"/>
      <c r="D99" s="316"/>
      <c r="E99" s="316"/>
      <c r="F99" s="316"/>
      <c r="G99" s="316"/>
      <c r="H99" s="316"/>
      <c r="I99" s="316"/>
    </row>
    <row r="100" spans="1:9" x14ac:dyDescent="0.3">
      <c r="B100" s="316"/>
      <c r="C100" s="316"/>
      <c r="D100" s="316"/>
      <c r="E100" s="316"/>
      <c r="F100" s="316"/>
      <c r="G100" s="316"/>
      <c r="H100" s="316"/>
      <c r="I100" s="316"/>
    </row>
    <row r="101" spans="1:9" x14ac:dyDescent="0.3">
      <c r="B101" s="316"/>
      <c r="C101" s="316"/>
      <c r="D101" s="316"/>
      <c r="E101" s="316"/>
      <c r="F101" s="316"/>
      <c r="G101" s="3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BD852-B744-46F0-885E-C2E5029A0B34}">
  <sheetPr>
    <tabColor theme="7" tint="0.79998168889431442"/>
  </sheetPr>
  <dimension ref="A1:Q153"/>
  <sheetViews>
    <sheetView topLeftCell="A2" workbookViewId="0">
      <pane xSplit="1" ySplit="5" topLeftCell="B45" activePane="bottomRight" state="frozen"/>
      <selection activeCell="B7" sqref="B7"/>
      <selection pane="topRight" activeCell="B7" sqref="B7"/>
      <selection pane="bottomLeft" activeCell="B7" sqref="B7"/>
      <selection pane="bottomRight" activeCell="C3" sqref="C3"/>
    </sheetView>
  </sheetViews>
  <sheetFormatPr defaultColWidth="8.77734375" defaultRowHeight="13.2" x14ac:dyDescent="0.25"/>
  <cols>
    <col min="1" max="1" width="20.6640625" style="132" customWidth="1"/>
    <col min="2" max="16384" width="8.77734375" style="132"/>
  </cols>
  <sheetData>
    <row r="1" spans="1:17" x14ac:dyDescent="0.25">
      <c r="A1" s="131" t="s">
        <v>152</v>
      </c>
    </row>
    <row r="2" spans="1:17" ht="64.8" customHeight="1" x14ac:dyDescent="0.25">
      <c r="A2" s="442" t="s">
        <v>256</v>
      </c>
      <c r="B2" s="442"/>
      <c r="C2" s="442"/>
      <c r="D2" s="442"/>
      <c r="E2" s="442"/>
      <c r="F2" s="442"/>
      <c r="G2" s="442"/>
      <c r="H2" s="442"/>
      <c r="I2" s="442"/>
      <c r="J2" s="442"/>
    </row>
    <row r="3" spans="1:17" ht="64.8" customHeight="1" x14ac:dyDescent="0.25">
      <c r="A3" s="154" t="s">
        <v>246</v>
      </c>
      <c r="B3" s="133"/>
      <c r="C3" s="133"/>
      <c r="D3" s="133"/>
      <c r="E3" s="133"/>
      <c r="F3" s="133"/>
      <c r="G3" s="133"/>
      <c r="H3" s="133"/>
      <c r="I3" s="133"/>
      <c r="J3" s="133"/>
    </row>
    <row r="4" spans="1:17" ht="13.8" thickBot="1" x14ac:dyDescent="0.3">
      <c r="A4" s="443" t="s">
        <v>255</v>
      </c>
      <c r="B4" s="444"/>
      <c r="C4" s="444"/>
      <c r="D4" s="444"/>
      <c r="E4" s="444"/>
      <c r="F4" s="444"/>
      <c r="G4" s="444"/>
      <c r="H4" s="444"/>
      <c r="I4" s="444"/>
      <c r="J4" s="444"/>
      <c r="K4" s="444"/>
      <c r="L4" s="444"/>
      <c r="M4" s="444"/>
      <c r="N4" s="444"/>
      <c r="O4" s="444"/>
      <c r="P4" s="444"/>
      <c r="Q4" s="444"/>
    </row>
    <row r="5" spans="1:17" ht="28.8" customHeight="1" thickBot="1" x14ac:dyDescent="0.35">
      <c r="A5" s="445" t="s">
        <v>153</v>
      </c>
      <c r="B5" s="447" t="s">
        <v>154</v>
      </c>
      <c r="C5" s="448"/>
      <c r="D5" s="434" t="s">
        <v>155</v>
      </c>
      <c r="E5" s="435"/>
      <c r="F5" s="434" t="s">
        <v>156</v>
      </c>
      <c r="G5" s="435"/>
      <c r="H5" s="434" t="s">
        <v>157</v>
      </c>
      <c r="I5" s="435"/>
      <c r="J5" s="434" t="s">
        <v>158</v>
      </c>
      <c r="K5" s="435"/>
      <c r="L5" s="434" t="s">
        <v>159</v>
      </c>
      <c r="M5" s="435"/>
      <c r="N5" s="434" t="s">
        <v>160</v>
      </c>
      <c r="O5" s="435"/>
      <c r="P5" s="434" t="s">
        <v>161</v>
      </c>
      <c r="Q5" s="435"/>
    </row>
    <row r="6" spans="1:17" ht="13.8" thickBot="1" x14ac:dyDescent="0.3">
      <c r="A6" s="446"/>
      <c r="B6" s="155" t="s">
        <v>162</v>
      </c>
      <c r="C6" s="155" t="s">
        <v>163</v>
      </c>
      <c r="D6" s="155" t="s">
        <v>162</v>
      </c>
      <c r="E6" s="155" t="s">
        <v>163</v>
      </c>
      <c r="F6" s="155" t="s">
        <v>162</v>
      </c>
      <c r="G6" s="155" t="s">
        <v>163</v>
      </c>
      <c r="H6" s="155" t="s">
        <v>162</v>
      </c>
      <c r="I6" s="155" t="s">
        <v>163</v>
      </c>
      <c r="J6" s="155" t="s">
        <v>162</v>
      </c>
      <c r="K6" s="155" t="s">
        <v>163</v>
      </c>
      <c r="L6" s="155" t="s">
        <v>162</v>
      </c>
      <c r="M6" s="155" t="s">
        <v>163</v>
      </c>
      <c r="N6" s="155" t="s">
        <v>162</v>
      </c>
      <c r="O6" s="155" t="s">
        <v>163</v>
      </c>
      <c r="P6" s="155" t="s">
        <v>162</v>
      </c>
      <c r="Q6" s="155" t="s">
        <v>163</v>
      </c>
    </row>
    <row r="7" spans="1:17" ht="13.8" thickBot="1" x14ac:dyDescent="0.3">
      <c r="A7" s="156" t="s">
        <v>164</v>
      </c>
      <c r="B7" s="157">
        <v>46.15</v>
      </c>
      <c r="C7" s="157">
        <v>100</v>
      </c>
      <c r="D7" s="157">
        <v>32.36</v>
      </c>
      <c r="E7" s="157">
        <v>70.099999999999994</v>
      </c>
      <c r="F7" s="157">
        <v>13.79</v>
      </c>
      <c r="G7" s="157">
        <v>29.9</v>
      </c>
      <c r="H7" s="157">
        <v>3.52</v>
      </c>
      <c r="I7" s="157">
        <v>7.6</v>
      </c>
      <c r="J7" s="157">
        <v>1.87</v>
      </c>
      <c r="K7" s="157">
        <v>4.0999999999999996</v>
      </c>
      <c r="L7" s="157">
        <v>3.51</v>
      </c>
      <c r="M7" s="157">
        <v>7.6</v>
      </c>
      <c r="N7" s="157">
        <v>1.55</v>
      </c>
      <c r="O7" s="157">
        <v>3.4</v>
      </c>
      <c r="P7" s="157">
        <v>3.34</v>
      </c>
      <c r="Q7" s="157">
        <v>7.2</v>
      </c>
    </row>
    <row r="8" spans="1:17" ht="13.8" thickBot="1" x14ac:dyDescent="0.3">
      <c r="A8" s="158" t="s">
        <v>165</v>
      </c>
      <c r="B8" s="436"/>
      <c r="C8" s="437"/>
      <c r="D8" s="437"/>
      <c r="E8" s="437"/>
      <c r="F8" s="437"/>
      <c r="G8" s="437"/>
      <c r="H8" s="437"/>
      <c r="I8" s="437"/>
      <c r="J8" s="437"/>
      <c r="K8" s="437"/>
      <c r="L8" s="437"/>
      <c r="M8" s="437"/>
      <c r="N8" s="437"/>
      <c r="O8" s="437"/>
      <c r="P8" s="437"/>
      <c r="Q8" s="438"/>
    </row>
    <row r="9" spans="1:17" ht="31.2" thickBot="1" x14ac:dyDescent="0.3">
      <c r="A9" s="159" t="s">
        <v>166</v>
      </c>
      <c r="B9" s="157">
        <v>77.22</v>
      </c>
      <c r="C9" s="157">
        <v>100</v>
      </c>
      <c r="D9" s="157">
        <v>53.03</v>
      </c>
      <c r="E9" s="157">
        <v>68.7</v>
      </c>
      <c r="F9" s="157">
        <v>24.19</v>
      </c>
      <c r="G9" s="157">
        <v>31.3</v>
      </c>
      <c r="H9" s="157">
        <v>7.28</v>
      </c>
      <c r="I9" s="157">
        <v>9.4</v>
      </c>
      <c r="J9" s="157">
        <v>3.55</v>
      </c>
      <c r="K9" s="157">
        <v>4.5999999999999996</v>
      </c>
      <c r="L9" s="157">
        <v>5.54</v>
      </c>
      <c r="M9" s="157">
        <v>7.2</v>
      </c>
      <c r="N9" s="157">
        <v>2.87</v>
      </c>
      <c r="O9" s="157">
        <v>3.7</v>
      </c>
      <c r="P9" s="157">
        <v>4.95</v>
      </c>
      <c r="Q9" s="157">
        <v>6.4</v>
      </c>
    </row>
    <row r="10" spans="1:17" ht="31.2" thickBot="1" x14ac:dyDescent="0.3">
      <c r="A10" s="160" t="s">
        <v>167</v>
      </c>
      <c r="B10" s="161">
        <v>86.61</v>
      </c>
      <c r="C10" s="161">
        <v>100</v>
      </c>
      <c r="D10" s="161">
        <v>58.51</v>
      </c>
      <c r="E10" s="161">
        <v>67.599999999999994</v>
      </c>
      <c r="F10" s="161">
        <v>28.09</v>
      </c>
      <c r="G10" s="161">
        <v>32.4</v>
      </c>
      <c r="H10" s="161">
        <v>8.33</v>
      </c>
      <c r="I10" s="161">
        <v>9.6</v>
      </c>
      <c r="J10" s="161">
        <v>4.8600000000000003</v>
      </c>
      <c r="K10" s="161">
        <v>5.6</v>
      </c>
      <c r="L10" s="161">
        <v>6.33</v>
      </c>
      <c r="M10" s="161">
        <v>7.3</v>
      </c>
      <c r="N10" s="161">
        <v>3.17</v>
      </c>
      <c r="O10" s="161">
        <v>3.7</v>
      </c>
      <c r="P10" s="161">
        <v>5.4</v>
      </c>
      <c r="Q10" s="161">
        <v>6.2</v>
      </c>
    </row>
    <row r="11" spans="1:17" ht="21" thickBot="1" x14ac:dyDescent="0.3">
      <c r="A11" s="162" t="s">
        <v>168</v>
      </c>
      <c r="B11" s="157">
        <v>72.19</v>
      </c>
      <c r="C11" s="157">
        <v>100</v>
      </c>
      <c r="D11" s="157">
        <v>50.1</v>
      </c>
      <c r="E11" s="157">
        <v>69.400000000000006</v>
      </c>
      <c r="F11" s="157">
        <v>22.09</v>
      </c>
      <c r="G11" s="157">
        <v>30.6</v>
      </c>
      <c r="H11" s="157">
        <v>6.71</v>
      </c>
      <c r="I11" s="157">
        <v>9.3000000000000007</v>
      </c>
      <c r="J11" s="157">
        <v>2.85</v>
      </c>
      <c r="K11" s="157">
        <v>3.9</v>
      </c>
      <c r="L11" s="157">
        <v>5.12</v>
      </c>
      <c r="M11" s="157">
        <v>7.1</v>
      </c>
      <c r="N11" s="157">
        <v>2.71</v>
      </c>
      <c r="O11" s="157">
        <v>3.8</v>
      </c>
      <c r="P11" s="157">
        <v>4.7</v>
      </c>
      <c r="Q11" s="157">
        <v>6.5</v>
      </c>
    </row>
    <row r="12" spans="1:17" ht="21" thickBot="1" x14ac:dyDescent="0.3">
      <c r="A12" s="163" t="s">
        <v>169</v>
      </c>
      <c r="B12" s="161">
        <v>35.54</v>
      </c>
      <c r="C12" s="161">
        <v>100</v>
      </c>
      <c r="D12" s="161">
        <v>25.48</v>
      </c>
      <c r="E12" s="161">
        <v>71.7</v>
      </c>
      <c r="F12" s="161">
        <v>10.050000000000001</v>
      </c>
      <c r="G12" s="161">
        <v>28.3</v>
      </c>
      <c r="H12" s="161">
        <v>2.4500000000000002</v>
      </c>
      <c r="I12" s="161">
        <v>6.9</v>
      </c>
      <c r="J12" s="161">
        <v>1.06</v>
      </c>
      <c r="K12" s="161">
        <v>3</v>
      </c>
      <c r="L12" s="161">
        <v>3.02</v>
      </c>
      <c r="M12" s="161">
        <v>8.5</v>
      </c>
      <c r="N12" s="161">
        <v>0.95</v>
      </c>
      <c r="O12" s="161">
        <v>2.7</v>
      </c>
      <c r="P12" s="161">
        <v>2.58</v>
      </c>
      <c r="Q12" s="161">
        <v>7.3</v>
      </c>
    </row>
    <row r="13" spans="1:17" ht="21" thickBot="1" x14ac:dyDescent="0.3">
      <c r="A13" s="162" t="s">
        <v>170</v>
      </c>
      <c r="B13" s="157">
        <v>35.01</v>
      </c>
      <c r="C13" s="157">
        <v>100</v>
      </c>
      <c r="D13" s="157">
        <v>26.37</v>
      </c>
      <c r="E13" s="157">
        <v>75.3</v>
      </c>
      <c r="F13" s="157">
        <v>8.65</v>
      </c>
      <c r="G13" s="157">
        <v>24.7</v>
      </c>
      <c r="H13" s="157">
        <v>2.09</v>
      </c>
      <c r="I13" s="157">
        <v>6</v>
      </c>
      <c r="J13" s="157">
        <v>1.04</v>
      </c>
      <c r="K13" s="157">
        <v>3</v>
      </c>
      <c r="L13" s="157">
        <v>2.0499999999999998</v>
      </c>
      <c r="M13" s="157">
        <v>5.9</v>
      </c>
      <c r="N13" s="157">
        <v>0.83</v>
      </c>
      <c r="O13" s="157">
        <v>2.4</v>
      </c>
      <c r="P13" s="157">
        <v>2.64</v>
      </c>
      <c r="Q13" s="157">
        <v>7.5</v>
      </c>
    </row>
    <row r="14" spans="1:17" ht="31.2" thickBot="1" x14ac:dyDescent="0.3">
      <c r="A14" s="160" t="s">
        <v>171</v>
      </c>
      <c r="B14" s="161">
        <v>35.96</v>
      </c>
      <c r="C14" s="161">
        <v>100</v>
      </c>
      <c r="D14" s="161">
        <v>24.79</v>
      </c>
      <c r="E14" s="161">
        <v>68.900000000000006</v>
      </c>
      <c r="F14" s="161">
        <v>11.17</v>
      </c>
      <c r="G14" s="161">
        <v>31.1</v>
      </c>
      <c r="H14" s="161">
        <v>2.73</v>
      </c>
      <c r="I14" s="161">
        <v>7.6</v>
      </c>
      <c r="J14" s="161">
        <v>1.07</v>
      </c>
      <c r="K14" s="161">
        <v>3</v>
      </c>
      <c r="L14" s="161">
        <v>3.79</v>
      </c>
      <c r="M14" s="161">
        <v>10.6</v>
      </c>
      <c r="N14" s="161">
        <v>1.04</v>
      </c>
      <c r="O14" s="161">
        <v>2.9</v>
      </c>
      <c r="P14" s="161">
        <v>2.5299999999999998</v>
      </c>
      <c r="Q14" s="161">
        <v>7</v>
      </c>
    </row>
    <row r="15" spans="1:17" ht="13.8" thickBot="1" x14ac:dyDescent="0.3">
      <c r="A15" s="159" t="s">
        <v>172</v>
      </c>
      <c r="B15" s="157">
        <v>23.39</v>
      </c>
      <c r="C15" s="157">
        <v>100</v>
      </c>
      <c r="D15" s="157">
        <v>17.989999999999998</v>
      </c>
      <c r="E15" s="157">
        <v>76.900000000000006</v>
      </c>
      <c r="F15" s="157">
        <v>5.4</v>
      </c>
      <c r="G15" s="157">
        <v>23.1</v>
      </c>
      <c r="H15" s="157">
        <v>1.02</v>
      </c>
      <c r="I15" s="157">
        <v>4.4000000000000004</v>
      </c>
      <c r="J15" s="157">
        <v>0.62</v>
      </c>
      <c r="K15" s="157">
        <v>2.7</v>
      </c>
      <c r="L15" s="157">
        <v>1.33</v>
      </c>
      <c r="M15" s="157">
        <v>5.7</v>
      </c>
      <c r="N15" s="157">
        <v>0.38</v>
      </c>
      <c r="O15" s="157">
        <v>1.6</v>
      </c>
      <c r="P15" s="157">
        <v>2.0499999999999998</v>
      </c>
      <c r="Q15" s="157">
        <v>8.8000000000000007</v>
      </c>
    </row>
    <row r="16" spans="1:17" ht="31.2" thickBot="1" x14ac:dyDescent="0.3">
      <c r="A16" s="163" t="s">
        <v>173</v>
      </c>
      <c r="B16" s="161">
        <v>46.91</v>
      </c>
      <c r="C16" s="161">
        <v>100</v>
      </c>
      <c r="D16" s="161">
        <v>32.25</v>
      </c>
      <c r="E16" s="161">
        <v>68.7</v>
      </c>
      <c r="F16" s="161">
        <v>14.66</v>
      </c>
      <c r="G16" s="161">
        <v>31.3</v>
      </c>
      <c r="H16" s="161">
        <v>2.65</v>
      </c>
      <c r="I16" s="161">
        <v>5.6</v>
      </c>
      <c r="J16" s="161">
        <v>1.96</v>
      </c>
      <c r="K16" s="161">
        <v>4.2</v>
      </c>
      <c r="L16" s="161">
        <v>3.84</v>
      </c>
      <c r="M16" s="161">
        <v>8.1999999999999993</v>
      </c>
      <c r="N16" s="161">
        <v>2.27</v>
      </c>
      <c r="O16" s="161">
        <v>4.8</v>
      </c>
      <c r="P16" s="161">
        <v>3.93</v>
      </c>
      <c r="Q16" s="161">
        <v>8.4</v>
      </c>
    </row>
    <row r="17" spans="1:17" ht="41.4" thickBot="1" x14ac:dyDescent="0.3">
      <c r="A17" s="162" t="s">
        <v>174</v>
      </c>
      <c r="B17" s="157">
        <v>45.53</v>
      </c>
      <c r="C17" s="157">
        <v>100</v>
      </c>
      <c r="D17" s="157">
        <v>31.33</v>
      </c>
      <c r="E17" s="157">
        <v>68.8</v>
      </c>
      <c r="F17" s="157">
        <v>14.2</v>
      </c>
      <c r="G17" s="157">
        <v>31.2</v>
      </c>
      <c r="H17" s="157">
        <v>2.0499999999999998</v>
      </c>
      <c r="I17" s="157">
        <v>4.5</v>
      </c>
      <c r="J17" s="157">
        <v>2.0699999999999998</v>
      </c>
      <c r="K17" s="157">
        <v>4.5999999999999996</v>
      </c>
      <c r="L17" s="157">
        <v>3.68</v>
      </c>
      <c r="M17" s="157">
        <v>8.1</v>
      </c>
      <c r="N17" s="157">
        <v>2.27</v>
      </c>
      <c r="O17" s="157">
        <v>5</v>
      </c>
      <c r="P17" s="157">
        <v>4.12</v>
      </c>
      <c r="Q17" s="157">
        <v>9.1</v>
      </c>
    </row>
    <row r="18" spans="1:17" ht="31.2" thickBot="1" x14ac:dyDescent="0.3">
      <c r="A18" s="160" t="s">
        <v>175</v>
      </c>
      <c r="B18" s="161">
        <v>48.32</v>
      </c>
      <c r="C18" s="161">
        <v>100</v>
      </c>
      <c r="D18" s="161">
        <v>33.18</v>
      </c>
      <c r="E18" s="161">
        <v>68.7</v>
      </c>
      <c r="F18" s="161">
        <v>15.13</v>
      </c>
      <c r="G18" s="161">
        <v>31.3</v>
      </c>
      <c r="H18" s="161">
        <v>3.26</v>
      </c>
      <c r="I18" s="161">
        <v>6.7</v>
      </c>
      <c r="J18" s="161">
        <v>1.85</v>
      </c>
      <c r="K18" s="161">
        <v>3.8</v>
      </c>
      <c r="L18" s="161">
        <v>4.0199999999999996</v>
      </c>
      <c r="M18" s="161">
        <v>8.3000000000000007</v>
      </c>
      <c r="N18" s="161">
        <v>2.27</v>
      </c>
      <c r="O18" s="161">
        <v>4.7</v>
      </c>
      <c r="P18" s="161">
        <v>3.74</v>
      </c>
      <c r="Q18" s="161">
        <v>7.7</v>
      </c>
    </row>
    <row r="19" spans="1:17" ht="41.4" thickBot="1" x14ac:dyDescent="0.3">
      <c r="A19" s="159" t="s">
        <v>176</v>
      </c>
      <c r="B19" s="157">
        <v>36.26</v>
      </c>
      <c r="C19" s="157">
        <v>100</v>
      </c>
      <c r="D19" s="157">
        <v>24.82</v>
      </c>
      <c r="E19" s="157">
        <v>68.400000000000006</v>
      </c>
      <c r="F19" s="157">
        <v>11.45</v>
      </c>
      <c r="G19" s="157">
        <v>31.6</v>
      </c>
      <c r="H19" s="157">
        <v>2.1800000000000002</v>
      </c>
      <c r="I19" s="157">
        <v>6</v>
      </c>
      <c r="J19" s="157">
        <v>1.65</v>
      </c>
      <c r="K19" s="157">
        <v>4.5</v>
      </c>
      <c r="L19" s="157">
        <v>3.39</v>
      </c>
      <c r="M19" s="157">
        <v>9.3000000000000007</v>
      </c>
      <c r="N19" s="157">
        <v>1.28</v>
      </c>
      <c r="O19" s="157">
        <v>3.5</v>
      </c>
      <c r="P19" s="157">
        <v>2.95</v>
      </c>
      <c r="Q19" s="157">
        <v>8.1</v>
      </c>
    </row>
    <row r="20" spans="1:17" ht="13.8" thickBot="1" x14ac:dyDescent="0.3">
      <c r="A20" s="160" t="s">
        <v>177</v>
      </c>
      <c r="B20" s="161">
        <v>36.659999999999997</v>
      </c>
      <c r="C20" s="161">
        <v>100</v>
      </c>
      <c r="D20" s="161">
        <v>24.71</v>
      </c>
      <c r="E20" s="161">
        <v>67.400000000000006</v>
      </c>
      <c r="F20" s="161">
        <v>11.95</v>
      </c>
      <c r="G20" s="161">
        <v>32.6</v>
      </c>
      <c r="H20" s="161">
        <v>2.2799999999999998</v>
      </c>
      <c r="I20" s="161">
        <v>6.2</v>
      </c>
      <c r="J20" s="161">
        <v>2.25</v>
      </c>
      <c r="K20" s="161">
        <v>6.1</v>
      </c>
      <c r="L20" s="161">
        <v>3.51</v>
      </c>
      <c r="M20" s="161">
        <v>9.6</v>
      </c>
      <c r="N20" s="161">
        <v>1.02</v>
      </c>
      <c r="O20" s="161">
        <v>2.8</v>
      </c>
      <c r="P20" s="161">
        <v>2.9</v>
      </c>
      <c r="Q20" s="161">
        <v>7.9</v>
      </c>
    </row>
    <row r="21" spans="1:17" ht="31.2" thickBot="1" x14ac:dyDescent="0.3">
      <c r="A21" s="162" t="s">
        <v>178</v>
      </c>
      <c r="B21" s="157">
        <v>36.01</v>
      </c>
      <c r="C21" s="157">
        <v>100</v>
      </c>
      <c r="D21" s="157">
        <v>24.88</v>
      </c>
      <c r="E21" s="157">
        <v>69.099999999999994</v>
      </c>
      <c r="F21" s="157">
        <v>11.13</v>
      </c>
      <c r="G21" s="157">
        <v>30.9</v>
      </c>
      <c r="H21" s="157">
        <v>2.13</v>
      </c>
      <c r="I21" s="157">
        <v>5.9</v>
      </c>
      <c r="J21" s="157">
        <v>1.27</v>
      </c>
      <c r="K21" s="157">
        <v>3.5</v>
      </c>
      <c r="L21" s="157">
        <v>3.32</v>
      </c>
      <c r="M21" s="157">
        <v>9.1999999999999993</v>
      </c>
      <c r="N21" s="157">
        <v>1.44</v>
      </c>
      <c r="O21" s="157">
        <v>4</v>
      </c>
      <c r="P21" s="157">
        <v>2.98</v>
      </c>
      <c r="Q21" s="157">
        <v>8.3000000000000007</v>
      </c>
    </row>
    <row r="22" spans="1:17" ht="21" thickBot="1" x14ac:dyDescent="0.3">
      <c r="A22" s="158" t="s">
        <v>179</v>
      </c>
      <c r="B22" s="436"/>
      <c r="C22" s="437"/>
      <c r="D22" s="437"/>
      <c r="E22" s="437"/>
      <c r="F22" s="437"/>
      <c r="G22" s="437"/>
      <c r="H22" s="437"/>
      <c r="I22" s="437"/>
      <c r="J22" s="437"/>
      <c r="K22" s="437"/>
      <c r="L22" s="437"/>
      <c r="M22" s="437"/>
      <c r="N22" s="437"/>
      <c r="O22" s="437"/>
      <c r="P22" s="437"/>
      <c r="Q22" s="438"/>
    </row>
    <row r="23" spans="1:17" ht="29.4" thickBot="1" x14ac:dyDescent="0.3">
      <c r="A23" s="164" t="s">
        <v>180</v>
      </c>
      <c r="B23" s="157">
        <v>48.97</v>
      </c>
      <c r="C23" s="157">
        <v>100</v>
      </c>
      <c r="D23" s="157">
        <v>33.28</v>
      </c>
      <c r="E23" s="157">
        <v>68</v>
      </c>
      <c r="F23" s="157">
        <v>15.69</v>
      </c>
      <c r="G23" s="157">
        <v>32</v>
      </c>
      <c r="H23" s="157">
        <v>3.2</v>
      </c>
      <c r="I23" s="157">
        <v>6.5</v>
      </c>
      <c r="J23" s="157">
        <v>2.63</v>
      </c>
      <c r="K23" s="157">
        <v>5.4</v>
      </c>
      <c r="L23" s="157">
        <v>4.21</v>
      </c>
      <c r="M23" s="157">
        <v>8.6</v>
      </c>
      <c r="N23" s="157">
        <v>1.84</v>
      </c>
      <c r="O23" s="157">
        <v>3.8</v>
      </c>
      <c r="P23" s="157">
        <v>3.8</v>
      </c>
      <c r="Q23" s="157">
        <v>7.8</v>
      </c>
    </row>
    <row r="24" spans="1:17" ht="31.2" thickBot="1" x14ac:dyDescent="0.3">
      <c r="A24" s="160" t="s">
        <v>166</v>
      </c>
      <c r="B24" s="161">
        <v>80.040000000000006</v>
      </c>
      <c r="C24" s="161">
        <v>100</v>
      </c>
      <c r="D24" s="161">
        <v>54.68</v>
      </c>
      <c r="E24" s="161">
        <v>68.3</v>
      </c>
      <c r="F24" s="161">
        <v>25.36</v>
      </c>
      <c r="G24" s="161">
        <v>31.7</v>
      </c>
      <c r="H24" s="161">
        <v>6.89</v>
      </c>
      <c r="I24" s="161">
        <v>8.6</v>
      </c>
      <c r="J24" s="161">
        <v>4.38</v>
      </c>
      <c r="K24" s="161">
        <v>5.5</v>
      </c>
      <c r="L24" s="161">
        <v>5.78</v>
      </c>
      <c r="M24" s="161">
        <v>7.2</v>
      </c>
      <c r="N24" s="161">
        <v>2.95</v>
      </c>
      <c r="O24" s="161">
        <v>3.7</v>
      </c>
      <c r="P24" s="161">
        <v>5.37</v>
      </c>
      <c r="Q24" s="161">
        <v>6.7</v>
      </c>
    </row>
    <row r="25" spans="1:17" ht="31.2" thickBot="1" x14ac:dyDescent="0.3">
      <c r="A25" s="165" t="s">
        <v>167</v>
      </c>
      <c r="B25" s="157">
        <v>85.61</v>
      </c>
      <c r="C25" s="157">
        <v>100</v>
      </c>
      <c r="D25" s="157">
        <v>58.77</v>
      </c>
      <c r="E25" s="157">
        <v>68.7</v>
      </c>
      <c r="F25" s="157">
        <v>26.84</v>
      </c>
      <c r="G25" s="157">
        <v>31.3</v>
      </c>
      <c r="H25" s="157">
        <v>7.12</v>
      </c>
      <c r="I25" s="157">
        <v>8.3000000000000007</v>
      </c>
      <c r="J25" s="157">
        <v>5.31</v>
      </c>
      <c r="K25" s="157">
        <v>6.2</v>
      </c>
      <c r="L25" s="157">
        <v>5.79</v>
      </c>
      <c r="M25" s="157">
        <v>6.8</v>
      </c>
      <c r="N25" s="157">
        <v>2.9</v>
      </c>
      <c r="O25" s="157">
        <v>3.4</v>
      </c>
      <c r="P25" s="157">
        <v>5.72</v>
      </c>
      <c r="Q25" s="157">
        <v>6.7</v>
      </c>
    </row>
    <row r="26" spans="1:17" ht="21" thickBot="1" x14ac:dyDescent="0.3">
      <c r="A26" s="166" t="s">
        <v>168</v>
      </c>
      <c r="B26" s="161">
        <v>73.31</v>
      </c>
      <c r="C26" s="161">
        <v>100</v>
      </c>
      <c r="D26" s="161">
        <v>49.73</v>
      </c>
      <c r="E26" s="161">
        <v>67.8</v>
      </c>
      <c r="F26" s="161">
        <v>23.58</v>
      </c>
      <c r="G26" s="161">
        <v>32.200000000000003</v>
      </c>
      <c r="H26" s="161">
        <v>6.6</v>
      </c>
      <c r="I26" s="161">
        <v>9</v>
      </c>
      <c r="J26" s="161">
        <v>3.25</v>
      </c>
      <c r="K26" s="161">
        <v>4.4000000000000004</v>
      </c>
      <c r="L26" s="161">
        <v>5.77</v>
      </c>
      <c r="M26" s="161">
        <v>7.9</v>
      </c>
      <c r="N26" s="161">
        <v>3</v>
      </c>
      <c r="O26" s="161">
        <v>4.0999999999999996</v>
      </c>
      <c r="P26" s="161">
        <v>4.95</v>
      </c>
      <c r="Q26" s="161">
        <v>6.8</v>
      </c>
    </row>
    <row r="27" spans="1:17" ht="21" thickBot="1" x14ac:dyDescent="0.3">
      <c r="A27" s="162" t="s">
        <v>169</v>
      </c>
      <c r="B27" s="157">
        <v>42.5</v>
      </c>
      <c r="C27" s="157">
        <v>100</v>
      </c>
      <c r="D27" s="157">
        <v>30.8</v>
      </c>
      <c r="E27" s="157">
        <v>72.5</v>
      </c>
      <c r="F27" s="157">
        <v>11.7</v>
      </c>
      <c r="G27" s="157">
        <v>27.5</v>
      </c>
      <c r="H27" s="157">
        <v>2.73</v>
      </c>
      <c r="I27" s="157">
        <v>6.4</v>
      </c>
      <c r="J27" s="157">
        <v>1.3</v>
      </c>
      <c r="K27" s="157">
        <v>3</v>
      </c>
      <c r="L27" s="157">
        <v>3.55</v>
      </c>
      <c r="M27" s="157">
        <v>8.4</v>
      </c>
      <c r="N27" s="157">
        <v>0.94</v>
      </c>
      <c r="O27" s="157">
        <v>2.2000000000000002</v>
      </c>
      <c r="P27" s="157">
        <v>3.18</v>
      </c>
      <c r="Q27" s="157">
        <v>7.5</v>
      </c>
    </row>
    <row r="28" spans="1:17" ht="31.2" thickBot="1" x14ac:dyDescent="0.3">
      <c r="A28" s="166" t="s">
        <v>171</v>
      </c>
      <c r="B28" s="161">
        <v>38.119999999999997</v>
      </c>
      <c r="C28" s="161">
        <v>100</v>
      </c>
      <c r="D28" s="161">
        <v>26.85</v>
      </c>
      <c r="E28" s="161">
        <v>70.400000000000006</v>
      </c>
      <c r="F28" s="161">
        <v>11.28</v>
      </c>
      <c r="G28" s="161">
        <v>29.6</v>
      </c>
      <c r="H28" s="161">
        <v>2.56</v>
      </c>
      <c r="I28" s="161">
        <v>6.7</v>
      </c>
      <c r="J28" s="161">
        <v>1.29</v>
      </c>
      <c r="K28" s="161">
        <v>3.4</v>
      </c>
      <c r="L28" s="161">
        <v>3.67</v>
      </c>
      <c r="M28" s="161">
        <v>9.6</v>
      </c>
      <c r="N28" s="161">
        <v>0.86</v>
      </c>
      <c r="O28" s="161">
        <v>2.2000000000000002</v>
      </c>
      <c r="P28" s="161">
        <v>2.9</v>
      </c>
      <c r="Q28" s="161">
        <v>7.6</v>
      </c>
    </row>
    <row r="29" spans="1:17" ht="41.4" thickBot="1" x14ac:dyDescent="0.3">
      <c r="A29" s="162" t="s">
        <v>173</v>
      </c>
      <c r="B29" s="157">
        <v>47.75</v>
      </c>
      <c r="C29" s="157">
        <v>100</v>
      </c>
      <c r="D29" s="157">
        <v>32.49</v>
      </c>
      <c r="E29" s="157">
        <v>68</v>
      </c>
      <c r="F29" s="157">
        <v>15.26</v>
      </c>
      <c r="G29" s="157">
        <v>32</v>
      </c>
      <c r="H29" s="157">
        <v>2.29</v>
      </c>
      <c r="I29" s="157">
        <v>4.8</v>
      </c>
      <c r="J29" s="157">
        <v>2.2999999999999998</v>
      </c>
      <c r="K29" s="157">
        <v>4.8</v>
      </c>
      <c r="L29" s="157">
        <v>3.94</v>
      </c>
      <c r="M29" s="157">
        <v>8.3000000000000007</v>
      </c>
      <c r="N29" s="157">
        <v>2.52</v>
      </c>
      <c r="O29" s="157">
        <v>5.3</v>
      </c>
      <c r="P29" s="157">
        <v>4.1900000000000004</v>
      </c>
      <c r="Q29" s="157">
        <v>8.8000000000000007</v>
      </c>
    </row>
    <row r="30" spans="1:17" ht="41.4" thickBot="1" x14ac:dyDescent="0.3">
      <c r="A30" s="166" t="s">
        <v>181</v>
      </c>
      <c r="B30" s="161">
        <v>46.5</v>
      </c>
      <c r="C30" s="161">
        <v>100</v>
      </c>
      <c r="D30" s="161">
        <v>31.94</v>
      </c>
      <c r="E30" s="161">
        <v>68.7</v>
      </c>
      <c r="F30" s="161">
        <v>14.56</v>
      </c>
      <c r="G30" s="161">
        <v>31.3</v>
      </c>
      <c r="H30" s="161">
        <v>2.0099999999999998</v>
      </c>
      <c r="I30" s="161">
        <v>4.3</v>
      </c>
      <c r="J30" s="161">
        <v>2.1800000000000002</v>
      </c>
      <c r="K30" s="161">
        <v>4.7</v>
      </c>
      <c r="L30" s="161">
        <v>3.7</v>
      </c>
      <c r="M30" s="161">
        <v>7.9</v>
      </c>
      <c r="N30" s="161">
        <v>2.42</v>
      </c>
      <c r="O30" s="161">
        <v>5.2</v>
      </c>
      <c r="P30" s="161">
        <v>4.25</v>
      </c>
      <c r="Q30" s="161">
        <v>9.1</v>
      </c>
    </row>
    <row r="31" spans="1:17" ht="31.2" thickBot="1" x14ac:dyDescent="0.3">
      <c r="A31" s="165" t="s">
        <v>175</v>
      </c>
      <c r="B31" s="157">
        <v>51.56</v>
      </c>
      <c r="C31" s="157">
        <v>100</v>
      </c>
      <c r="D31" s="157">
        <v>34.18</v>
      </c>
      <c r="E31" s="157">
        <v>66.3</v>
      </c>
      <c r="F31" s="157">
        <v>17.38</v>
      </c>
      <c r="G31" s="157">
        <v>33.700000000000003</v>
      </c>
      <c r="H31" s="157">
        <v>3.15</v>
      </c>
      <c r="I31" s="157">
        <v>6.1</v>
      </c>
      <c r="J31" s="157">
        <v>2.66</v>
      </c>
      <c r="K31" s="157">
        <v>5.2</v>
      </c>
      <c r="L31" s="157">
        <v>4.7</v>
      </c>
      <c r="M31" s="157">
        <v>9.1</v>
      </c>
      <c r="N31" s="157">
        <v>2.84</v>
      </c>
      <c r="O31" s="157">
        <v>5.5</v>
      </c>
      <c r="P31" s="157">
        <v>4.0199999999999996</v>
      </c>
      <c r="Q31" s="157">
        <v>7.8</v>
      </c>
    </row>
    <row r="32" spans="1:17" ht="41.4" thickBot="1" x14ac:dyDescent="0.3">
      <c r="A32" s="160" t="s">
        <v>176</v>
      </c>
      <c r="B32" s="161">
        <v>37.67</v>
      </c>
      <c r="C32" s="161">
        <v>100</v>
      </c>
      <c r="D32" s="161">
        <v>24.86</v>
      </c>
      <c r="E32" s="161">
        <v>66</v>
      </c>
      <c r="F32" s="161">
        <v>12.81</v>
      </c>
      <c r="G32" s="161">
        <v>34</v>
      </c>
      <c r="H32" s="161">
        <v>2.36</v>
      </c>
      <c r="I32" s="161">
        <v>6.3</v>
      </c>
      <c r="J32" s="161">
        <v>2.4700000000000002</v>
      </c>
      <c r="K32" s="161">
        <v>6.6</v>
      </c>
      <c r="L32" s="161">
        <v>3.94</v>
      </c>
      <c r="M32" s="161">
        <v>10.5</v>
      </c>
      <c r="N32" s="161">
        <v>1.08</v>
      </c>
      <c r="O32" s="161">
        <v>2.9</v>
      </c>
      <c r="P32" s="161">
        <v>2.96</v>
      </c>
      <c r="Q32" s="161">
        <v>7.8</v>
      </c>
    </row>
    <row r="33" spans="1:17" ht="21" thickBot="1" x14ac:dyDescent="0.3">
      <c r="A33" s="165" t="s">
        <v>177</v>
      </c>
      <c r="B33" s="157">
        <v>38.409999999999997</v>
      </c>
      <c r="C33" s="157">
        <v>100</v>
      </c>
      <c r="D33" s="157">
        <v>25.21</v>
      </c>
      <c r="E33" s="157">
        <v>65.599999999999994</v>
      </c>
      <c r="F33" s="157">
        <v>13.2</v>
      </c>
      <c r="G33" s="157">
        <v>34.4</v>
      </c>
      <c r="H33" s="157">
        <v>2.46</v>
      </c>
      <c r="I33" s="157">
        <v>6.4</v>
      </c>
      <c r="J33" s="157">
        <v>2.59</v>
      </c>
      <c r="K33" s="157">
        <v>6.7</v>
      </c>
      <c r="L33" s="157">
        <v>4.0599999999999996</v>
      </c>
      <c r="M33" s="157">
        <v>10.6</v>
      </c>
      <c r="N33" s="157">
        <v>1.1200000000000001</v>
      </c>
      <c r="O33" s="157">
        <v>2.9</v>
      </c>
      <c r="P33" s="157">
        <v>2.97</v>
      </c>
      <c r="Q33" s="157">
        <v>7.7</v>
      </c>
    </row>
    <row r="34" spans="1:17" ht="31.2" thickBot="1" x14ac:dyDescent="0.3">
      <c r="A34" s="166" t="s">
        <v>178</v>
      </c>
      <c r="B34" s="161">
        <v>34.93</v>
      </c>
      <c r="C34" s="161">
        <v>100</v>
      </c>
      <c r="D34" s="161">
        <v>23.56</v>
      </c>
      <c r="E34" s="161">
        <v>67.400000000000006</v>
      </c>
      <c r="F34" s="161">
        <v>11.38</v>
      </c>
      <c r="G34" s="161">
        <v>32.6</v>
      </c>
      <c r="H34" s="161">
        <v>2</v>
      </c>
      <c r="I34" s="161">
        <v>5.7</v>
      </c>
      <c r="J34" s="161">
        <v>2.06</v>
      </c>
      <c r="K34" s="161">
        <v>5.9</v>
      </c>
      <c r="L34" s="161">
        <v>3.51</v>
      </c>
      <c r="M34" s="161">
        <v>10</v>
      </c>
      <c r="N34" s="161">
        <v>0.92</v>
      </c>
      <c r="O34" s="161">
        <v>2.6</v>
      </c>
      <c r="P34" s="161">
        <v>2.89</v>
      </c>
      <c r="Q34" s="161">
        <v>8.3000000000000007</v>
      </c>
    </row>
    <row r="35" spans="1:17" ht="13.8" thickBot="1" x14ac:dyDescent="0.3">
      <c r="A35" s="162" t="s">
        <v>182</v>
      </c>
      <c r="B35" s="157">
        <v>50.93</v>
      </c>
      <c r="C35" s="157">
        <v>100</v>
      </c>
      <c r="D35" s="157">
        <v>35.47</v>
      </c>
      <c r="E35" s="157">
        <v>69.7</v>
      </c>
      <c r="F35" s="157">
        <v>15.45</v>
      </c>
      <c r="G35" s="157">
        <v>30.3</v>
      </c>
      <c r="H35" s="157">
        <v>2.59</v>
      </c>
      <c r="I35" s="157">
        <v>5.0999999999999996</v>
      </c>
      <c r="J35" s="157">
        <v>2.52</v>
      </c>
      <c r="K35" s="157">
        <v>5</v>
      </c>
      <c r="L35" s="157">
        <v>3.72</v>
      </c>
      <c r="M35" s="157">
        <v>7.3</v>
      </c>
      <c r="N35" s="157">
        <v>2.31</v>
      </c>
      <c r="O35" s="157">
        <v>4.5</v>
      </c>
      <c r="P35" s="157">
        <v>4.3099999999999996</v>
      </c>
      <c r="Q35" s="157">
        <v>8.5</v>
      </c>
    </row>
    <row r="36" spans="1:17" ht="13.8" thickBot="1" x14ac:dyDescent="0.3">
      <c r="A36" s="172" t="s">
        <v>183</v>
      </c>
      <c r="B36" s="161">
        <v>47.64</v>
      </c>
      <c r="C36" s="161">
        <v>100</v>
      </c>
      <c r="D36" s="161">
        <v>31.88</v>
      </c>
      <c r="E36" s="161">
        <v>66.900000000000006</v>
      </c>
      <c r="F36" s="161">
        <v>15.76</v>
      </c>
      <c r="G36" s="161">
        <v>33.1</v>
      </c>
      <c r="H36" s="161">
        <v>3.58</v>
      </c>
      <c r="I36" s="161">
        <v>7.5</v>
      </c>
      <c r="J36" s="161">
        <v>2.64</v>
      </c>
      <c r="K36" s="161">
        <v>5.6</v>
      </c>
      <c r="L36" s="161">
        <v>4.49</v>
      </c>
      <c r="M36" s="161">
        <v>9.4</v>
      </c>
      <c r="N36" s="161">
        <v>1.57</v>
      </c>
      <c r="O36" s="161">
        <v>3.3</v>
      </c>
      <c r="P36" s="161">
        <v>3.48</v>
      </c>
      <c r="Q36" s="161">
        <v>7.3</v>
      </c>
    </row>
    <row r="37" spans="1:17" ht="31.2" thickBot="1" x14ac:dyDescent="0.3">
      <c r="A37" s="165" t="s">
        <v>166</v>
      </c>
      <c r="B37" s="157">
        <v>80.44</v>
      </c>
      <c r="C37" s="157">
        <v>100</v>
      </c>
      <c r="D37" s="157">
        <v>54.77</v>
      </c>
      <c r="E37" s="157">
        <v>68.099999999999994</v>
      </c>
      <c r="F37" s="157">
        <v>25.67</v>
      </c>
      <c r="G37" s="157">
        <v>31.9</v>
      </c>
      <c r="H37" s="157">
        <v>7.5</v>
      </c>
      <c r="I37" s="157">
        <v>9.3000000000000007</v>
      </c>
      <c r="J37" s="157">
        <v>3.48</v>
      </c>
      <c r="K37" s="157">
        <v>4.3</v>
      </c>
      <c r="L37" s="157">
        <v>6.17</v>
      </c>
      <c r="M37" s="157">
        <v>7.7</v>
      </c>
      <c r="N37" s="157">
        <v>3.23</v>
      </c>
      <c r="O37" s="157">
        <v>4</v>
      </c>
      <c r="P37" s="157">
        <v>5.29</v>
      </c>
      <c r="Q37" s="157">
        <v>6.6</v>
      </c>
    </row>
    <row r="38" spans="1:17" ht="41.4" thickBot="1" x14ac:dyDescent="0.3">
      <c r="A38" s="173" t="s">
        <v>167</v>
      </c>
      <c r="B38" s="161">
        <v>87.9</v>
      </c>
      <c r="C38" s="161">
        <v>100</v>
      </c>
      <c r="D38" s="161">
        <v>60.36</v>
      </c>
      <c r="E38" s="161">
        <v>68.7</v>
      </c>
      <c r="F38" s="161">
        <v>27.54</v>
      </c>
      <c r="G38" s="161">
        <v>31.3</v>
      </c>
      <c r="H38" s="161">
        <v>8.3000000000000007</v>
      </c>
      <c r="I38" s="161">
        <v>9.4</v>
      </c>
      <c r="J38" s="161">
        <v>3.72</v>
      </c>
      <c r="K38" s="161">
        <v>4.2</v>
      </c>
      <c r="L38" s="161">
        <v>6.46</v>
      </c>
      <c r="M38" s="161">
        <v>7.3</v>
      </c>
      <c r="N38" s="161">
        <v>3.39</v>
      </c>
      <c r="O38" s="161">
        <v>3.9</v>
      </c>
      <c r="P38" s="161">
        <v>5.67</v>
      </c>
      <c r="Q38" s="161">
        <v>6.4</v>
      </c>
    </row>
    <row r="39" spans="1:17" ht="21" thickBot="1" x14ac:dyDescent="0.3">
      <c r="A39" s="173" t="s">
        <v>168</v>
      </c>
      <c r="B39" s="157">
        <v>74.94</v>
      </c>
      <c r="C39" s="157">
        <v>100</v>
      </c>
      <c r="D39" s="157">
        <v>50.65</v>
      </c>
      <c r="E39" s="157">
        <v>67.599999999999994</v>
      </c>
      <c r="F39" s="157">
        <v>24.29</v>
      </c>
      <c r="G39" s="157">
        <v>32.4</v>
      </c>
      <c r="H39" s="157">
        <v>6.9</v>
      </c>
      <c r="I39" s="157">
        <v>9.1999999999999993</v>
      </c>
      <c r="J39" s="157">
        <v>3.3</v>
      </c>
      <c r="K39" s="157">
        <v>4.4000000000000004</v>
      </c>
      <c r="L39" s="157">
        <v>5.96</v>
      </c>
      <c r="M39" s="157">
        <v>8</v>
      </c>
      <c r="N39" s="157">
        <v>3.12</v>
      </c>
      <c r="O39" s="157">
        <v>4.2</v>
      </c>
      <c r="P39" s="157">
        <v>5.01</v>
      </c>
      <c r="Q39" s="157">
        <v>6.7</v>
      </c>
    </row>
    <row r="40" spans="1:17" ht="21" thickBot="1" x14ac:dyDescent="0.3">
      <c r="A40" s="166" t="s">
        <v>169</v>
      </c>
      <c r="B40" s="161">
        <v>40.869999999999997</v>
      </c>
      <c r="C40" s="161">
        <v>100</v>
      </c>
      <c r="D40" s="161">
        <v>28.65</v>
      </c>
      <c r="E40" s="161">
        <v>70.099999999999994</v>
      </c>
      <c r="F40" s="161">
        <v>12.23</v>
      </c>
      <c r="G40" s="161">
        <v>29.9</v>
      </c>
      <c r="H40" s="161">
        <v>2.97</v>
      </c>
      <c r="I40" s="161">
        <v>7.3</v>
      </c>
      <c r="J40" s="161">
        <v>1.41</v>
      </c>
      <c r="K40" s="161">
        <v>3.5</v>
      </c>
      <c r="L40" s="161">
        <v>3.88</v>
      </c>
      <c r="M40" s="161">
        <v>9.5</v>
      </c>
      <c r="N40" s="161">
        <v>1.05</v>
      </c>
      <c r="O40" s="161">
        <v>2.6</v>
      </c>
      <c r="P40" s="161">
        <v>2.92</v>
      </c>
      <c r="Q40" s="161">
        <v>7.1</v>
      </c>
    </row>
    <row r="41" spans="1:17" ht="41.4" thickBot="1" x14ac:dyDescent="0.3">
      <c r="A41" s="173" t="s">
        <v>171</v>
      </c>
      <c r="B41" s="157">
        <v>38.520000000000003</v>
      </c>
      <c r="C41" s="157">
        <v>100</v>
      </c>
      <c r="D41" s="157">
        <v>26.44</v>
      </c>
      <c r="E41" s="157">
        <v>68.599999999999994</v>
      </c>
      <c r="F41" s="157">
        <v>12.08</v>
      </c>
      <c r="G41" s="157">
        <v>31.4</v>
      </c>
      <c r="H41" s="157">
        <v>2.82</v>
      </c>
      <c r="I41" s="157">
        <v>7.3</v>
      </c>
      <c r="J41" s="157">
        <v>1.41</v>
      </c>
      <c r="K41" s="157">
        <v>3.7</v>
      </c>
      <c r="L41" s="157">
        <v>4.18</v>
      </c>
      <c r="M41" s="157">
        <v>10.8</v>
      </c>
      <c r="N41" s="157">
        <v>0.99</v>
      </c>
      <c r="O41" s="157">
        <v>2.6</v>
      </c>
      <c r="P41" s="157">
        <v>2.68</v>
      </c>
      <c r="Q41" s="157">
        <v>7</v>
      </c>
    </row>
    <row r="42" spans="1:17" ht="41.4" thickBot="1" x14ac:dyDescent="0.3">
      <c r="A42" s="166" t="s">
        <v>173</v>
      </c>
      <c r="B42" s="161">
        <v>49.32</v>
      </c>
      <c r="C42" s="161">
        <v>100</v>
      </c>
      <c r="D42" s="161">
        <v>32.15</v>
      </c>
      <c r="E42" s="161">
        <v>65.2</v>
      </c>
      <c r="F42" s="161">
        <v>17.170000000000002</v>
      </c>
      <c r="G42" s="161">
        <v>34.799999999999997</v>
      </c>
      <c r="H42" s="161">
        <v>3.34</v>
      </c>
      <c r="I42" s="161">
        <v>6.8</v>
      </c>
      <c r="J42" s="161">
        <v>3.33</v>
      </c>
      <c r="K42" s="161">
        <v>6.8</v>
      </c>
      <c r="L42" s="161">
        <v>5.0199999999999996</v>
      </c>
      <c r="M42" s="161">
        <v>10.199999999999999</v>
      </c>
      <c r="N42" s="161">
        <v>1.68</v>
      </c>
      <c r="O42" s="161">
        <v>3.4</v>
      </c>
      <c r="P42" s="161">
        <v>3.8</v>
      </c>
      <c r="Q42" s="161">
        <v>7.7</v>
      </c>
    </row>
    <row r="43" spans="1:17" ht="31.2" thickBot="1" x14ac:dyDescent="0.3">
      <c r="A43" s="168" t="s">
        <v>175</v>
      </c>
      <c r="B43" s="157">
        <v>50.29</v>
      </c>
      <c r="C43" s="157">
        <v>100</v>
      </c>
      <c r="D43" s="157">
        <v>33.57</v>
      </c>
      <c r="E43" s="157">
        <v>66.7</v>
      </c>
      <c r="F43" s="157">
        <v>16.72</v>
      </c>
      <c r="G43" s="157">
        <v>33.299999999999997</v>
      </c>
      <c r="H43" s="157">
        <v>3.61</v>
      </c>
      <c r="I43" s="157">
        <v>7.2</v>
      </c>
      <c r="J43" s="157">
        <v>2.68</v>
      </c>
      <c r="K43" s="157">
        <v>5.3</v>
      </c>
      <c r="L43" s="157">
        <v>4.9000000000000004</v>
      </c>
      <c r="M43" s="157">
        <v>9.6999999999999993</v>
      </c>
      <c r="N43" s="157">
        <v>1.73</v>
      </c>
      <c r="O43" s="157">
        <v>3.4</v>
      </c>
      <c r="P43" s="157">
        <v>3.8</v>
      </c>
      <c r="Q43" s="157">
        <v>7.6</v>
      </c>
    </row>
    <row r="44" spans="1:17" ht="41.4" thickBot="1" x14ac:dyDescent="0.3">
      <c r="A44" s="166" t="s">
        <v>176</v>
      </c>
      <c r="B44" s="161">
        <v>37.630000000000003</v>
      </c>
      <c r="C44" s="161">
        <v>100</v>
      </c>
      <c r="D44" s="161">
        <v>24.7</v>
      </c>
      <c r="E44" s="161">
        <v>65.599999999999994</v>
      </c>
      <c r="F44" s="161">
        <v>12.93</v>
      </c>
      <c r="G44" s="161">
        <v>34.4</v>
      </c>
      <c r="H44" s="161">
        <v>2.41</v>
      </c>
      <c r="I44" s="161">
        <v>6.4</v>
      </c>
      <c r="J44" s="161">
        <v>2.5099999999999998</v>
      </c>
      <c r="K44" s="161">
        <v>6.7</v>
      </c>
      <c r="L44" s="161">
        <v>4.01</v>
      </c>
      <c r="M44" s="161">
        <v>10.7</v>
      </c>
      <c r="N44" s="161">
        <v>1.0900000000000001</v>
      </c>
      <c r="O44" s="161">
        <v>2.9</v>
      </c>
      <c r="P44" s="161">
        <v>2.92</v>
      </c>
      <c r="Q44" s="161">
        <v>7.8</v>
      </c>
    </row>
    <row r="45" spans="1:17" ht="21" thickBot="1" x14ac:dyDescent="0.3">
      <c r="A45" s="168" t="s">
        <v>177</v>
      </c>
      <c r="B45" s="157">
        <v>38.47</v>
      </c>
      <c r="C45" s="157">
        <v>100</v>
      </c>
      <c r="D45" s="157">
        <v>25.16</v>
      </c>
      <c r="E45" s="157">
        <v>65.400000000000006</v>
      </c>
      <c r="F45" s="157">
        <v>13.32</v>
      </c>
      <c r="G45" s="157">
        <v>34.6</v>
      </c>
      <c r="H45" s="157">
        <v>2.4900000000000002</v>
      </c>
      <c r="I45" s="157">
        <v>6.5</v>
      </c>
      <c r="J45" s="157">
        <v>2.61</v>
      </c>
      <c r="K45" s="157">
        <v>6.8</v>
      </c>
      <c r="L45" s="157">
        <v>4.12</v>
      </c>
      <c r="M45" s="157">
        <v>10.7</v>
      </c>
      <c r="N45" s="157">
        <v>1.1299999999999999</v>
      </c>
      <c r="O45" s="157">
        <v>2.9</v>
      </c>
      <c r="P45" s="157">
        <v>2.96</v>
      </c>
      <c r="Q45" s="157">
        <v>7.7</v>
      </c>
    </row>
    <row r="46" spans="1:17" ht="31.2" thickBot="1" x14ac:dyDescent="0.3">
      <c r="A46" s="167" t="s">
        <v>178</v>
      </c>
      <c r="B46" s="161">
        <v>33.82</v>
      </c>
      <c r="C46" s="161">
        <v>100</v>
      </c>
      <c r="D46" s="161">
        <v>22.62</v>
      </c>
      <c r="E46" s="161">
        <v>66.900000000000006</v>
      </c>
      <c r="F46" s="161">
        <v>11.2</v>
      </c>
      <c r="G46" s="161">
        <v>33.1</v>
      </c>
      <c r="H46" s="161">
        <v>2.0699999999999998</v>
      </c>
      <c r="I46" s="161">
        <v>6.1</v>
      </c>
      <c r="J46" s="161">
        <v>2.02</v>
      </c>
      <c r="K46" s="161">
        <v>6</v>
      </c>
      <c r="L46" s="161">
        <v>3.52</v>
      </c>
      <c r="M46" s="161">
        <v>10.4</v>
      </c>
      <c r="N46" s="161">
        <v>0.87</v>
      </c>
      <c r="O46" s="161">
        <v>2.6</v>
      </c>
      <c r="P46" s="161">
        <v>2.73</v>
      </c>
      <c r="Q46" s="161">
        <v>8.1</v>
      </c>
    </row>
    <row r="47" spans="1:17" ht="31.2" thickBot="1" x14ac:dyDescent="0.3">
      <c r="A47" s="165" t="s">
        <v>184</v>
      </c>
      <c r="B47" s="157">
        <v>80.47</v>
      </c>
      <c r="C47" s="157">
        <v>100</v>
      </c>
      <c r="D47" s="157">
        <v>51.09</v>
      </c>
      <c r="E47" s="157">
        <v>63.5</v>
      </c>
      <c r="F47" s="157">
        <v>29.37</v>
      </c>
      <c r="G47" s="157">
        <v>36.5</v>
      </c>
      <c r="H47" s="157">
        <v>7.46</v>
      </c>
      <c r="I47" s="157">
        <v>9.3000000000000007</v>
      </c>
      <c r="J47" s="157">
        <v>4.0599999999999996</v>
      </c>
      <c r="K47" s="157">
        <v>5</v>
      </c>
      <c r="L47" s="157">
        <v>7.97</v>
      </c>
      <c r="M47" s="157">
        <v>9.9</v>
      </c>
      <c r="N47" s="157">
        <v>4.55</v>
      </c>
      <c r="O47" s="157">
        <v>5.7</v>
      </c>
      <c r="P47" s="157">
        <v>5.33</v>
      </c>
      <c r="Q47" s="157">
        <v>6.6</v>
      </c>
    </row>
    <row r="48" spans="1:17" ht="21" thickBot="1" x14ac:dyDescent="0.3">
      <c r="A48" s="201" t="s">
        <v>185</v>
      </c>
      <c r="B48" s="161">
        <v>45.59</v>
      </c>
      <c r="C48" s="161">
        <v>100</v>
      </c>
      <c r="D48" s="161">
        <v>32.17</v>
      </c>
      <c r="E48" s="161">
        <v>70.599999999999994</v>
      </c>
      <c r="F48" s="161">
        <v>13.42</v>
      </c>
      <c r="G48" s="161">
        <v>29.4</v>
      </c>
      <c r="H48" s="161">
        <v>3.58</v>
      </c>
      <c r="I48" s="161">
        <v>7.8</v>
      </c>
      <c r="J48" s="161">
        <v>1.72</v>
      </c>
      <c r="K48" s="161">
        <v>3.8</v>
      </c>
      <c r="L48" s="161">
        <v>3.37</v>
      </c>
      <c r="M48" s="161">
        <v>7.4</v>
      </c>
      <c r="N48" s="161">
        <v>1.5</v>
      </c>
      <c r="O48" s="161">
        <v>3.3</v>
      </c>
      <c r="P48" s="161">
        <v>3.25</v>
      </c>
      <c r="Q48" s="161">
        <v>7.1</v>
      </c>
    </row>
    <row r="49" spans="1:17" ht="31.2" thickBot="1" x14ac:dyDescent="0.3">
      <c r="A49" s="162" t="s">
        <v>166</v>
      </c>
      <c r="B49" s="157">
        <v>76.89</v>
      </c>
      <c r="C49" s="157">
        <v>100</v>
      </c>
      <c r="D49" s="157">
        <v>52.84</v>
      </c>
      <c r="E49" s="157">
        <v>68.7</v>
      </c>
      <c r="F49" s="157">
        <v>24.05</v>
      </c>
      <c r="G49" s="157">
        <v>31.3</v>
      </c>
      <c r="H49" s="157">
        <v>7.32</v>
      </c>
      <c r="I49" s="157">
        <v>9.5</v>
      </c>
      <c r="J49" s="157">
        <v>3.45</v>
      </c>
      <c r="K49" s="157">
        <v>4.5</v>
      </c>
      <c r="L49" s="157">
        <v>5.51</v>
      </c>
      <c r="M49" s="157">
        <v>7.2</v>
      </c>
      <c r="N49" s="157">
        <v>2.86</v>
      </c>
      <c r="O49" s="157">
        <v>3.7</v>
      </c>
      <c r="P49" s="157">
        <v>4.9000000000000004</v>
      </c>
      <c r="Q49" s="157">
        <v>6.4</v>
      </c>
    </row>
    <row r="50" spans="1:17" ht="31.2" thickBot="1" x14ac:dyDescent="0.3">
      <c r="A50" s="202" t="s">
        <v>167</v>
      </c>
      <c r="B50" s="161">
        <v>86.8</v>
      </c>
      <c r="C50" s="161">
        <v>100</v>
      </c>
      <c r="D50" s="161">
        <v>58.46</v>
      </c>
      <c r="E50" s="161">
        <v>67.400000000000006</v>
      </c>
      <c r="F50" s="161">
        <v>28.34</v>
      </c>
      <c r="G50" s="161">
        <v>32.6</v>
      </c>
      <c r="H50" s="161">
        <v>8.57</v>
      </c>
      <c r="I50" s="161">
        <v>9.9</v>
      </c>
      <c r="J50" s="161">
        <v>4.7699999999999996</v>
      </c>
      <c r="K50" s="161">
        <v>5.5</v>
      </c>
      <c r="L50" s="161">
        <v>6.43</v>
      </c>
      <c r="M50" s="161">
        <v>7.4</v>
      </c>
      <c r="N50" s="161">
        <v>3.22</v>
      </c>
      <c r="O50" s="161">
        <v>3.7</v>
      </c>
      <c r="P50" s="161">
        <v>5.34</v>
      </c>
      <c r="Q50" s="161">
        <v>6.2</v>
      </c>
    </row>
    <row r="51" spans="1:17" ht="21" thickBot="1" x14ac:dyDescent="0.3">
      <c r="A51" s="202" t="s">
        <v>168</v>
      </c>
      <c r="B51" s="157">
        <v>72.099999999999994</v>
      </c>
      <c r="C51" s="157">
        <v>100</v>
      </c>
      <c r="D51" s="157">
        <v>50.13</v>
      </c>
      <c r="E51" s="157">
        <v>69.5</v>
      </c>
      <c r="F51" s="157">
        <v>21.98</v>
      </c>
      <c r="G51" s="157">
        <v>30.5</v>
      </c>
      <c r="H51" s="157">
        <v>6.72</v>
      </c>
      <c r="I51" s="157">
        <v>9.3000000000000007</v>
      </c>
      <c r="J51" s="157">
        <v>2.82</v>
      </c>
      <c r="K51" s="157">
        <v>3.9</v>
      </c>
      <c r="L51" s="157">
        <v>5.07</v>
      </c>
      <c r="M51" s="157">
        <v>7</v>
      </c>
      <c r="N51" s="157">
        <v>2.68</v>
      </c>
      <c r="O51" s="157">
        <v>3.7</v>
      </c>
      <c r="P51" s="157">
        <v>4.6900000000000004</v>
      </c>
      <c r="Q51" s="157">
        <v>6.5</v>
      </c>
    </row>
    <row r="52" spans="1:17" ht="21" thickBot="1" x14ac:dyDescent="0.3">
      <c r="A52" s="160" t="s">
        <v>169</v>
      </c>
      <c r="B52" s="161">
        <v>34.93</v>
      </c>
      <c r="C52" s="161">
        <v>100</v>
      </c>
      <c r="D52" s="161">
        <v>25.02</v>
      </c>
      <c r="E52" s="161">
        <v>71.599999999999994</v>
      </c>
      <c r="F52" s="161">
        <v>9.91</v>
      </c>
      <c r="G52" s="161">
        <v>28.4</v>
      </c>
      <c r="H52" s="161">
        <v>2.42</v>
      </c>
      <c r="I52" s="161">
        <v>6.9</v>
      </c>
      <c r="J52" s="161">
        <v>1.04</v>
      </c>
      <c r="K52" s="161">
        <v>3</v>
      </c>
      <c r="L52" s="161">
        <v>2.98</v>
      </c>
      <c r="M52" s="161">
        <v>8.5</v>
      </c>
      <c r="N52" s="161">
        <v>0.95</v>
      </c>
      <c r="O52" s="161">
        <v>2.7</v>
      </c>
      <c r="P52" s="161">
        <v>2.5299999999999998</v>
      </c>
      <c r="Q52" s="161">
        <v>7.2</v>
      </c>
    </row>
    <row r="53" spans="1:17" ht="21" thickBot="1" x14ac:dyDescent="0.3">
      <c r="A53" s="165" t="s">
        <v>170</v>
      </c>
      <c r="B53" s="157">
        <v>34.049999999999997</v>
      </c>
      <c r="C53" s="157">
        <v>100</v>
      </c>
      <c r="D53" s="157">
        <v>25.59</v>
      </c>
      <c r="E53" s="157">
        <v>75.2</v>
      </c>
      <c r="F53" s="157">
        <v>8.4499999999999993</v>
      </c>
      <c r="G53" s="157">
        <v>24.8</v>
      </c>
      <c r="H53" s="157">
        <v>2.04</v>
      </c>
      <c r="I53" s="157">
        <v>6</v>
      </c>
      <c r="J53" s="157">
        <v>1.03</v>
      </c>
      <c r="K53" s="157">
        <v>3</v>
      </c>
      <c r="L53" s="157">
        <v>2</v>
      </c>
      <c r="M53" s="157">
        <v>5.9</v>
      </c>
      <c r="N53" s="157">
        <v>0.81</v>
      </c>
      <c r="O53" s="157">
        <v>2.4</v>
      </c>
      <c r="P53" s="157">
        <v>2.57</v>
      </c>
      <c r="Q53" s="157">
        <v>7.6</v>
      </c>
    </row>
    <row r="54" spans="1:17" ht="31.2" thickBot="1" x14ac:dyDescent="0.3">
      <c r="A54" s="202" t="s">
        <v>171</v>
      </c>
      <c r="B54" s="161">
        <v>35.68</v>
      </c>
      <c r="C54" s="161">
        <v>100</v>
      </c>
      <c r="D54" s="161">
        <v>24.52</v>
      </c>
      <c r="E54" s="161">
        <v>68.7</v>
      </c>
      <c r="F54" s="161">
        <v>11.16</v>
      </c>
      <c r="G54" s="161">
        <v>31.3</v>
      </c>
      <c r="H54" s="161">
        <v>2.76</v>
      </c>
      <c r="I54" s="161">
        <v>7.7</v>
      </c>
      <c r="J54" s="161">
        <v>1.04</v>
      </c>
      <c r="K54" s="161">
        <v>2.9</v>
      </c>
      <c r="L54" s="161">
        <v>3.81</v>
      </c>
      <c r="M54" s="161">
        <v>10.7</v>
      </c>
      <c r="N54" s="161">
        <v>1.06</v>
      </c>
      <c r="O54" s="161">
        <v>3</v>
      </c>
      <c r="P54" s="161">
        <v>2.4900000000000002</v>
      </c>
      <c r="Q54" s="161">
        <v>7</v>
      </c>
    </row>
    <row r="55" spans="1:17" ht="13.8" thickBot="1" x14ac:dyDescent="0.3">
      <c r="A55" s="162" t="s">
        <v>172</v>
      </c>
      <c r="B55" s="157">
        <v>23.38</v>
      </c>
      <c r="C55" s="157">
        <v>100</v>
      </c>
      <c r="D55" s="157">
        <v>17.98</v>
      </c>
      <c r="E55" s="157">
        <v>76.900000000000006</v>
      </c>
      <c r="F55" s="157">
        <v>5.4</v>
      </c>
      <c r="G55" s="157">
        <v>23.1</v>
      </c>
      <c r="H55" s="157">
        <v>1.02</v>
      </c>
      <c r="I55" s="157">
        <v>4.4000000000000004</v>
      </c>
      <c r="J55" s="157">
        <v>0.62</v>
      </c>
      <c r="K55" s="157">
        <v>2.6</v>
      </c>
      <c r="L55" s="157">
        <v>1.33</v>
      </c>
      <c r="M55" s="157">
        <v>5.7</v>
      </c>
      <c r="N55" s="157">
        <v>0.38</v>
      </c>
      <c r="O55" s="157">
        <v>1.6</v>
      </c>
      <c r="P55" s="157">
        <v>2.0499999999999998</v>
      </c>
      <c r="Q55" s="157">
        <v>8.8000000000000007</v>
      </c>
    </row>
    <row r="56" spans="1:17" ht="41.4" thickBot="1" x14ac:dyDescent="0.3">
      <c r="A56" s="160" t="s">
        <v>173</v>
      </c>
      <c r="B56" s="161">
        <v>45.77</v>
      </c>
      <c r="C56" s="161">
        <v>100</v>
      </c>
      <c r="D56" s="161">
        <v>31.92</v>
      </c>
      <c r="E56" s="161">
        <v>69.7</v>
      </c>
      <c r="F56" s="161">
        <v>13.85</v>
      </c>
      <c r="G56" s="161">
        <v>30.3</v>
      </c>
      <c r="H56" s="161">
        <v>3.13</v>
      </c>
      <c r="I56" s="161">
        <v>6.8</v>
      </c>
      <c r="J56" s="161">
        <v>1.5</v>
      </c>
      <c r="K56" s="161">
        <v>3.3</v>
      </c>
      <c r="L56" s="161">
        <v>3.71</v>
      </c>
      <c r="M56" s="161">
        <v>8.1</v>
      </c>
      <c r="N56" s="161">
        <v>1.93</v>
      </c>
      <c r="O56" s="161">
        <v>4.2</v>
      </c>
      <c r="P56" s="161">
        <v>3.58</v>
      </c>
      <c r="Q56" s="161">
        <v>7.8</v>
      </c>
    </row>
    <row r="57" spans="1:17" ht="31.2" thickBot="1" x14ac:dyDescent="0.3">
      <c r="A57" s="165" t="s">
        <v>175</v>
      </c>
      <c r="B57" s="157">
        <v>47.01</v>
      </c>
      <c r="C57" s="157">
        <v>100</v>
      </c>
      <c r="D57" s="157">
        <v>32.78</v>
      </c>
      <c r="E57" s="157">
        <v>69.7</v>
      </c>
      <c r="F57" s="157">
        <v>14.23</v>
      </c>
      <c r="G57" s="157">
        <v>30.3</v>
      </c>
      <c r="H57" s="157">
        <v>3.3</v>
      </c>
      <c r="I57" s="157">
        <v>7</v>
      </c>
      <c r="J57" s="157">
        <v>1.52</v>
      </c>
      <c r="K57" s="157">
        <v>3.2</v>
      </c>
      <c r="L57" s="157">
        <v>3.74</v>
      </c>
      <c r="M57" s="157">
        <v>8</v>
      </c>
      <c r="N57" s="157">
        <v>2.04</v>
      </c>
      <c r="O57" s="157">
        <v>4.3</v>
      </c>
      <c r="P57" s="157">
        <v>3.62</v>
      </c>
      <c r="Q57" s="157">
        <v>7.7</v>
      </c>
    </row>
    <row r="58" spans="1:17" ht="41.4" thickBot="1" x14ac:dyDescent="0.3">
      <c r="A58" s="160" t="s">
        <v>176</v>
      </c>
      <c r="B58" s="161">
        <v>35.44</v>
      </c>
      <c r="C58" s="161">
        <v>100</v>
      </c>
      <c r="D58" s="161">
        <v>24.79</v>
      </c>
      <c r="E58" s="161">
        <v>70</v>
      </c>
      <c r="F58" s="161">
        <v>10.65</v>
      </c>
      <c r="G58" s="161">
        <v>30</v>
      </c>
      <c r="H58" s="161">
        <v>2.08</v>
      </c>
      <c r="I58" s="161">
        <v>5.9</v>
      </c>
      <c r="J58" s="161">
        <v>1.1599999999999999</v>
      </c>
      <c r="K58" s="161">
        <v>3.3</v>
      </c>
      <c r="L58" s="161">
        <v>3.07</v>
      </c>
      <c r="M58" s="161">
        <v>8.6999999999999993</v>
      </c>
      <c r="N58" s="161">
        <v>1.39</v>
      </c>
      <c r="O58" s="161">
        <v>3.9</v>
      </c>
      <c r="P58" s="161">
        <v>2.94</v>
      </c>
      <c r="Q58" s="161">
        <v>8.3000000000000007</v>
      </c>
    </row>
    <row r="59" spans="1:17" ht="21" thickBot="1" x14ac:dyDescent="0.3">
      <c r="A59" s="165" t="s">
        <v>177</v>
      </c>
      <c r="B59" s="157">
        <v>31.25</v>
      </c>
      <c r="C59" s="157">
        <v>100</v>
      </c>
      <c r="D59" s="157">
        <v>23.14</v>
      </c>
      <c r="E59" s="157">
        <v>74</v>
      </c>
      <c r="F59" s="157">
        <v>8.11</v>
      </c>
      <c r="G59" s="157">
        <v>26</v>
      </c>
      <c r="H59" s="157">
        <v>1.71</v>
      </c>
      <c r="I59" s="157">
        <v>5.5</v>
      </c>
      <c r="J59" s="157">
        <v>1.22</v>
      </c>
      <c r="K59" s="157">
        <v>3.9</v>
      </c>
      <c r="L59" s="157">
        <v>1.81</v>
      </c>
      <c r="M59" s="157">
        <v>5.8</v>
      </c>
      <c r="N59" s="157">
        <v>0.71</v>
      </c>
      <c r="O59" s="157">
        <v>2.2999999999999998</v>
      </c>
      <c r="P59" s="157">
        <v>2.66</v>
      </c>
      <c r="Q59" s="157">
        <v>8.5</v>
      </c>
    </row>
    <row r="60" spans="1:17" ht="31.2" thickBot="1" x14ac:dyDescent="0.3">
      <c r="A60" s="166" t="s">
        <v>178</v>
      </c>
      <c r="B60" s="161">
        <v>36.17</v>
      </c>
      <c r="C60" s="161">
        <v>100</v>
      </c>
      <c r="D60" s="161">
        <v>25.08</v>
      </c>
      <c r="E60" s="161">
        <v>69.3</v>
      </c>
      <c r="F60" s="161">
        <v>11.09</v>
      </c>
      <c r="G60" s="161">
        <v>30.7</v>
      </c>
      <c r="H60" s="161">
        <v>2.15</v>
      </c>
      <c r="I60" s="161">
        <v>5.9</v>
      </c>
      <c r="J60" s="161">
        <v>1.1499999999999999</v>
      </c>
      <c r="K60" s="161">
        <v>3.2</v>
      </c>
      <c r="L60" s="161">
        <v>3.29</v>
      </c>
      <c r="M60" s="161">
        <v>9.1</v>
      </c>
      <c r="N60" s="161">
        <v>1.51</v>
      </c>
      <c r="O60" s="161">
        <v>4.2</v>
      </c>
      <c r="P60" s="161">
        <v>2.99</v>
      </c>
      <c r="Q60" s="161">
        <v>8.3000000000000007</v>
      </c>
    </row>
    <row r="61" spans="1:17" ht="21" thickBot="1" x14ac:dyDescent="0.3">
      <c r="A61" s="162" t="s">
        <v>186</v>
      </c>
      <c r="B61" s="157">
        <v>38.479999999999997</v>
      </c>
      <c r="C61" s="157">
        <v>100</v>
      </c>
      <c r="D61" s="157">
        <v>27.47</v>
      </c>
      <c r="E61" s="157">
        <v>71.400000000000006</v>
      </c>
      <c r="F61" s="157">
        <v>11.01</v>
      </c>
      <c r="G61" s="157">
        <v>28.6</v>
      </c>
      <c r="H61" s="157">
        <v>2.52</v>
      </c>
      <c r="I61" s="157">
        <v>6.6</v>
      </c>
      <c r="J61" s="157">
        <v>1.19</v>
      </c>
      <c r="K61" s="157">
        <v>3.1</v>
      </c>
      <c r="L61" s="157">
        <v>2.93</v>
      </c>
      <c r="M61" s="157">
        <v>7.6</v>
      </c>
      <c r="N61" s="157">
        <v>1.39</v>
      </c>
      <c r="O61" s="157">
        <v>3.6</v>
      </c>
      <c r="P61" s="157">
        <v>2.98</v>
      </c>
      <c r="Q61" s="157">
        <v>7.7</v>
      </c>
    </row>
    <row r="62" spans="1:17" ht="31.2" thickBot="1" x14ac:dyDescent="0.3">
      <c r="A62" s="166" t="s">
        <v>166</v>
      </c>
      <c r="B62" s="161">
        <v>71.52</v>
      </c>
      <c r="C62" s="161">
        <v>100</v>
      </c>
      <c r="D62" s="161">
        <v>50.41</v>
      </c>
      <c r="E62" s="161">
        <v>70.5</v>
      </c>
      <c r="F62" s="161">
        <v>21.11</v>
      </c>
      <c r="G62" s="161">
        <v>29.5</v>
      </c>
      <c r="H62" s="161">
        <v>6.42</v>
      </c>
      <c r="I62" s="161">
        <v>9</v>
      </c>
      <c r="J62" s="161">
        <v>2.69</v>
      </c>
      <c r="K62" s="161">
        <v>3.8</v>
      </c>
      <c r="L62" s="161">
        <v>4.49</v>
      </c>
      <c r="M62" s="161">
        <v>6.3</v>
      </c>
      <c r="N62" s="161">
        <v>2.78</v>
      </c>
      <c r="O62" s="161">
        <v>3.9</v>
      </c>
      <c r="P62" s="161">
        <v>4.7300000000000004</v>
      </c>
      <c r="Q62" s="161">
        <v>6.6</v>
      </c>
    </row>
    <row r="63" spans="1:17" ht="41.4" thickBot="1" x14ac:dyDescent="0.3">
      <c r="A63" s="168" t="s">
        <v>167</v>
      </c>
      <c r="B63" s="157">
        <v>85.8</v>
      </c>
      <c r="C63" s="157">
        <v>100</v>
      </c>
      <c r="D63" s="157">
        <v>59.47</v>
      </c>
      <c r="E63" s="157">
        <v>69.3</v>
      </c>
      <c r="F63" s="157">
        <v>26.33</v>
      </c>
      <c r="G63" s="157">
        <v>30.7</v>
      </c>
      <c r="H63" s="157">
        <v>8.09</v>
      </c>
      <c r="I63" s="157">
        <v>9.4</v>
      </c>
      <c r="J63" s="157">
        <v>3.79</v>
      </c>
      <c r="K63" s="157">
        <v>4.4000000000000004</v>
      </c>
      <c r="L63" s="157">
        <v>5.59</v>
      </c>
      <c r="M63" s="157">
        <v>6.5</v>
      </c>
      <c r="N63" s="157">
        <v>3.39</v>
      </c>
      <c r="O63" s="157">
        <v>4</v>
      </c>
      <c r="P63" s="157">
        <v>5.47</v>
      </c>
      <c r="Q63" s="157">
        <v>6.4</v>
      </c>
    </row>
    <row r="64" spans="1:17" ht="21" thickBot="1" x14ac:dyDescent="0.3">
      <c r="A64" s="167" t="s">
        <v>168</v>
      </c>
      <c r="B64" s="161">
        <v>58.07</v>
      </c>
      <c r="C64" s="161">
        <v>100</v>
      </c>
      <c r="D64" s="161">
        <v>41.88</v>
      </c>
      <c r="E64" s="161">
        <v>72.099999999999994</v>
      </c>
      <c r="F64" s="161">
        <v>16.190000000000001</v>
      </c>
      <c r="G64" s="161">
        <v>27.9</v>
      </c>
      <c r="H64" s="161">
        <v>4.84</v>
      </c>
      <c r="I64" s="161">
        <v>8.3000000000000007</v>
      </c>
      <c r="J64" s="161">
        <v>1.65</v>
      </c>
      <c r="K64" s="161">
        <v>2.8</v>
      </c>
      <c r="L64" s="161">
        <v>3.46</v>
      </c>
      <c r="M64" s="161">
        <v>6</v>
      </c>
      <c r="N64" s="161">
        <v>2.2000000000000002</v>
      </c>
      <c r="O64" s="161">
        <v>3.8</v>
      </c>
      <c r="P64" s="161">
        <v>4.04</v>
      </c>
      <c r="Q64" s="161">
        <v>7</v>
      </c>
    </row>
    <row r="65" spans="1:17" ht="21" thickBot="1" x14ac:dyDescent="0.3">
      <c r="A65" s="165" t="s">
        <v>169</v>
      </c>
      <c r="B65" s="157">
        <v>30.18</v>
      </c>
      <c r="C65" s="157">
        <v>100</v>
      </c>
      <c r="D65" s="157">
        <v>22.77</v>
      </c>
      <c r="E65" s="157">
        <v>75.400000000000006</v>
      </c>
      <c r="F65" s="157">
        <v>7.41</v>
      </c>
      <c r="G65" s="157">
        <v>24.6</v>
      </c>
      <c r="H65" s="157">
        <v>1.72</v>
      </c>
      <c r="I65" s="157">
        <v>5.7</v>
      </c>
      <c r="J65" s="157">
        <v>0.73</v>
      </c>
      <c r="K65" s="157">
        <v>2.4</v>
      </c>
      <c r="L65" s="157">
        <v>1.91</v>
      </c>
      <c r="M65" s="157">
        <v>6.3</v>
      </c>
      <c r="N65" s="157">
        <v>0.69</v>
      </c>
      <c r="O65" s="157">
        <v>2.2999999999999998</v>
      </c>
      <c r="P65" s="157">
        <v>2.35</v>
      </c>
      <c r="Q65" s="157">
        <v>7.8</v>
      </c>
    </row>
    <row r="66" spans="1:17" ht="21" thickBot="1" x14ac:dyDescent="0.3">
      <c r="A66" s="167" t="s">
        <v>170</v>
      </c>
      <c r="B66" s="161">
        <v>28.93</v>
      </c>
      <c r="C66" s="161">
        <v>100</v>
      </c>
      <c r="D66" s="161">
        <v>22.32</v>
      </c>
      <c r="E66" s="161">
        <v>77.2</v>
      </c>
      <c r="F66" s="161">
        <v>6.6</v>
      </c>
      <c r="G66" s="161">
        <v>22.8</v>
      </c>
      <c r="H66" s="161">
        <v>1.53</v>
      </c>
      <c r="I66" s="161">
        <v>5.3</v>
      </c>
      <c r="J66" s="161">
        <v>0.66</v>
      </c>
      <c r="K66" s="161">
        <v>2.2999999999999998</v>
      </c>
      <c r="L66" s="161">
        <v>1.55</v>
      </c>
      <c r="M66" s="161">
        <v>5.4</v>
      </c>
      <c r="N66" s="161">
        <v>0.57999999999999996</v>
      </c>
      <c r="O66" s="161">
        <v>2</v>
      </c>
      <c r="P66" s="161">
        <v>2.29</v>
      </c>
      <c r="Q66" s="161">
        <v>7.9</v>
      </c>
    </row>
    <row r="67" spans="1:17" ht="41.4" thickBot="1" x14ac:dyDescent="0.3">
      <c r="A67" s="168" t="s">
        <v>171</v>
      </c>
      <c r="B67" s="157">
        <v>34.799999999999997</v>
      </c>
      <c r="C67" s="157">
        <v>100</v>
      </c>
      <c r="D67" s="157">
        <v>24.42</v>
      </c>
      <c r="E67" s="157">
        <v>70.2</v>
      </c>
      <c r="F67" s="157">
        <v>10.38</v>
      </c>
      <c r="G67" s="157">
        <v>29.8</v>
      </c>
      <c r="H67" s="157">
        <v>2.44</v>
      </c>
      <c r="I67" s="157">
        <v>7</v>
      </c>
      <c r="J67" s="157">
        <v>1.02</v>
      </c>
      <c r="K67" s="157">
        <v>2.9</v>
      </c>
      <c r="L67" s="157">
        <v>3.25</v>
      </c>
      <c r="M67" s="157">
        <v>9.3000000000000007</v>
      </c>
      <c r="N67" s="157">
        <v>1.0900000000000001</v>
      </c>
      <c r="O67" s="157">
        <v>3.1</v>
      </c>
      <c r="P67" s="157">
        <v>2.58</v>
      </c>
      <c r="Q67" s="157">
        <v>7.4</v>
      </c>
    </row>
    <row r="68" spans="1:17" ht="13.8" thickBot="1" x14ac:dyDescent="0.3">
      <c r="A68" s="166" t="s">
        <v>172</v>
      </c>
      <c r="B68" s="161">
        <v>25.33</v>
      </c>
      <c r="C68" s="161">
        <v>100</v>
      </c>
      <c r="D68" s="161">
        <v>18.8</v>
      </c>
      <c r="E68" s="161">
        <v>74.2</v>
      </c>
      <c r="F68" s="161">
        <v>6.53</v>
      </c>
      <c r="G68" s="161">
        <v>25.8</v>
      </c>
      <c r="H68" s="161">
        <v>1.23</v>
      </c>
      <c r="I68" s="161">
        <v>4.8</v>
      </c>
      <c r="J68" s="161">
        <v>0.6</v>
      </c>
      <c r="K68" s="161">
        <v>2.4</v>
      </c>
      <c r="L68" s="161">
        <v>1.72</v>
      </c>
      <c r="M68" s="161">
        <v>6.8</v>
      </c>
      <c r="N68" s="161">
        <v>0.78</v>
      </c>
      <c r="O68" s="161">
        <v>3.1</v>
      </c>
      <c r="P68" s="161">
        <v>2.19</v>
      </c>
      <c r="Q68" s="161">
        <v>8.6999999999999993</v>
      </c>
    </row>
    <row r="69" spans="1:17" ht="41.4" thickBot="1" x14ac:dyDescent="0.3">
      <c r="A69" s="165" t="s">
        <v>173</v>
      </c>
      <c r="B69" s="157">
        <v>50.44</v>
      </c>
      <c r="C69" s="157">
        <v>100</v>
      </c>
      <c r="D69" s="157">
        <v>34.979999999999997</v>
      </c>
      <c r="E69" s="157">
        <v>69.400000000000006</v>
      </c>
      <c r="F69" s="157">
        <v>15.45</v>
      </c>
      <c r="G69" s="157">
        <v>30.6</v>
      </c>
      <c r="H69" s="157">
        <v>3.5</v>
      </c>
      <c r="I69" s="157">
        <v>6.9</v>
      </c>
      <c r="J69" s="157">
        <v>1.84</v>
      </c>
      <c r="K69" s="157">
        <v>3.6</v>
      </c>
      <c r="L69" s="157">
        <v>3.87</v>
      </c>
      <c r="M69" s="157">
        <v>7.7</v>
      </c>
      <c r="N69" s="157">
        <v>2.3199999999999998</v>
      </c>
      <c r="O69" s="157">
        <v>4.5999999999999996</v>
      </c>
      <c r="P69" s="157">
        <v>3.91</v>
      </c>
      <c r="Q69" s="157">
        <v>7.8</v>
      </c>
    </row>
    <row r="70" spans="1:17" ht="31.2" thickBot="1" x14ac:dyDescent="0.3">
      <c r="A70" s="167" t="s">
        <v>175</v>
      </c>
      <c r="B70" s="161">
        <v>50.94</v>
      </c>
      <c r="C70" s="161">
        <v>100</v>
      </c>
      <c r="D70" s="161">
        <v>35.520000000000003</v>
      </c>
      <c r="E70" s="161">
        <v>69.7</v>
      </c>
      <c r="F70" s="161">
        <v>15.41</v>
      </c>
      <c r="G70" s="161">
        <v>30.3</v>
      </c>
      <c r="H70" s="161">
        <v>3.56</v>
      </c>
      <c r="I70" s="161">
        <v>7</v>
      </c>
      <c r="J70" s="161">
        <v>1.8</v>
      </c>
      <c r="K70" s="161">
        <v>3.5</v>
      </c>
      <c r="L70" s="161">
        <v>3.84</v>
      </c>
      <c r="M70" s="161">
        <v>7.5</v>
      </c>
      <c r="N70" s="161">
        <v>2.29</v>
      </c>
      <c r="O70" s="161">
        <v>4.5</v>
      </c>
      <c r="P70" s="161">
        <v>3.92</v>
      </c>
      <c r="Q70" s="161">
        <v>7.7</v>
      </c>
    </row>
    <row r="71" spans="1:17" ht="41.4" thickBot="1" x14ac:dyDescent="0.3">
      <c r="A71" s="165" t="s">
        <v>176</v>
      </c>
      <c r="B71" s="157">
        <v>37.92</v>
      </c>
      <c r="C71" s="157">
        <v>100</v>
      </c>
      <c r="D71" s="157">
        <v>26.07</v>
      </c>
      <c r="E71" s="157">
        <v>68.7</v>
      </c>
      <c r="F71" s="157">
        <v>11.85</v>
      </c>
      <c r="G71" s="157">
        <v>31.3</v>
      </c>
      <c r="H71" s="157">
        <v>2.3199999999999998</v>
      </c>
      <c r="I71" s="157">
        <v>6.1</v>
      </c>
      <c r="J71" s="157">
        <v>1.22</v>
      </c>
      <c r="K71" s="157">
        <v>3.2</v>
      </c>
      <c r="L71" s="157">
        <v>3.54</v>
      </c>
      <c r="M71" s="157">
        <v>9.3000000000000007</v>
      </c>
      <c r="N71" s="157">
        <v>1.67</v>
      </c>
      <c r="O71" s="157">
        <v>4.4000000000000004</v>
      </c>
      <c r="P71" s="157">
        <v>3.1</v>
      </c>
      <c r="Q71" s="157">
        <v>8.1999999999999993</v>
      </c>
    </row>
    <row r="72" spans="1:17" ht="31.2" thickBot="1" x14ac:dyDescent="0.3">
      <c r="A72" s="167" t="s">
        <v>178</v>
      </c>
      <c r="B72" s="161">
        <v>38</v>
      </c>
      <c r="C72" s="161">
        <v>100</v>
      </c>
      <c r="D72" s="161">
        <v>26.07</v>
      </c>
      <c r="E72" s="161">
        <v>68.599999999999994</v>
      </c>
      <c r="F72" s="161">
        <v>11.93</v>
      </c>
      <c r="G72" s="161">
        <v>31.4</v>
      </c>
      <c r="H72" s="161">
        <v>2.31</v>
      </c>
      <c r="I72" s="161">
        <v>6.1</v>
      </c>
      <c r="J72" s="161">
        <v>1.19</v>
      </c>
      <c r="K72" s="161">
        <v>3.1</v>
      </c>
      <c r="L72" s="161">
        <v>3.6</v>
      </c>
      <c r="M72" s="161">
        <v>9.5</v>
      </c>
      <c r="N72" s="161">
        <v>1.71</v>
      </c>
      <c r="O72" s="161">
        <v>4.5</v>
      </c>
      <c r="P72" s="161">
        <v>3.11</v>
      </c>
      <c r="Q72" s="161">
        <v>8.1999999999999993</v>
      </c>
    </row>
    <row r="73" spans="1:17" ht="21" thickBot="1" x14ac:dyDescent="0.3">
      <c r="A73" s="165" t="s">
        <v>187</v>
      </c>
      <c r="B73" s="157">
        <v>53.03</v>
      </c>
      <c r="C73" s="157">
        <v>100</v>
      </c>
      <c r="D73" s="157">
        <v>37.520000000000003</v>
      </c>
      <c r="E73" s="157">
        <v>70.8</v>
      </c>
      <c r="F73" s="157">
        <v>15.51</v>
      </c>
      <c r="G73" s="157">
        <v>29.2</v>
      </c>
      <c r="H73" s="157">
        <v>4.18</v>
      </c>
      <c r="I73" s="157">
        <v>7.9</v>
      </c>
      <c r="J73" s="157">
        <v>2.06</v>
      </c>
      <c r="K73" s="157">
        <v>3.9</v>
      </c>
      <c r="L73" s="157">
        <v>3.77</v>
      </c>
      <c r="M73" s="157">
        <v>7.1</v>
      </c>
      <c r="N73" s="157">
        <v>1.73</v>
      </c>
      <c r="O73" s="157">
        <v>3.3</v>
      </c>
      <c r="P73" s="157">
        <v>3.77</v>
      </c>
      <c r="Q73" s="157">
        <v>7.1</v>
      </c>
    </row>
    <row r="74" spans="1:17" ht="21" thickBot="1" x14ac:dyDescent="0.3">
      <c r="A74" s="167" t="s">
        <v>169</v>
      </c>
      <c r="B74" s="161">
        <v>53.65</v>
      </c>
      <c r="C74" s="161">
        <v>100</v>
      </c>
      <c r="D74" s="161">
        <v>38.909999999999997</v>
      </c>
      <c r="E74" s="161">
        <v>72.5</v>
      </c>
      <c r="F74" s="161">
        <v>14.74</v>
      </c>
      <c r="G74" s="161">
        <v>27.5</v>
      </c>
      <c r="H74" s="161">
        <v>3.95</v>
      </c>
      <c r="I74" s="161">
        <v>7.4</v>
      </c>
      <c r="J74" s="161">
        <v>1.67</v>
      </c>
      <c r="K74" s="161">
        <v>3.1</v>
      </c>
      <c r="L74" s="161">
        <v>3.8</v>
      </c>
      <c r="M74" s="161">
        <v>7.1</v>
      </c>
      <c r="N74" s="161">
        <v>1.59</v>
      </c>
      <c r="O74" s="161">
        <v>3</v>
      </c>
      <c r="P74" s="161">
        <v>3.72</v>
      </c>
      <c r="Q74" s="161">
        <v>6.9</v>
      </c>
    </row>
    <row r="75" spans="1:17" ht="41.4" thickBot="1" x14ac:dyDescent="0.3">
      <c r="A75" s="169" t="s">
        <v>171</v>
      </c>
      <c r="B75" s="157">
        <v>35.82</v>
      </c>
      <c r="C75" s="157">
        <v>100</v>
      </c>
      <c r="D75" s="157">
        <v>25.28</v>
      </c>
      <c r="E75" s="157">
        <v>70.599999999999994</v>
      </c>
      <c r="F75" s="157">
        <v>10.54</v>
      </c>
      <c r="G75" s="157">
        <v>29.4</v>
      </c>
      <c r="H75" s="157">
        <v>2.59</v>
      </c>
      <c r="I75" s="157">
        <v>7.2</v>
      </c>
      <c r="J75" s="157">
        <v>1.19</v>
      </c>
      <c r="K75" s="157">
        <v>3.3</v>
      </c>
      <c r="L75" s="157">
        <v>3.26</v>
      </c>
      <c r="M75" s="157">
        <v>9.1</v>
      </c>
      <c r="N75" s="157">
        <v>0.9</v>
      </c>
      <c r="O75" s="157">
        <v>2.5</v>
      </c>
      <c r="P75" s="157">
        <v>2.6</v>
      </c>
      <c r="Q75" s="157">
        <v>7.3</v>
      </c>
    </row>
    <row r="76" spans="1:17" ht="41.4" thickBot="1" x14ac:dyDescent="0.3">
      <c r="A76" s="167" t="s">
        <v>176</v>
      </c>
      <c r="B76" s="161">
        <v>33.520000000000003</v>
      </c>
      <c r="C76" s="161">
        <v>100</v>
      </c>
      <c r="D76" s="161">
        <v>23.63</v>
      </c>
      <c r="E76" s="161">
        <v>70.5</v>
      </c>
      <c r="F76" s="161">
        <v>9.89</v>
      </c>
      <c r="G76" s="161">
        <v>29.5</v>
      </c>
      <c r="H76" s="161">
        <v>2.12</v>
      </c>
      <c r="I76" s="161">
        <v>6.3</v>
      </c>
      <c r="J76" s="161">
        <v>1.31</v>
      </c>
      <c r="K76" s="161">
        <v>3.9</v>
      </c>
      <c r="L76" s="161">
        <v>2.72</v>
      </c>
      <c r="M76" s="161">
        <v>8.1</v>
      </c>
      <c r="N76" s="161">
        <v>0.94</v>
      </c>
      <c r="O76" s="161">
        <v>2.8</v>
      </c>
      <c r="P76" s="161">
        <v>2.8</v>
      </c>
      <c r="Q76" s="161">
        <v>8.3000000000000007</v>
      </c>
    </row>
    <row r="77" spans="1:17" ht="41.4" thickBot="1" x14ac:dyDescent="0.3">
      <c r="A77" s="169" t="s">
        <v>178</v>
      </c>
      <c r="B77" s="157">
        <v>33.68</v>
      </c>
      <c r="C77" s="157">
        <v>100</v>
      </c>
      <c r="D77" s="157">
        <v>23.64</v>
      </c>
      <c r="E77" s="157">
        <v>70.2</v>
      </c>
      <c r="F77" s="157">
        <v>10.039999999999999</v>
      </c>
      <c r="G77" s="157">
        <v>29.8</v>
      </c>
      <c r="H77" s="157">
        <v>2.14</v>
      </c>
      <c r="I77" s="157">
        <v>6.4</v>
      </c>
      <c r="J77" s="157">
        <v>1.24</v>
      </c>
      <c r="K77" s="157">
        <v>3.7</v>
      </c>
      <c r="L77" s="157">
        <v>2.85</v>
      </c>
      <c r="M77" s="157">
        <v>8.4</v>
      </c>
      <c r="N77" s="157">
        <v>1</v>
      </c>
      <c r="O77" s="157">
        <v>3</v>
      </c>
      <c r="P77" s="157">
        <v>2.81</v>
      </c>
      <c r="Q77" s="157">
        <v>8.3000000000000007</v>
      </c>
    </row>
    <row r="78" spans="1:17" ht="13.8" thickBot="1" x14ac:dyDescent="0.3">
      <c r="A78" s="166" t="s">
        <v>188</v>
      </c>
      <c r="B78" s="161">
        <v>26.41</v>
      </c>
      <c r="C78" s="161">
        <v>100</v>
      </c>
      <c r="D78" s="161">
        <v>20.27</v>
      </c>
      <c r="E78" s="161">
        <v>76.7</v>
      </c>
      <c r="F78" s="161">
        <v>6.14</v>
      </c>
      <c r="G78" s="161">
        <v>23.3</v>
      </c>
      <c r="H78" s="161">
        <v>1.34</v>
      </c>
      <c r="I78" s="161">
        <v>5.0999999999999996</v>
      </c>
      <c r="J78" s="161">
        <v>0.57999999999999996</v>
      </c>
      <c r="K78" s="161">
        <v>2.2000000000000002</v>
      </c>
      <c r="L78" s="161">
        <v>1.52</v>
      </c>
      <c r="M78" s="161">
        <v>5.7</v>
      </c>
      <c r="N78" s="161">
        <v>0.51</v>
      </c>
      <c r="O78" s="161">
        <v>1.9</v>
      </c>
      <c r="P78" s="161">
        <v>2.19</v>
      </c>
      <c r="Q78" s="161">
        <v>8.3000000000000007</v>
      </c>
    </row>
    <row r="79" spans="1:17" ht="21" thickBot="1" x14ac:dyDescent="0.3">
      <c r="A79" s="168" t="s">
        <v>169</v>
      </c>
      <c r="B79" s="157">
        <v>23.8</v>
      </c>
      <c r="C79" s="157">
        <v>100</v>
      </c>
      <c r="D79" s="157">
        <v>18.7</v>
      </c>
      <c r="E79" s="157">
        <v>78.599999999999994</v>
      </c>
      <c r="F79" s="157">
        <v>5.0999999999999996</v>
      </c>
      <c r="G79" s="157">
        <v>21.4</v>
      </c>
      <c r="H79" s="157">
        <v>1.08</v>
      </c>
      <c r="I79" s="157">
        <v>4.5</v>
      </c>
      <c r="J79" s="157">
        <v>0.42</v>
      </c>
      <c r="K79" s="157">
        <v>1.8</v>
      </c>
      <c r="L79" s="157">
        <v>1.26</v>
      </c>
      <c r="M79" s="157">
        <v>5.3</v>
      </c>
      <c r="N79" s="157">
        <v>0.38</v>
      </c>
      <c r="O79" s="157">
        <v>1.6</v>
      </c>
      <c r="P79" s="157">
        <v>1.97</v>
      </c>
      <c r="Q79" s="157">
        <v>8.3000000000000007</v>
      </c>
    </row>
    <row r="80" spans="1:17" ht="21" thickBot="1" x14ac:dyDescent="0.3">
      <c r="A80" s="170" t="s">
        <v>170</v>
      </c>
      <c r="B80" s="161">
        <v>23.33</v>
      </c>
      <c r="C80" s="161">
        <v>100</v>
      </c>
      <c r="D80" s="161">
        <v>18.47</v>
      </c>
      <c r="E80" s="161">
        <v>79.099999999999994</v>
      </c>
      <c r="F80" s="161">
        <v>4.87</v>
      </c>
      <c r="G80" s="161">
        <v>20.9</v>
      </c>
      <c r="H80" s="161">
        <v>1.01</v>
      </c>
      <c r="I80" s="161">
        <v>4.3</v>
      </c>
      <c r="J80" s="161">
        <v>0.41</v>
      </c>
      <c r="K80" s="161">
        <v>1.7</v>
      </c>
      <c r="L80" s="161">
        <v>1.1399999999999999</v>
      </c>
      <c r="M80" s="161">
        <v>4.9000000000000004</v>
      </c>
      <c r="N80" s="161">
        <v>0.36</v>
      </c>
      <c r="O80" s="161">
        <v>1.5</v>
      </c>
      <c r="P80" s="161">
        <v>1.96</v>
      </c>
      <c r="Q80" s="161">
        <v>8.4</v>
      </c>
    </row>
    <row r="81" spans="1:17" ht="41.4" thickBot="1" x14ac:dyDescent="0.3">
      <c r="A81" s="169" t="s">
        <v>171</v>
      </c>
      <c r="B81" s="157">
        <v>28.39</v>
      </c>
      <c r="C81" s="157">
        <v>100</v>
      </c>
      <c r="D81" s="157">
        <v>21</v>
      </c>
      <c r="E81" s="157">
        <v>74</v>
      </c>
      <c r="F81" s="157">
        <v>7.38</v>
      </c>
      <c r="G81" s="157">
        <v>26</v>
      </c>
      <c r="H81" s="157">
        <v>1.76</v>
      </c>
      <c r="I81" s="157">
        <v>6.2</v>
      </c>
      <c r="J81" s="157">
        <v>0.55000000000000004</v>
      </c>
      <c r="K81" s="157">
        <v>1.9</v>
      </c>
      <c r="L81" s="157">
        <v>2.37</v>
      </c>
      <c r="M81" s="157">
        <v>8.4</v>
      </c>
      <c r="N81" s="157">
        <v>0.59</v>
      </c>
      <c r="O81" s="157">
        <v>2.1</v>
      </c>
      <c r="P81" s="157">
        <v>2.11</v>
      </c>
      <c r="Q81" s="157">
        <v>7.4</v>
      </c>
    </row>
    <row r="82" spans="1:17" ht="41.4" thickBot="1" x14ac:dyDescent="0.3">
      <c r="A82" s="167" t="s">
        <v>176</v>
      </c>
      <c r="B82" s="161">
        <v>24.66</v>
      </c>
      <c r="C82" s="161">
        <v>100</v>
      </c>
      <c r="D82" s="161">
        <v>18.329999999999998</v>
      </c>
      <c r="E82" s="161">
        <v>74.3</v>
      </c>
      <c r="F82" s="161">
        <v>6.34</v>
      </c>
      <c r="G82" s="161">
        <v>25.7</v>
      </c>
      <c r="H82" s="161">
        <v>1.22</v>
      </c>
      <c r="I82" s="161">
        <v>4.9000000000000004</v>
      </c>
      <c r="J82" s="161">
        <v>0.65</v>
      </c>
      <c r="K82" s="161">
        <v>2.6</v>
      </c>
      <c r="L82" s="161">
        <v>1.71</v>
      </c>
      <c r="M82" s="161">
        <v>6.9</v>
      </c>
      <c r="N82" s="161">
        <v>0.56000000000000005</v>
      </c>
      <c r="O82" s="161">
        <v>2.2999999999999998</v>
      </c>
      <c r="P82" s="161">
        <v>2.2000000000000002</v>
      </c>
      <c r="Q82" s="161">
        <v>8.9</v>
      </c>
    </row>
    <row r="83" spans="1:17" ht="41.4" thickBot="1" x14ac:dyDescent="0.3">
      <c r="A83" s="169" t="s">
        <v>178</v>
      </c>
      <c r="B83" s="157">
        <v>24.45</v>
      </c>
      <c r="C83" s="157">
        <v>100</v>
      </c>
      <c r="D83" s="157">
        <v>18.170000000000002</v>
      </c>
      <c r="E83" s="157">
        <v>74.3</v>
      </c>
      <c r="F83" s="157">
        <v>6.28</v>
      </c>
      <c r="G83" s="157">
        <v>25.7</v>
      </c>
      <c r="H83" s="157">
        <v>1.2</v>
      </c>
      <c r="I83" s="157">
        <v>4.9000000000000004</v>
      </c>
      <c r="J83" s="157">
        <v>0.63</v>
      </c>
      <c r="K83" s="157">
        <v>2.6</v>
      </c>
      <c r="L83" s="157">
        <v>1.7</v>
      </c>
      <c r="M83" s="157">
        <v>6.9</v>
      </c>
      <c r="N83" s="157">
        <v>0.56000000000000005</v>
      </c>
      <c r="O83" s="157">
        <v>2.2999999999999998</v>
      </c>
      <c r="P83" s="157">
        <v>2.19</v>
      </c>
      <c r="Q83" s="157">
        <v>9</v>
      </c>
    </row>
    <row r="84" spans="1:17" ht="21" thickBot="1" x14ac:dyDescent="0.3">
      <c r="A84" s="166" t="s">
        <v>189</v>
      </c>
      <c r="B84" s="161">
        <v>49.7</v>
      </c>
      <c r="C84" s="161">
        <v>100</v>
      </c>
      <c r="D84" s="161">
        <v>33.200000000000003</v>
      </c>
      <c r="E84" s="161">
        <v>66.8</v>
      </c>
      <c r="F84" s="161">
        <v>16.5</v>
      </c>
      <c r="G84" s="161">
        <v>33.200000000000003</v>
      </c>
      <c r="H84" s="161">
        <v>3.37</v>
      </c>
      <c r="I84" s="161">
        <v>6.8</v>
      </c>
      <c r="J84" s="161">
        <v>1.68</v>
      </c>
      <c r="K84" s="161">
        <v>3.4</v>
      </c>
      <c r="L84" s="161">
        <v>4.97</v>
      </c>
      <c r="M84" s="161">
        <v>10</v>
      </c>
      <c r="N84" s="161">
        <v>2.64</v>
      </c>
      <c r="O84" s="161">
        <v>5.3</v>
      </c>
      <c r="P84" s="161">
        <v>3.84</v>
      </c>
      <c r="Q84" s="161">
        <v>7.7</v>
      </c>
    </row>
    <row r="85" spans="1:17" ht="13.8" thickBot="1" x14ac:dyDescent="0.3">
      <c r="A85" s="165" t="s">
        <v>190</v>
      </c>
      <c r="B85" s="157">
        <v>81.459999999999994</v>
      </c>
      <c r="C85" s="157">
        <v>100</v>
      </c>
      <c r="D85" s="157">
        <v>51.68</v>
      </c>
      <c r="E85" s="157">
        <v>63.4</v>
      </c>
      <c r="F85" s="157">
        <v>29.78</v>
      </c>
      <c r="G85" s="157">
        <v>36.6</v>
      </c>
      <c r="H85" s="157">
        <v>7.52</v>
      </c>
      <c r="I85" s="157">
        <v>9.1999999999999993</v>
      </c>
      <c r="J85" s="157">
        <v>2.95</v>
      </c>
      <c r="K85" s="157">
        <v>3.6</v>
      </c>
      <c r="L85" s="157">
        <v>7.4</v>
      </c>
      <c r="M85" s="157">
        <v>9.1</v>
      </c>
      <c r="N85" s="157">
        <v>6.36</v>
      </c>
      <c r="O85" s="157">
        <v>7.8</v>
      </c>
      <c r="P85" s="157">
        <v>5.55</v>
      </c>
      <c r="Q85" s="157">
        <v>6.8</v>
      </c>
    </row>
    <row r="86" spans="1:17" ht="13.8" thickBot="1" x14ac:dyDescent="0.3">
      <c r="A86" s="160" t="s">
        <v>191</v>
      </c>
      <c r="B86" s="161">
        <v>82.18</v>
      </c>
      <c r="C86" s="161">
        <v>100</v>
      </c>
      <c r="D86" s="161">
        <v>52.95</v>
      </c>
      <c r="E86" s="161">
        <v>64.400000000000006</v>
      </c>
      <c r="F86" s="161">
        <v>29.23</v>
      </c>
      <c r="G86" s="161">
        <v>35.6</v>
      </c>
      <c r="H86" s="161">
        <v>8.51</v>
      </c>
      <c r="I86" s="161">
        <v>10.4</v>
      </c>
      <c r="J86" s="161">
        <v>4.3600000000000003</v>
      </c>
      <c r="K86" s="161">
        <v>5.3</v>
      </c>
      <c r="L86" s="161">
        <v>7.62</v>
      </c>
      <c r="M86" s="161">
        <v>9.3000000000000007</v>
      </c>
      <c r="N86" s="161">
        <v>3.54</v>
      </c>
      <c r="O86" s="161">
        <v>4.3</v>
      </c>
      <c r="P86" s="161">
        <v>5.21</v>
      </c>
      <c r="Q86" s="161">
        <v>6.3</v>
      </c>
    </row>
    <row r="87" spans="1:17" ht="31.2" thickBot="1" x14ac:dyDescent="0.3">
      <c r="A87" s="165" t="s">
        <v>166</v>
      </c>
      <c r="B87" s="157">
        <v>99.53</v>
      </c>
      <c r="C87" s="157">
        <v>100</v>
      </c>
      <c r="D87" s="157">
        <v>64.66</v>
      </c>
      <c r="E87" s="157">
        <v>65</v>
      </c>
      <c r="F87" s="157">
        <v>34.869999999999997</v>
      </c>
      <c r="G87" s="157">
        <v>35</v>
      </c>
      <c r="H87" s="157">
        <v>10.92</v>
      </c>
      <c r="I87" s="157">
        <v>11</v>
      </c>
      <c r="J87" s="157">
        <v>5.73</v>
      </c>
      <c r="K87" s="157">
        <v>5.8</v>
      </c>
      <c r="L87" s="157">
        <v>8.52</v>
      </c>
      <c r="M87" s="157">
        <v>8.6</v>
      </c>
      <c r="N87" s="157">
        <v>3.51</v>
      </c>
      <c r="O87" s="157">
        <v>3.5</v>
      </c>
      <c r="P87" s="157">
        <v>6.19</v>
      </c>
      <c r="Q87" s="157">
        <v>6.2</v>
      </c>
    </row>
    <row r="88" spans="1:17" ht="21" thickBot="1" x14ac:dyDescent="0.3">
      <c r="A88" s="167" t="s">
        <v>168</v>
      </c>
      <c r="B88" s="161">
        <v>95.29</v>
      </c>
      <c r="C88" s="161">
        <v>100</v>
      </c>
      <c r="D88" s="161">
        <v>61.91</v>
      </c>
      <c r="E88" s="161">
        <v>65</v>
      </c>
      <c r="F88" s="161">
        <v>33.380000000000003</v>
      </c>
      <c r="G88" s="161">
        <v>35</v>
      </c>
      <c r="H88" s="161">
        <v>10.5</v>
      </c>
      <c r="I88" s="161">
        <v>11</v>
      </c>
      <c r="J88" s="161">
        <v>5.2</v>
      </c>
      <c r="K88" s="161">
        <v>5.5</v>
      </c>
      <c r="L88" s="161">
        <v>8.25</v>
      </c>
      <c r="M88" s="161">
        <v>8.6999999999999993</v>
      </c>
      <c r="N88" s="161">
        <v>3.4</v>
      </c>
      <c r="O88" s="161">
        <v>3.6</v>
      </c>
      <c r="P88" s="161">
        <v>6.03</v>
      </c>
      <c r="Q88" s="161">
        <v>6.3</v>
      </c>
    </row>
    <row r="89" spans="1:17" ht="21" thickBot="1" x14ac:dyDescent="0.3">
      <c r="A89" s="165" t="s">
        <v>169</v>
      </c>
      <c r="B89" s="157">
        <v>56.42</v>
      </c>
      <c r="C89" s="157">
        <v>100</v>
      </c>
      <c r="D89" s="157">
        <v>36.58</v>
      </c>
      <c r="E89" s="157">
        <v>64.8</v>
      </c>
      <c r="F89" s="157">
        <v>19.84</v>
      </c>
      <c r="G89" s="157">
        <v>35.200000000000003</v>
      </c>
      <c r="H89" s="157">
        <v>4.91</v>
      </c>
      <c r="I89" s="157">
        <v>8.6999999999999993</v>
      </c>
      <c r="J89" s="157">
        <v>2.2799999999999998</v>
      </c>
      <c r="K89" s="157">
        <v>4</v>
      </c>
      <c r="L89" s="157">
        <v>6.23</v>
      </c>
      <c r="M89" s="157">
        <v>11</v>
      </c>
      <c r="N89" s="157">
        <v>2.79</v>
      </c>
      <c r="O89" s="157">
        <v>4.9000000000000004</v>
      </c>
      <c r="P89" s="157">
        <v>3.64</v>
      </c>
      <c r="Q89" s="157">
        <v>6.4</v>
      </c>
    </row>
    <row r="90" spans="1:17" ht="21" thickBot="1" x14ac:dyDescent="0.3">
      <c r="A90" s="160" t="s">
        <v>192</v>
      </c>
      <c r="B90" s="161">
        <v>64.760000000000005</v>
      </c>
      <c r="C90" s="161">
        <v>100</v>
      </c>
      <c r="D90" s="161">
        <v>42.44</v>
      </c>
      <c r="E90" s="161">
        <v>65.5</v>
      </c>
      <c r="F90" s="161">
        <v>22.32</v>
      </c>
      <c r="G90" s="161">
        <v>34.5</v>
      </c>
      <c r="H90" s="161">
        <v>5.95</v>
      </c>
      <c r="I90" s="161">
        <v>9.1999999999999993</v>
      </c>
      <c r="J90" s="161">
        <v>3.81</v>
      </c>
      <c r="K90" s="161">
        <v>5.9</v>
      </c>
      <c r="L90" s="161">
        <v>6.12</v>
      </c>
      <c r="M90" s="161">
        <v>9.4</v>
      </c>
      <c r="N90" s="161">
        <v>2.41</v>
      </c>
      <c r="O90" s="161">
        <v>3.7</v>
      </c>
      <c r="P90" s="161">
        <v>4.04</v>
      </c>
      <c r="Q90" s="161">
        <v>6.2</v>
      </c>
    </row>
    <row r="91" spans="1:17" ht="31.2" thickBot="1" x14ac:dyDescent="0.3">
      <c r="A91" s="165" t="s">
        <v>166</v>
      </c>
      <c r="B91" s="157">
        <v>91.78</v>
      </c>
      <c r="C91" s="157">
        <v>100</v>
      </c>
      <c r="D91" s="157">
        <v>59.9</v>
      </c>
      <c r="E91" s="157">
        <v>65.3</v>
      </c>
      <c r="F91" s="157">
        <v>31.89</v>
      </c>
      <c r="G91" s="157">
        <v>34.700000000000003</v>
      </c>
      <c r="H91" s="157">
        <v>9.08</v>
      </c>
      <c r="I91" s="157">
        <v>9.9</v>
      </c>
      <c r="J91" s="157">
        <v>5.98</v>
      </c>
      <c r="K91" s="157">
        <v>6.5</v>
      </c>
      <c r="L91" s="157">
        <v>7.68</v>
      </c>
      <c r="M91" s="157">
        <v>8.4</v>
      </c>
      <c r="N91" s="157">
        <v>3.67</v>
      </c>
      <c r="O91" s="157">
        <v>4</v>
      </c>
      <c r="P91" s="157">
        <v>5.47</v>
      </c>
      <c r="Q91" s="157">
        <v>6</v>
      </c>
    </row>
    <row r="92" spans="1:17" ht="41.4" thickBot="1" x14ac:dyDescent="0.3">
      <c r="A92" s="167" t="s">
        <v>167</v>
      </c>
      <c r="B92" s="161">
        <v>92.85</v>
      </c>
      <c r="C92" s="161">
        <v>100</v>
      </c>
      <c r="D92" s="161">
        <v>60.82</v>
      </c>
      <c r="E92" s="161">
        <v>65.5</v>
      </c>
      <c r="F92" s="161">
        <v>32.03</v>
      </c>
      <c r="G92" s="161">
        <v>34.5</v>
      </c>
      <c r="H92" s="161">
        <v>9.11</v>
      </c>
      <c r="I92" s="161">
        <v>9.8000000000000007</v>
      </c>
      <c r="J92" s="161">
        <v>6.31</v>
      </c>
      <c r="K92" s="161">
        <v>6.8</v>
      </c>
      <c r="L92" s="161">
        <v>7.56</v>
      </c>
      <c r="M92" s="161">
        <v>8.1</v>
      </c>
      <c r="N92" s="161">
        <v>3.58</v>
      </c>
      <c r="O92" s="161">
        <v>3.9</v>
      </c>
      <c r="P92" s="161">
        <v>5.46</v>
      </c>
      <c r="Q92" s="161">
        <v>5.9</v>
      </c>
    </row>
    <row r="93" spans="1:17" ht="21" thickBot="1" x14ac:dyDescent="0.3">
      <c r="A93" s="168" t="s">
        <v>168</v>
      </c>
      <c r="B93" s="157">
        <v>88.4</v>
      </c>
      <c r="C93" s="157">
        <v>100</v>
      </c>
      <c r="D93" s="157">
        <v>56.96</v>
      </c>
      <c r="E93" s="157">
        <v>64.400000000000006</v>
      </c>
      <c r="F93" s="157">
        <v>31.44</v>
      </c>
      <c r="G93" s="157">
        <v>35.6</v>
      </c>
      <c r="H93" s="157">
        <v>9</v>
      </c>
      <c r="I93" s="157">
        <v>10.199999999999999</v>
      </c>
      <c r="J93" s="157">
        <v>4.95</v>
      </c>
      <c r="K93" s="157">
        <v>5.6</v>
      </c>
      <c r="L93" s="157">
        <v>8.06</v>
      </c>
      <c r="M93" s="157">
        <v>9.1</v>
      </c>
      <c r="N93" s="157">
        <v>3.94</v>
      </c>
      <c r="O93" s="157">
        <v>4.5</v>
      </c>
      <c r="P93" s="157">
        <v>5.5</v>
      </c>
      <c r="Q93" s="157">
        <v>6.2</v>
      </c>
    </row>
    <row r="94" spans="1:17" ht="21" thickBot="1" x14ac:dyDescent="0.3">
      <c r="A94" s="166" t="s">
        <v>169</v>
      </c>
      <c r="B94" s="161">
        <v>44.72</v>
      </c>
      <c r="C94" s="161">
        <v>100</v>
      </c>
      <c r="D94" s="161">
        <v>29.5</v>
      </c>
      <c r="E94" s="161">
        <v>66</v>
      </c>
      <c r="F94" s="161">
        <v>15.21</v>
      </c>
      <c r="G94" s="161">
        <v>34</v>
      </c>
      <c r="H94" s="161">
        <v>3.66</v>
      </c>
      <c r="I94" s="161">
        <v>8.1999999999999993</v>
      </c>
      <c r="J94" s="161">
        <v>2.2999999999999998</v>
      </c>
      <c r="K94" s="161">
        <v>5.2</v>
      </c>
      <c r="L94" s="161">
        <v>4.97</v>
      </c>
      <c r="M94" s="161">
        <v>11.1</v>
      </c>
      <c r="N94" s="161">
        <v>1.38</v>
      </c>
      <c r="O94" s="161">
        <v>3.1</v>
      </c>
      <c r="P94" s="161">
        <v>2.9</v>
      </c>
      <c r="Q94" s="161">
        <v>6.5</v>
      </c>
    </row>
    <row r="95" spans="1:17" ht="21" thickBot="1" x14ac:dyDescent="0.3">
      <c r="A95" s="168" t="s">
        <v>170</v>
      </c>
      <c r="B95" s="157">
        <v>58.48</v>
      </c>
      <c r="C95" s="157">
        <v>100</v>
      </c>
      <c r="D95" s="157">
        <v>40.01</v>
      </c>
      <c r="E95" s="157">
        <v>68.400000000000006</v>
      </c>
      <c r="F95" s="157">
        <v>18.48</v>
      </c>
      <c r="G95" s="157">
        <v>31.6</v>
      </c>
      <c r="H95" s="157">
        <v>4.2699999999999996</v>
      </c>
      <c r="I95" s="157">
        <v>7.3</v>
      </c>
      <c r="J95" s="171" t="s">
        <v>247</v>
      </c>
      <c r="K95" s="157">
        <v>8.1</v>
      </c>
      <c r="L95" s="157">
        <v>4.12</v>
      </c>
      <c r="M95" s="157">
        <v>7</v>
      </c>
      <c r="N95" s="157">
        <v>1.6</v>
      </c>
      <c r="O95" s="157">
        <v>2.7</v>
      </c>
      <c r="P95" s="157">
        <v>3.75</v>
      </c>
      <c r="Q95" s="157">
        <v>6.4</v>
      </c>
    </row>
    <row r="96" spans="1:17" ht="41.4" thickBot="1" x14ac:dyDescent="0.3">
      <c r="A96" s="167" t="s">
        <v>171</v>
      </c>
      <c r="B96" s="161">
        <v>40.71</v>
      </c>
      <c r="C96" s="161">
        <v>100</v>
      </c>
      <c r="D96" s="161">
        <v>26.45</v>
      </c>
      <c r="E96" s="161">
        <v>65</v>
      </c>
      <c r="F96" s="161">
        <v>14.26</v>
      </c>
      <c r="G96" s="161">
        <v>35</v>
      </c>
      <c r="H96" s="161">
        <v>3.48</v>
      </c>
      <c r="I96" s="161">
        <v>8.5</v>
      </c>
      <c r="J96" s="161">
        <v>1.6</v>
      </c>
      <c r="K96" s="161">
        <v>3.9</v>
      </c>
      <c r="L96" s="161">
        <v>5.22</v>
      </c>
      <c r="M96" s="161">
        <v>12.8</v>
      </c>
      <c r="N96" s="161">
        <v>1.31</v>
      </c>
      <c r="O96" s="161">
        <v>3.2</v>
      </c>
      <c r="P96" s="161">
        <v>2.65</v>
      </c>
      <c r="Q96" s="161">
        <v>6.5</v>
      </c>
    </row>
    <row r="97" spans="1:17" ht="21" thickBot="1" x14ac:dyDescent="0.3">
      <c r="A97" s="165" t="s">
        <v>193</v>
      </c>
      <c r="B97" s="157">
        <v>72.19</v>
      </c>
      <c r="C97" s="157">
        <v>100</v>
      </c>
      <c r="D97" s="157">
        <v>46.68</v>
      </c>
      <c r="E97" s="157">
        <v>64.7</v>
      </c>
      <c r="F97" s="157">
        <v>25.51</v>
      </c>
      <c r="G97" s="157">
        <v>35.299999999999997</v>
      </c>
      <c r="H97" s="157">
        <v>6.85</v>
      </c>
      <c r="I97" s="157">
        <v>9.5</v>
      </c>
      <c r="J97" s="157">
        <v>4.63</v>
      </c>
      <c r="K97" s="157">
        <v>6.4</v>
      </c>
      <c r="L97" s="157">
        <v>6.87</v>
      </c>
      <c r="M97" s="157">
        <v>9.5</v>
      </c>
      <c r="N97" s="157">
        <v>2.81</v>
      </c>
      <c r="O97" s="157">
        <v>3.9</v>
      </c>
      <c r="P97" s="157">
        <v>4.34</v>
      </c>
      <c r="Q97" s="157">
        <v>6</v>
      </c>
    </row>
    <row r="98" spans="1:17" ht="41.4" thickBot="1" x14ac:dyDescent="0.3">
      <c r="A98" s="167" t="s">
        <v>194</v>
      </c>
      <c r="B98" s="161">
        <v>64.86</v>
      </c>
      <c r="C98" s="161">
        <v>100</v>
      </c>
      <c r="D98" s="161">
        <v>41.95</v>
      </c>
      <c r="E98" s="161">
        <v>64.7</v>
      </c>
      <c r="F98" s="161">
        <v>22.91</v>
      </c>
      <c r="G98" s="161">
        <v>35.299999999999997</v>
      </c>
      <c r="H98" s="161">
        <v>6.24</v>
      </c>
      <c r="I98" s="161">
        <v>9.6</v>
      </c>
      <c r="J98" s="161">
        <v>3.61</v>
      </c>
      <c r="K98" s="161">
        <v>5.6</v>
      </c>
      <c r="L98" s="161">
        <v>6.41</v>
      </c>
      <c r="M98" s="161">
        <v>9.9</v>
      </c>
      <c r="N98" s="161">
        <v>2.66</v>
      </c>
      <c r="O98" s="161">
        <v>4.0999999999999996</v>
      </c>
      <c r="P98" s="161">
        <v>3.99</v>
      </c>
      <c r="Q98" s="161">
        <v>6.1</v>
      </c>
    </row>
    <row r="99" spans="1:17" ht="31.2" thickBot="1" x14ac:dyDescent="0.3">
      <c r="A99" s="168" t="s">
        <v>195</v>
      </c>
      <c r="B99" s="157">
        <v>67.569999999999993</v>
      </c>
      <c r="C99" s="157">
        <v>100</v>
      </c>
      <c r="D99" s="157">
        <v>44</v>
      </c>
      <c r="E99" s="157">
        <v>65.099999999999994</v>
      </c>
      <c r="F99" s="157">
        <v>23.57</v>
      </c>
      <c r="G99" s="157">
        <v>34.9</v>
      </c>
      <c r="H99" s="157">
        <v>6.31</v>
      </c>
      <c r="I99" s="157">
        <v>9.3000000000000007</v>
      </c>
      <c r="J99" s="157">
        <v>3.81</v>
      </c>
      <c r="K99" s="157">
        <v>5.6</v>
      </c>
      <c r="L99" s="157">
        <v>6.78</v>
      </c>
      <c r="M99" s="157">
        <v>10</v>
      </c>
      <c r="N99" s="157">
        <v>2.4500000000000002</v>
      </c>
      <c r="O99" s="157">
        <v>3.6</v>
      </c>
      <c r="P99" s="157">
        <v>4.21</v>
      </c>
      <c r="Q99" s="157">
        <v>6.2</v>
      </c>
    </row>
    <row r="100" spans="1:17" ht="31.2" thickBot="1" x14ac:dyDescent="0.3">
      <c r="A100" s="166" t="s">
        <v>196</v>
      </c>
      <c r="B100" s="161">
        <v>42.95</v>
      </c>
      <c r="C100" s="161">
        <v>100</v>
      </c>
      <c r="D100" s="161">
        <v>29.99</v>
      </c>
      <c r="E100" s="161">
        <v>69.8</v>
      </c>
      <c r="F100" s="161">
        <v>12.97</v>
      </c>
      <c r="G100" s="161">
        <v>30.2</v>
      </c>
      <c r="H100" s="161">
        <v>3.29</v>
      </c>
      <c r="I100" s="161">
        <v>7.7</v>
      </c>
      <c r="J100" s="161">
        <v>1.4</v>
      </c>
      <c r="K100" s="161">
        <v>3.3</v>
      </c>
      <c r="L100" s="161">
        <v>3.9</v>
      </c>
      <c r="M100" s="161">
        <v>9.1</v>
      </c>
      <c r="N100" s="161">
        <v>1.22</v>
      </c>
      <c r="O100" s="161">
        <v>2.8</v>
      </c>
      <c r="P100" s="161">
        <v>3.15</v>
      </c>
      <c r="Q100" s="161">
        <v>7.3</v>
      </c>
    </row>
    <row r="101" spans="1:17" ht="31.2" thickBot="1" x14ac:dyDescent="0.3">
      <c r="A101" s="162" t="s">
        <v>197</v>
      </c>
      <c r="B101" s="157">
        <v>59.47</v>
      </c>
      <c r="C101" s="157">
        <v>100</v>
      </c>
      <c r="D101" s="157">
        <v>41.29</v>
      </c>
      <c r="E101" s="157">
        <v>69.400000000000006</v>
      </c>
      <c r="F101" s="157">
        <v>18.18</v>
      </c>
      <c r="G101" s="157">
        <v>30.6</v>
      </c>
      <c r="H101" s="157">
        <v>5.24</v>
      </c>
      <c r="I101" s="157">
        <v>8.8000000000000007</v>
      </c>
      <c r="J101" s="157">
        <v>2.83</v>
      </c>
      <c r="K101" s="157">
        <v>4.8</v>
      </c>
      <c r="L101" s="157">
        <v>4.1399999999999997</v>
      </c>
      <c r="M101" s="157">
        <v>7</v>
      </c>
      <c r="N101" s="157">
        <v>1.93</v>
      </c>
      <c r="O101" s="157">
        <v>3.3</v>
      </c>
      <c r="P101" s="157">
        <v>4.03</v>
      </c>
      <c r="Q101" s="157">
        <v>6.8</v>
      </c>
    </row>
    <row r="102" spans="1:17" ht="31.2" thickBot="1" x14ac:dyDescent="0.3">
      <c r="A102" s="166" t="s">
        <v>166</v>
      </c>
      <c r="B102" s="161">
        <v>85.35</v>
      </c>
      <c r="C102" s="161">
        <v>100</v>
      </c>
      <c r="D102" s="161">
        <v>58.13</v>
      </c>
      <c r="E102" s="161">
        <v>68.099999999999994</v>
      </c>
      <c r="F102" s="161">
        <v>27.22</v>
      </c>
      <c r="G102" s="161">
        <v>31.9</v>
      </c>
      <c r="H102" s="161">
        <v>8.3800000000000008</v>
      </c>
      <c r="I102" s="161">
        <v>9.8000000000000007</v>
      </c>
      <c r="J102" s="161">
        <v>4.5199999999999996</v>
      </c>
      <c r="K102" s="161">
        <v>5.3</v>
      </c>
      <c r="L102" s="161">
        <v>5.8</v>
      </c>
      <c r="M102" s="161">
        <v>6.8</v>
      </c>
      <c r="N102" s="161">
        <v>3.14</v>
      </c>
      <c r="O102" s="161">
        <v>3.7</v>
      </c>
      <c r="P102" s="161">
        <v>5.39</v>
      </c>
      <c r="Q102" s="161">
        <v>6.3</v>
      </c>
    </row>
    <row r="103" spans="1:17" ht="41.4" thickBot="1" x14ac:dyDescent="0.3">
      <c r="A103" s="168" t="s">
        <v>167</v>
      </c>
      <c r="B103" s="157">
        <v>89.88</v>
      </c>
      <c r="C103" s="157">
        <v>100</v>
      </c>
      <c r="D103" s="157">
        <v>60.52</v>
      </c>
      <c r="E103" s="157">
        <v>67.3</v>
      </c>
      <c r="F103" s="157">
        <v>29.37</v>
      </c>
      <c r="G103" s="157">
        <v>32.700000000000003</v>
      </c>
      <c r="H103" s="157">
        <v>8.83</v>
      </c>
      <c r="I103" s="157">
        <v>9.8000000000000007</v>
      </c>
      <c r="J103" s="157">
        <v>5.6</v>
      </c>
      <c r="K103" s="157">
        <v>6.2</v>
      </c>
      <c r="L103" s="157">
        <v>6.24</v>
      </c>
      <c r="M103" s="157">
        <v>6.9</v>
      </c>
      <c r="N103" s="157">
        <v>3.13</v>
      </c>
      <c r="O103" s="157">
        <v>3.5</v>
      </c>
      <c r="P103" s="157">
        <v>5.58</v>
      </c>
      <c r="Q103" s="157">
        <v>6.2</v>
      </c>
    </row>
    <row r="104" spans="1:17" ht="21" thickBot="1" x14ac:dyDescent="0.3">
      <c r="A104" s="167" t="s">
        <v>168</v>
      </c>
      <c r="B104" s="161">
        <v>82.31</v>
      </c>
      <c r="C104" s="161">
        <v>100</v>
      </c>
      <c r="D104" s="161">
        <v>56.53</v>
      </c>
      <c r="E104" s="161">
        <v>68.7</v>
      </c>
      <c r="F104" s="161">
        <v>25.78</v>
      </c>
      <c r="G104" s="161">
        <v>31.3</v>
      </c>
      <c r="H104" s="161">
        <v>8.08</v>
      </c>
      <c r="I104" s="161">
        <v>9.8000000000000007</v>
      </c>
      <c r="J104" s="161">
        <v>3.8</v>
      </c>
      <c r="K104" s="161">
        <v>4.5999999999999996</v>
      </c>
      <c r="L104" s="161">
        <v>5.51</v>
      </c>
      <c r="M104" s="161">
        <v>6.7</v>
      </c>
      <c r="N104" s="161">
        <v>3.14</v>
      </c>
      <c r="O104" s="161">
        <v>3.8</v>
      </c>
      <c r="P104" s="161">
        <v>5.26</v>
      </c>
      <c r="Q104" s="161">
        <v>6.4</v>
      </c>
    </row>
    <row r="105" spans="1:17" ht="21" thickBot="1" x14ac:dyDescent="0.3">
      <c r="A105" s="165" t="s">
        <v>169</v>
      </c>
      <c r="B105" s="157">
        <v>40.25</v>
      </c>
      <c r="C105" s="157">
        <v>100</v>
      </c>
      <c r="D105" s="157">
        <v>28.49</v>
      </c>
      <c r="E105" s="157">
        <v>70.8</v>
      </c>
      <c r="F105" s="157">
        <v>11.76</v>
      </c>
      <c r="G105" s="157">
        <v>29.2</v>
      </c>
      <c r="H105" s="157">
        <v>3.18</v>
      </c>
      <c r="I105" s="157">
        <v>7.9</v>
      </c>
      <c r="J105" s="157">
        <v>1.2</v>
      </c>
      <c r="K105" s="157">
        <v>3</v>
      </c>
      <c r="L105" s="157">
        <v>3.37</v>
      </c>
      <c r="M105" s="157">
        <v>8.4</v>
      </c>
      <c r="N105" s="157">
        <v>1.1399999999999999</v>
      </c>
      <c r="O105" s="157">
        <v>2.8</v>
      </c>
      <c r="P105" s="157">
        <v>2.87</v>
      </c>
      <c r="Q105" s="157">
        <v>7.1</v>
      </c>
    </row>
    <row r="106" spans="1:17" ht="41.4" thickBot="1" x14ac:dyDescent="0.3">
      <c r="A106" s="167" t="s">
        <v>171</v>
      </c>
      <c r="B106" s="161">
        <v>35.200000000000003</v>
      </c>
      <c r="C106" s="161">
        <v>100</v>
      </c>
      <c r="D106" s="161">
        <v>24.66</v>
      </c>
      <c r="E106" s="161">
        <v>70.099999999999994</v>
      </c>
      <c r="F106" s="161">
        <v>10.54</v>
      </c>
      <c r="G106" s="161">
        <v>29.9</v>
      </c>
      <c r="H106" s="161">
        <v>2.75</v>
      </c>
      <c r="I106" s="161">
        <v>7.8</v>
      </c>
      <c r="J106" s="161">
        <v>1.2</v>
      </c>
      <c r="K106" s="161">
        <v>3.4</v>
      </c>
      <c r="L106" s="161">
        <v>3.23</v>
      </c>
      <c r="M106" s="161">
        <v>9.1999999999999993</v>
      </c>
      <c r="N106" s="161">
        <v>0.83</v>
      </c>
      <c r="O106" s="161">
        <v>2.4</v>
      </c>
      <c r="P106" s="161">
        <v>2.5299999999999998</v>
      </c>
      <c r="Q106" s="161">
        <v>7.2</v>
      </c>
    </row>
    <row r="107" spans="1:17" ht="13.8" thickBot="1" x14ac:dyDescent="0.3">
      <c r="A107" s="165" t="s">
        <v>172</v>
      </c>
      <c r="B107" s="157">
        <v>27.43</v>
      </c>
      <c r="C107" s="157">
        <v>100</v>
      </c>
      <c r="D107" s="157">
        <v>20.62</v>
      </c>
      <c r="E107" s="157">
        <v>75.099999999999994</v>
      </c>
      <c r="F107" s="157">
        <v>6.82</v>
      </c>
      <c r="G107" s="157">
        <v>24.9</v>
      </c>
      <c r="H107" s="157">
        <v>1.27</v>
      </c>
      <c r="I107" s="157">
        <v>4.5999999999999996</v>
      </c>
      <c r="J107" s="157">
        <v>1.01</v>
      </c>
      <c r="K107" s="157">
        <v>3.7</v>
      </c>
      <c r="L107" s="157">
        <v>1.84</v>
      </c>
      <c r="M107" s="157">
        <v>6.7</v>
      </c>
      <c r="N107" s="157">
        <v>0.31</v>
      </c>
      <c r="O107" s="157">
        <v>1.1000000000000001</v>
      </c>
      <c r="P107" s="157">
        <v>2.39</v>
      </c>
      <c r="Q107" s="157">
        <v>8.6999999999999993</v>
      </c>
    </row>
    <row r="108" spans="1:17" ht="41.4" thickBot="1" x14ac:dyDescent="0.3">
      <c r="A108" s="166" t="s">
        <v>176</v>
      </c>
      <c r="B108" s="161">
        <v>27.04</v>
      </c>
      <c r="C108" s="161">
        <v>100</v>
      </c>
      <c r="D108" s="161">
        <v>20.64</v>
      </c>
      <c r="E108" s="161">
        <v>76.3</v>
      </c>
      <c r="F108" s="161">
        <v>6.4</v>
      </c>
      <c r="G108" s="161">
        <v>23.7</v>
      </c>
      <c r="H108" s="161">
        <v>1.0900000000000001</v>
      </c>
      <c r="I108" s="161">
        <v>4</v>
      </c>
      <c r="J108" s="161">
        <v>1.22</v>
      </c>
      <c r="K108" s="161">
        <v>4.5</v>
      </c>
      <c r="L108" s="161">
        <v>1.28</v>
      </c>
      <c r="M108" s="161">
        <v>4.7</v>
      </c>
      <c r="N108" s="161">
        <v>0.37</v>
      </c>
      <c r="O108" s="161">
        <v>1.4</v>
      </c>
      <c r="P108" s="161">
        <v>2.44</v>
      </c>
      <c r="Q108" s="161">
        <v>9</v>
      </c>
    </row>
    <row r="109" spans="1:17" ht="31.2" thickBot="1" x14ac:dyDescent="0.3">
      <c r="A109" s="168" t="s">
        <v>178</v>
      </c>
      <c r="B109" s="157">
        <v>27.24</v>
      </c>
      <c r="C109" s="157">
        <v>100</v>
      </c>
      <c r="D109" s="157">
        <v>20.47</v>
      </c>
      <c r="E109" s="157">
        <v>75.099999999999994</v>
      </c>
      <c r="F109" s="157">
        <v>6.77</v>
      </c>
      <c r="G109" s="157">
        <v>24.9</v>
      </c>
      <c r="H109" s="157">
        <v>1.07</v>
      </c>
      <c r="I109" s="157">
        <v>3.9</v>
      </c>
      <c r="J109" s="157">
        <v>1.34</v>
      </c>
      <c r="K109" s="157">
        <v>4.9000000000000004</v>
      </c>
      <c r="L109" s="157">
        <v>1.51</v>
      </c>
      <c r="M109" s="157">
        <v>5.6</v>
      </c>
      <c r="N109" s="171" t="s">
        <v>248</v>
      </c>
      <c r="O109" s="171" t="s">
        <v>249</v>
      </c>
      <c r="P109" s="157">
        <v>2.5099999999999998</v>
      </c>
      <c r="Q109" s="157">
        <v>9.1999999999999993</v>
      </c>
    </row>
    <row r="110" spans="1:17" ht="41.4" thickBot="1" x14ac:dyDescent="0.3">
      <c r="A110" s="166" t="s">
        <v>198</v>
      </c>
      <c r="B110" s="161">
        <v>74.63</v>
      </c>
      <c r="C110" s="161">
        <v>100</v>
      </c>
      <c r="D110" s="161">
        <v>51.05</v>
      </c>
      <c r="E110" s="161">
        <v>68.400000000000006</v>
      </c>
      <c r="F110" s="161">
        <v>23.58</v>
      </c>
      <c r="G110" s="161">
        <v>31.6</v>
      </c>
      <c r="H110" s="161">
        <v>7.08</v>
      </c>
      <c r="I110" s="161">
        <v>9.5</v>
      </c>
      <c r="J110" s="161">
        <v>3.56</v>
      </c>
      <c r="K110" s="161">
        <v>4.8</v>
      </c>
      <c r="L110" s="161">
        <v>5.36</v>
      </c>
      <c r="M110" s="161">
        <v>7.2</v>
      </c>
      <c r="N110" s="161">
        <v>2.81</v>
      </c>
      <c r="O110" s="161">
        <v>3.8</v>
      </c>
      <c r="P110" s="161">
        <v>4.78</v>
      </c>
      <c r="Q110" s="161">
        <v>6.4</v>
      </c>
    </row>
    <row r="111" spans="1:17" ht="31.2" thickBot="1" x14ac:dyDescent="0.3">
      <c r="A111" s="165" t="s">
        <v>199</v>
      </c>
      <c r="B111" s="157">
        <v>34.81</v>
      </c>
      <c r="C111" s="157">
        <v>100</v>
      </c>
      <c r="D111" s="157">
        <v>25.9</v>
      </c>
      <c r="E111" s="157">
        <v>74.400000000000006</v>
      </c>
      <c r="F111" s="157">
        <v>8.91</v>
      </c>
      <c r="G111" s="157">
        <v>25.6</v>
      </c>
      <c r="H111" s="157">
        <v>2.06</v>
      </c>
      <c r="I111" s="157">
        <v>5.9</v>
      </c>
      <c r="J111" s="157">
        <v>1.35</v>
      </c>
      <c r="K111" s="157">
        <v>3.9</v>
      </c>
      <c r="L111" s="157">
        <v>2.15</v>
      </c>
      <c r="M111" s="157">
        <v>6.2</v>
      </c>
      <c r="N111" s="157">
        <v>0.56000000000000005</v>
      </c>
      <c r="O111" s="157">
        <v>1.6</v>
      </c>
      <c r="P111" s="157">
        <v>2.78</v>
      </c>
      <c r="Q111" s="157">
        <v>8</v>
      </c>
    </row>
    <row r="112" spans="1:17" ht="21" thickBot="1" x14ac:dyDescent="0.3">
      <c r="A112" s="160" t="s">
        <v>200</v>
      </c>
      <c r="B112" s="161">
        <v>49.42</v>
      </c>
      <c r="C112" s="161">
        <v>100</v>
      </c>
      <c r="D112" s="161">
        <v>35.020000000000003</v>
      </c>
      <c r="E112" s="161">
        <v>70.900000000000006</v>
      </c>
      <c r="F112" s="161">
        <v>14.39</v>
      </c>
      <c r="G112" s="161">
        <v>29.1</v>
      </c>
      <c r="H112" s="161">
        <v>4.1399999999999997</v>
      </c>
      <c r="I112" s="161">
        <v>8.4</v>
      </c>
      <c r="J112" s="161">
        <v>1.6</v>
      </c>
      <c r="K112" s="161">
        <v>3.2</v>
      </c>
      <c r="L112" s="161">
        <v>3.68</v>
      </c>
      <c r="M112" s="161">
        <v>7.4</v>
      </c>
      <c r="N112" s="161">
        <v>1.58</v>
      </c>
      <c r="O112" s="161">
        <v>3.2</v>
      </c>
      <c r="P112" s="161">
        <v>3.4</v>
      </c>
      <c r="Q112" s="161">
        <v>6.9</v>
      </c>
    </row>
    <row r="113" spans="1:17" ht="31.2" thickBot="1" x14ac:dyDescent="0.3">
      <c r="A113" s="165" t="s">
        <v>166</v>
      </c>
      <c r="B113" s="157">
        <v>67.209999999999994</v>
      </c>
      <c r="C113" s="157">
        <v>100</v>
      </c>
      <c r="D113" s="157">
        <v>47.44</v>
      </c>
      <c r="E113" s="157">
        <v>70.599999999999994</v>
      </c>
      <c r="F113" s="157">
        <v>19.77</v>
      </c>
      <c r="G113" s="157">
        <v>29.4</v>
      </c>
      <c r="H113" s="157">
        <v>6.08</v>
      </c>
      <c r="I113" s="157">
        <v>9</v>
      </c>
      <c r="J113" s="157">
        <v>2.1800000000000002</v>
      </c>
      <c r="K113" s="157">
        <v>3.2</v>
      </c>
      <c r="L113" s="157">
        <v>4.72</v>
      </c>
      <c r="M113" s="157">
        <v>7</v>
      </c>
      <c r="N113" s="157">
        <v>2.42</v>
      </c>
      <c r="O113" s="157">
        <v>3.6</v>
      </c>
      <c r="P113" s="157">
        <v>4.38</v>
      </c>
      <c r="Q113" s="157">
        <v>6.5</v>
      </c>
    </row>
    <row r="114" spans="1:17" ht="41.4" thickBot="1" x14ac:dyDescent="0.3">
      <c r="A114" s="167" t="s">
        <v>167</v>
      </c>
      <c r="B114" s="161">
        <v>71.59</v>
      </c>
      <c r="C114" s="161">
        <v>100</v>
      </c>
      <c r="D114" s="161">
        <v>49.93</v>
      </c>
      <c r="E114" s="161">
        <v>69.7</v>
      </c>
      <c r="F114" s="161">
        <v>21.66</v>
      </c>
      <c r="G114" s="161">
        <v>30.3</v>
      </c>
      <c r="H114" s="161">
        <v>7.39</v>
      </c>
      <c r="I114" s="161">
        <v>10.3</v>
      </c>
      <c r="J114" s="161">
        <v>1.86</v>
      </c>
      <c r="K114" s="161">
        <v>2.6</v>
      </c>
      <c r="L114" s="161">
        <v>5.3</v>
      </c>
      <c r="M114" s="161">
        <v>7.4</v>
      </c>
      <c r="N114" s="161">
        <v>2.58</v>
      </c>
      <c r="O114" s="161">
        <v>3.6</v>
      </c>
      <c r="P114" s="161">
        <v>4.5199999999999996</v>
      </c>
      <c r="Q114" s="161">
        <v>6.3</v>
      </c>
    </row>
    <row r="115" spans="1:17" ht="21" thickBot="1" x14ac:dyDescent="0.3">
      <c r="A115" s="168" t="s">
        <v>168</v>
      </c>
      <c r="B115" s="157">
        <v>66.72</v>
      </c>
      <c r="C115" s="157">
        <v>100</v>
      </c>
      <c r="D115" s="157">
        <v>47.16</v>
      </c>
      <c r="E115" s="157">
        <v>70.7</v>
      </c>
      <c r="F115" s="157">
        <v>19.559999999999999</v>
      </c>
      <c r="G115" s="157">
        <v>29.3</v>
      </c>
      <c r="H115" s="157">
        <v>5.93</v>
      </c>
      <c r="I115" s="157">
        <v>8.9</v>
      </c>
      <c r="J115" s="157">
        <v>2.21</v>
      </c>
      <c r="K115" s="157">
        <v>3.3</v>
      </c>
      <c r="L115" s="157">
        <v>4.66</v>
      </c>
      <c r="M115" s="157">
        <v>7</v>
      </c>
      <c r="N115" s="157">
        <v>2.4</v>
      </c>
      <c r="O115" s="157">
        <v>3.6</v>
      </c>
      <c r="P115" s="157">
        <v>4.3600000000000003</v>
      </c>
      <c r="Q115" s="157">
        <v>6.5</v>
      </c>
    </row>
    <row r="116" spans="1:17" ht="21" thickBot="1" x14ac:dyDescent="0.3">
      <c r="A116" s="166" t="s">
        <v>169</v>
      </c>
      <c r="B116" s="161">
        <v>34.42</v>
      </c>
      <c r="C116" s="161">
        <v>100</v>
      </c>
      <c r="D116" s="161">
        <v>23.59</v>
      </c>
      <c r="E116" s="161">
        <v>68.5</v>
      </c>
      <c r="F116" s="161">
        <v>10.83</v>
      </c>
      <c r="G116" s="161">
        <v>31.5</v>
      </c>
      <c r="H116" s="161">
        <v>2.82</v>
      </c>
      <c r="I116" s="161">
        <v>8.1999999999999993</v>
      </c>
      <c r="J116" s="161">
        <v>0.63</v>
      </c>
      <c r="K116" s="161">
        <v>1.8</v>
      </c>
      <c r="L116" s="161">
        <v>4.17</v>
      </c>
      <c r="M116" s="161">
        <v>12.1</v>
      </c>
      <c r="N116" s="161">
        <v>0.89</v>
      </c>
      <c r="O116" s="161">
        <v>2.6</v>
      </c>
      <c r="P116" s="161">
        <v>2.31</v>
      </c>
      <c r="Q116" s="161">
        <v>6.7</v>
      </c>
    </row>
    <row r="117" spans="1:17" ht="41.4" thickBot="1" x14ac:dyDescent="0.3">
      <c r="A117" s="168" t="s">
        <v>171</v>
      </c>
      <c r="B117" s="157">
        <v>34.229999999999997</v>
      </c>
      <c r="C117" s="157">
        <v>100</v>
      </c>
      <c r="D117" s="157">
        <v>23.45</v>
      </c>
      <c r="E117" s="157">
        <v>68.5</v>
      </c>
      <c r="F117" s="157">
        <v>10.78</v>
      </c>
      <c r="G117" s="157">
        <v>31.5</v>
      </c>
      <c r="H117" s="157">
        <v>2.81</v>
      </c>
      <c r="I117" s="157">
        <v>8.1999999999999993</v>
      </c>
      <c r="J117" s="157">
        <v>0.62</v>
      </c>
      <c r="K117" s="157">
        <v>1.8</v>
      </c>
      <c r="L117" s="157">
        <v>4.16</v>
      </c>
      <c r="M117" s="157">
        <v>12.1</v>
      </c>
      <c r="N117" s="157">
        <v>0.89</v>
      </c>
      <c r="O117" s="157">
        <v>2.6</v>
      </c>
      <c r="P117" s="157">
        <v>2.2999999999999998</v>
      </c>
      <c r="Q117" s="157">
        <v>6.7</v>
      </c>
    </row>
    <row r="118" spans="1:17" ht="13.8" thickBot="1" x14ac:dyDescent="0.3">
      <c r="A118" s="166" t="s">
        <v>172</v>
      </c>
      <c r="B118" s="161">
        <v>27.22</v>
      </c>
      <c r="C118" s="161">
        <v>100</v>
      </c>
      <c r="D118" s="161">
        <v>19.84</v>
      </c>
      <c r="E118" s="161">
        <v>72.900000000000006</v>
      </c>
      <c r="F118" s="161">
        <v>7.38</v>
      </c>
      <c r="G118" s="161">
        <v>27.1</v>
      </c>
      <c r="H118" s="161">
        <v>1.6</v>
      </c>
      <c r="I118" s="161">
        <v>5.9</v>
      </c>
      <c r="J118" s="161">
        <v>1.05</v>
      </c>
      <c r="K118" s="161">
        <v>3.8</v>
      </c>
      <c r="L118" s="161">
        <v>1.96</v>
      </c>
      <c r="M118" s="161">
        <v>7.2</v>
      </c>
      <c r="N118" s="161">
        <v>0.53</v>
      </c>
      <c r="O118" s="161">
        <v>2</v>
      </c>
      <c r="P118" s="161">
        <v>2.2400000000000002</v>
      </c>
      <c r="Q118" s="161">
        <v>8.1999999999999993</v>
      </c>
    </row>
    <row r="119" spans="1:17" ht="21" thickBot="1" x14ac:dyDescent="0.3">
      <c r="A119" s="165" t="s">
        <v>201</v>
      </c>
      <c r="B119" s="157">
        <v>56.52</v>
      </c>
      <c r="C119" s="157">
        <v>100</v>
      </c>
      <c r="D119" s="157">
        <v>40.61</v>
      </c>
      <c r="E119" s="157">
        <v>71.900000000000006</v>
      </c>
      <c r="F119" s="157">
        <v>15.91</v>
      </c>
      <c r="G119" s="157">
        <v>28.1</v>
      </c>
      <c r="H119" s="157">
        <v>4.7699999999999996</v>
      </c>
      <c r="I119" s="157">
        <v>8.4</v>
      </c>
      <c r="J119" s="157">
        <v>0.5</v>
      </c>
      <c r="K119" s="157">
        <v>0.9</v>
      </c>
      <c r="L119" s="157">
        <v>4.1500000000000004</v>
      </c>
      <c r="M119" s="157">
        <v>7.3</v>
      </c>
      <c r="N119" s="157">
        <v>2.68</v>
      </c>
      <c r="O119" s="157">
        <v>4.7</v>
      </c>
      <c r="P119" s="157">
        <v>3.81</v>
      </c>
      <c r="Q119" s="157">
        <v>6.7</v>
      </c>
    </row>
    <row r="120" spans="1:17" ht="31.2" thickBot="1" x14ac:dyDescent="0.3">
      <c r="A120" s="167" t="s">
        <v>166</v>
      </c>
      <c r="B120" s="161">
        <v>60.78</v>
      </c>
      <c r="C120" s="161">
        <v>100</v>
      </c>
      <c r="D120" s="161">
        <v>44.1</v>
      </c>
      <c r="E120" s="161">
        <v>72.599999999999994</v>
      </c>
      <c r="F120" s="161">
        <v>16.68</v>
      </c>
      <c r="G120" s="161">
        <v>27.4</v>
      </c>
      <c r="H120" s="161">
        <v>5.0199999999999996</v>
      </c>
      <c r="I120" s="161">
        <v>8.3000000000000007</v>
      </c>
      <c r="J120" s="161">
        <v>0.52</v>
      </c>
      <c r="K120" s="161">
        <v>0.9</v>
      </c>
      <c r="L120" s="161">
        <v>4.22</v>
      </c>
      <c r="M120" s="161">
        <v>6.9</v>
      </c>
      <c r="N120" s="161">
        <v>2.84</v>
      </c>
      <c r="O120" s="161">
        <v>4.7</v>
      </c>
      <c r="P120" s="161">
        <v>4.08</v>
      </c>
      <c r="Q120" s="161">
        <v>6.7</v>
      </c>
    </row>
    <row r="121" spans="1:17" ht="41.4" thickBot="1" x14ac:dyDescent="0.3">
      <c r="A121" s="169" t="s">
        <v>167</v>
      </c>
      <c r="B121" s="157">
        <v>73.8</v>
      </c>
      <c r="C121" s="157">
        <v>100</v>
      </c>
      <c r="D121" s="157">
        <v>51.1</v>
      </c>
      <c r="E121" s="157">
        <v>69.2</v>
      </c>
      <c r="F121" s="157">
        <v>22.7</v>
      </c>
      <c r="G121" s="157">
        <v>30.8</v>
      </c>
      <c r="H121" s="157">
        <v>8.26</v>
      </c>
      <c r="I121" s="157">
        <v>11.2</v>
      </c>
      <c r="J121" s="157">
        <v>0.74</v>
      </c>
      <c r="K121" s="157">
        <v>1</v>
      </c>
      <c r="L121" s="157">
        <v>5.56</v>
      </c>
      <c r="M121" s="157">
        <v>7.5</v>
      </c>
      <c r="N121" s="157">
        <v>3.49</v>
      </c>
      <c r="O121" s="157">
        <v>4.7</v>
      </c>
      <c r="P121" s="157">
        <v>4.6500000000000004</v>
      </c>
      <c r="Q121" s="157">
        <v>6.3</v>
      </c>
    </row>
    <row r="122" spans="1:17" ht="31.2" thickBot="1" x14ac:dyDescent="0.3">
      <c r="A122" s="170" t="s">
        <v>168</v>
      </c>
      <c r="B122" s="161">
        <v>58.41</v>
      </c>
      <c r="C122" s="161">
        <v>100</v>
      </c>
      <c r="D122" s="161">
        <v>42.83</v>
      </c>
      <c r="E122" s="161">
        <v>73.3</v>
      </c>
      <c r="F122" s="161">
        <v>15.59</v>
      </c>
      <c r="G122" s="161">
        <v>26.7</v>
      </c>
      <c r="H122" s="161">
        <v>4.42</v>
      </c>
      <c r="I122" s="161">
        <v>7.6</v>
      </c>
      <c r="J122" s="161">
        <v>0.48</v>
      </c>
      <c r="K122" s="161">
        <v>0.8</v>
      </c>
      <c r="L122" s="161">
        <v>3.98</v>
      </c>
      <c r="M122" s="161">
        <v>6.8</v>
      </c>
      <c r="N122" s="161">
        <v>2.73</v>
      </c>
      <c r="O122" s="161">
        <v>4.7</v>
      </c>
      <c r="P122" s="161">
        <v>3.98</v>
      </c>
      <c r="Q122" s="161">
        <v>6.8</v>
      </c>
    </row>
    <row r="123" spans="1:17" ht="21" thickBot="1" x14ac:dyDescent="0.3">
      <c r="A123" s="168" t="s">
        <v>169</v>
      </c>
      <c r="B123" s="157">
        <v>38.340000000000003</v>
      </c>
      <c r="C123" s="157">
        <v>100</v>
      </c>
      <c r="D123" s="157">
        <v>25.89</v>
      </c>
      <c r="E123" s="157">
        <v>67.5</v>
      </c>
      <c r="F123" s="157">
        <v>12.45</v>
      </c>
      <c r="G123" s="157">
        <v>32.5</v>
      </c>
      <c r="H123" s="157">
        <v>3.97</v>
      </c>
      <c r="I123" s="157">
        <v>10.4</v>
      </c>
      <c r="J123" s="157">
        <v>0.26</v>
      </c>
      <c r="K123" s="157">
        <v>0.7</v>
      </c>
      <c r="L123" s="157">
        <v>3.83</v>
      </c>
      <c r="M123" s="157">
        <v>10</v>
      </c>
      <c r="N123" s="157">
        <v>1.82</v>
      </c>
      <c r="O123" s="157">
        <v>4.8</v>
      </c>
      <c r="P123" s="157">
        <v>2.57</v>
      </c>
      <c r="Q123" s="157">
        <v>6.7</v>
      </c>
    </row>
    <row r="124" spans="1:17" ht="41.4" thickBot="1" x14ac:dyDescent="0.3">
      <c r="A124" s="170" t="s">
        <v>171</v>
      </c>
      <c r="B124" s="161">
        <v>38.65</v>
      </c>
      <c r="C124" s="161">
        <v>100</v>
      </c>
      <c r="D124" s="161">
        <v>26.06</v>
      </c>
      <c r="E124" s="161">
        <v>67.400000000000006</v>
      </c>
      <c r="F124" s="161">
        <v>12.59</v>
      </c>
      <c r="G124" s="161">
        <v>32.6</v>
      </c>
      <c r="H124" s="161">
        <v>4.0199999999999996</v>
      </c>
      <c r="I124" s="161">
        <v>10.4</v>
      </c>
      <c r="J124" s="161">
        <v>0.26</v>
      </c>
      <c r="K124" s="161">
        <v>0.7</v>
      </c>
      <c r="L124" s="161">
        <v>3.87</v>
      </c>
      <c r="M124" s="161">
        <v>10</v>
      </c>
      <c r="N124" s="161">
        <v>1.85</v>
      </c>
      <c r="O124" s="161">
        <v>4.8</v>
      </c>
      <c r="P124" s="161">
        <v>2.59</v>
      </c>
      <c r="Q124" s="161">
        <v>6.7</v>
      </c>
    </row>
    <row r="125" spans="1:17" ht="13.8" thickBot="1" x14ac:dyDescent="0.3">
      <c r="A125" s="168" t="s">
        <v>172</v>
      </c>
      <c r="B125" s="157">
        <v>35.22</v>
      </c>
      <c r="C125" s="157">
        <v>100</v>
      </c>
      <c r="D125" s="157">
        <v>24.21</v>
      </c>
      <c r="E125" s="157">
        <v>68.7</v>
      </c>
      <c r="F125" s="157">
        <v>11.01</v>
      </c>
      <c r="G125" s="157">
        <v>31.3</v>
      </c>
      <c r="H125" s="157">
        <v>2.66</v>
      </c>
      <c r="I125" s="157">
        <v>7.6</v>
      </c>
      <c r="J125" s="157">
        <v>0.46</v>
      </c>
      <c r="K125" s="157">
        <v>1.3</v>
      </c>
      <c r="L125" s="157">
        <v>3.36</v>
      </c>
      <c r="M125" s="157">
        <v>9.5</v>
      </c>
      <c r="N125" s="157">
        <v>1.98</v>
      </c>
      <c r="O125" s="157">
        <v>5.6</v>
      </c>
      <c r="P125" s="157">
        <v>2.54</v>
      </c>
      <c r="Q125" s="157">
        <v>7.2</v>
      </c>
    </row>
    <row r="126" spans="1:17" ht="51.6" thickBot="1" x14ac:dyDescent="0.3">
      <c r="A126" s="167" t="s">
        <v>202</v>
      </c>
      <c r="B126" s="161">
        <v>70.5</v>
      </c>
      <c r="C126" s="161">
        <v>100</v>
      </c>
      <c r="D126" s="161">
        <v>48.7</v>
      </c>
      <c r="E126" s="161">
        <v>69.099999999999994</v>
      </c>
      <c r="F126" s="161">
        <v>21.8</v>
      </c>
      <c r="G126" s="161">
        <v>30.9</v>
      </c>
      <c r="H126" s="161">
        <v>6.82</v>
      </c>
      <c r="I126" s="161">
        <v>9.6999999999999993</v>
      </c>
      <c r="J126" s="161">
        <v>0.72</v>
      </c>
      <c r="K126" s="161">
        <v>1</v>
      </c>
      <c r="L126" s="161">
        <v>5.89</v>
      </c>
      <c r="M126" s="161">
        <v>8.4</v>
      </c>
      <c r="N126" s="161">
        <v>3.97</v>
      </c>
      <c r="O126" s="161">
        <v>5.6</v>
      </c>
      <c r="P126" s="161">
        <v>4.4000000000000004</v>
      </c>
      <c r="Q126" s="161">
        <v>6.2</v>
      </c>
    </row>
    <row r="127" spans="1:17" ht="31.2" thickBot="1" x14ac:dyDescent="0.3">
      <c r="A127" s="165" t="s">
        <v>203</v>
      </c>
      <c r="B127" s="157">
        <v>48.43</v>
      </c>
      <c r="C127" s="157">
        <v>100</v>
      </c>
      <c r="D127" s="157">
        <v>34.25</v>
      </c>
      <c r="E127" s="157">
        <v>70.7</v>
      </c>
      <c r="F127" s="157">
        <v>14.18</v>
      </c>
      <c r="G127" s="157">
        <v>29.3</v>
      </c>
      <c r="H127" s="157">
        <v>4.05</v>
      </c>
      <c r="I127" s="157">
        <v>8.4</v>
      </c>
      <c r="J127" s="157">
        <v>1.75</v>
      </c>
      <c r="K127" s="157">
        <v>3.6</v>
      </c>
      <c r="L127" s="157">
        <v>3.61</v>
      </c>
      <c r="M127" s="157">
        <v>7.5</v>
      </c>
      <c r="N127" s="157">
        <v>1.43</v>
      </c>
      <c r="O127" s="157">
        <v>3</v>
      </c>
      <c r="P127" s="157">
        <v>3.34</v>
      </c>
      <c r="Q127" s="157">
        <v>6.9</v>
      </c>
    </row>
    <row r="128" spans="1:17" ht="21" thickBot="1" x14ac:dyDescent="0.3">
      <c r="A128" s="167" t="s">
        <v>204</v>
      </c>
      <c r="B128" s="161">
        <v>77.52</v>
      </c>
      <c r="C128" s="161">
        <v>100</v>
      </c>
      <c r="D128" s="161">
        <v>51.27</v>
      </c>
      <c r="E128" s="161">
        <v>66.099999999999994</v>
      </c>
      <c r="F128" s="161">
        <v>26.25</v>
      </c>
      <c r="G128" s="161">
        <v>33.9</v>
      </c>
      <c r="H128" s="161">
        <v>7.44</v>
      </c>
      <c r="I128" s="161">
        <v>9.6</v>
      </c>
      <c r="J128" s="161">
        <v>4.08</v>
      </c>
      <c r="K128" s="161">
        <v>5.3</v>
      </c>
      <c r="L128" s="161">
        <v>5.99</v>
      </c>
      <c r="M128" s="161">
        <v>7.7</v>
      </c>
      <c r="N128" s="161">
        <v>3.55</v>
      </c>
      <c r="O128" s="161">
        <v>4.5999999999999996</v>
      </c>
      <c r="P128" s="161">
        <v>5.19</v>
      </c>
      <c r="Q128" s="161">
        <v>6.7</v>
      </c>
    </row>
    <row r="129" spans="1:17" ht="31.2" thickBot="1" x14ac:dyDescent="0.3">
      <c r="A129" s="168" t="s">
        <v>166</v>
      </c>
      <c r="B129" s="157">
        <v>68.67</v>
      </c>
      <c r="C129" s="157">
        <v>100</v>
      </c>
      <c r="D129" s="157">
        <v>48.2</v>
      </c>
      <c r="E129" s="157">
        <v>70.2</v>
      </c>
      <c r="F129" s="157">
        <v>20.47</v>
      </c>
      <c r="G129" s="157">
        <v>29.8</v>
      </c>
      <c r="H129" s="157">
        <v>6.32</v>
      </c>
      <c r="I129" s="157">
        <v>9.1999999999999993</v>
      </c>
      <c r="J129" s="157">
        <v>2.5499999999999998</v>
      </c>
      <c r="K129" s="157">
        <v>3.7</v>
      </c>
      <c r="L129" s="157">
        <v>4.83</v>
      </c>
      <c r="M129" s="157">
        <v>7</v>
      </c>
      <c r="N129" s="157">
        <v>2.3199999999999998</v>
      </c>
      <c r="O129" s="157">
        <v>3.4</v>
      </c>
      <c r="P129" s="157">
        <v>4.4400000000000004</v>
      </c>
      <c r="Q129" s="157">
        <v>6.5</v>
      </c>
    </row>
    <row r="130" spans="1:17" ht="31.2" thickBot="1" x14ac:dyDescent="0.3">
      <c r="A130" s="170" t="s">
        <v>168</v>
      </c>
      <c r="B130" s="161">
        <v>68.47</v>
      </c>
      <c r="C130" s="161">
        <v>100</v>
      </c>
      <c r="D130" s="161">
        <v>48.08</v>
      </c>
      <c r="E130" s="161">
        <v>70.2</v>
      </c>
      <c r="F130" s="161">
        <v>20.399999999999999</v>
      </c>
      <c r="G130" s="161">
        <v>29.8</v>
      </c>
      <c r="H130" s="161">
        <v>6.25</v>
      </c>
      <c r="I130" s="161">
        <v>9.1</v>
      </c>
      <c r="J130" s="161">
        <v>2.57</v>
      </c>
      <c r="K130" s="161">
        <v>3.8</v>
      </c>
      <c r="L130" s="161">
        <v>4.8</v>
      </c>
      <c r="M130" s="161">
        <v>7</v>
      </c>
      <c r="N130" s="161">
        <v>2.33</v>
      </c>
      <c r="O130" s="161">
        <v>3.4</v>
      </c>
      <c r="P130" s="161">
        <v>4.4400000000000004</v>
      </c>
      <c r="Q130" s="161">
        <v>6.5</v>
      </c>
    </row>
    <row r="131" spans="1:17" ht="21" thickBot="1" x14ac:dyDescent="0.3">
      <c r="A131" s="168" t="s">
        <v>169</v>
      </c>
      <c r="B131" s="157">
        <v>33.85</v>
      </c>
      <c r="C131" s="157">
        <v>100</v>
      </c>
      <c r="D131" s="157">
        <v>23.26</v>
      </c>
      <c r="E131" s="157">
        <v>68.7</v>
      </c>
      <c r="F131" s="157">
        <v>10.59</v>
      </c>
      <c r="G131" s="157">
        <v>31.3</v>
      </c>
      <c r="H131" s="157">
        <v>2.66</v>
      </c>
      <c r="I131" s="157">
        <v>7.8</v>
      </c>
      <c r="J131" s="157">
        <v>0.68</v>
      </c>
      <c r="K131" s="157">
        <v>2</v>
      </c>
      <c r="L131" s="157">
        <v>4.22</v>
      </c>
      <c r="M131" s="157">
        <v>12.5</v>
      </c>
      <c r="N131" s="157">
        <v>0.76</v>
      </c>
      <c r="O131" s="157">
        <v>2.2000000000000002</v>
      </c>
      <c r="P131" s="157">
        <v>2.27</v>
      </c>
      <c r="Q131" s="157">
        <v>6.7</v>
      </c>
    </row>
    <row r="132" spans="1:17" ht="41.4" thickBot="1" x14ac:dyDescent="0.3">
      <c r="A132" s="170" t="s">
        <v>171</v>
      </c>
      <c r="B132" s="161">
        <v>33.6</v>
      </c>
      <c r="C132" s="161">
        <v>100</v>
      </c>
      <c r="D132" s="161">
        <v>23.08</v>
      </c>
      <c r="E132" s="161">
        <v>68.7</v>
      </c>
      <c r="F132" s="161">
        <v>10.52</v>
      </c>
      <c r="G132" s="161">
        <v>31.3</v>
      </c>
      <c r="H132" s="161">
        <v>2.64</v>
      </c>
      <c r="I132" s="161">
        <v>7.9</v>
      </c>
      <c r="J132" s="161">
        <v>0.67</v>
      </c>
      <c r="K132" s="161">
        <v>2</v>
      </c>
      <c r="L132" s="161">
        <v>4.2</v>
      </c>
      <c r="M132" s="161">
        <v>12.5</v>
      </c>
      <c r="N132" s="161">
        <v>0.76</v>
      </c>
      <c r="O132" s="161">
        <v>2.2999999999999998</v>
      </c>
      <c r="P132" s="161">
        <v>2.2599999999999998</v>
      </c>
      <c r="Q132" s="161">
        <v>6.7</v>
      </c>
    </row>
    <row r="133" spans="1:17" ht="13.8" thickBot="1" x14ac:dyDescent="0.3">
      <c r="A133" s="168" t="s">
        <v>172</v>
      </c>
      <c r="B133" s="157">
        <v>27.04</v>
      </c>
      <c r="C133" s="157">
        <v>100</v>
      </c>
      <c r="D133" s="157">
        <v>19.75</v>
      </c>
      <c r="E133" s="157">
        <v>73</v>
      </c>
      <c r="F133" s="157">
        <v>7.29</v>
      </c>
      <c r="G133" s="157">
        <v>27</v>
      </c>
      <c r="H133" s="157">
        <v>1.58</v>
      </c>
      <c r="I133" s="157">
        <v>5.8</v>
      </c>
      <c r="J133" s="157">
        <v>1.06</v>
      </c>
      <c r="K133" s="157">
        <v>3.9</v>
      </c>
      <c r="L133" s="157">
        <v>1.92</v>
      </c>
      <c r="M133" s="157">
        <v>7.1</v>
      </c>
      <c r="N133" s="157">
        <v>0.5</v>
      </c>
      <c r="O133" s="157">
        <v>1.8</v>
      </c>
      <c r="P133" s="157">
        <v>2.23</v>
      </c>
      <c r="Q133" s="157">
        <v>8.3000000000000007</v>
      </c>
    </row>
    <row r="134" spans="1:17" ht="13.8" thickBot="1" x14ac:dyDescent="0.3">
      <c r="A134" s="167" t="s">
        <v>205</v>
      </c>
      <c r="B134" s="161">
        <v>65.650000000000006</v>
      </c>
      <c r="C134" s="161">
        <v>100</v>
      </c>
      <c r="D134" s="161">
        <v>43.18</v>
      </c>
      <c r="E134" s="161">
        <v>65.8</v>
      </c>
      <c r="F134" s="161">
        <v>22.47</v>
      </c>
      <c r="G134" s="161">
        <v>34.200000000000003</v>
      </c>
      <c r="H134" s="161">
        <v>6.38</v>
      </c>
      <c r="I134" s="161">
        <v>9.6999999999999993</v>
      </c>
      <c r="J134" s="161">
        <v>3.27</v>
      </c>
      <c r="K134" s="161">
        <v>5</v>
      </c>
      <c r="L134" s="161">
        <v>5.65</v>
      </c>
      <c r="M134" s="161">
        <v>8.6</v>
      </c>
      <c r="N134" s="161">
        <v>2.93</v>
      </c>
      <c r="O134" s="161">
        <v>4.5</v>
      </c>
      <c r="P134" s="161">
        <v>4.25</v>
      </c>
      <c r="Q134" s="161">
        <v>6.5</v>
      </c>
    </row>
    <row r="135" spans="1:17" ht="41.4" thickBot="1" x14ac:dyDescent="0.3">
      <c r="A135" s="169" t="s">
        <v>166</v>
      </c>
      <c r="B135" s="157">
        <v>78.78</v>
      </c>
      <c r="C135" s="157">
        <v>100</v>
      </c>
      <c r="D135" s="157">
        <v>52.03</v>
      </c>
      <c r="E135" s="157">
        <v>66</v>
      </c>
      <c r="F135" s="157">
        <v>26.75</v>
      </c>
      <c r="G135" s="157">
        <v>34</v>
      </c>
      <c r="H135" s="157">
        <v>7.99</v>
      </c>
      <c r="I135" s="157">
        <v>10.1</v>
      </c>
      <c r="J135" s="157">
        <v>3.92</v>
      </c>
      <c r="K135" s="157">
        <v>5</v>
      </c>
      <c r="L135" s="157">
        <v>6.23</v>
      </c>
      <c r="M135" s="157">
        <v>7.9</v>
      </c>
      <c r="N135" s="157">
        <v>3.59</v>
      </c>
      <c r="O135" s="157">
        <v>4.5999999999999996</v>
      </c>
      <c r="P135" s="157">
        <v>5.01</v>
      </c>
      <c r="Q135" s="157">
        <v>6.4</v>
      </c>
    </row>
    <row r="136" spans="1:17" ht="21" thickBot="1" x14ac:dyDescent="0.3">
      <c r="A136" s="170" t="s">
        <v>204</v>
      </c>
      <c r="B136" s="161">
        <v>79.2</v>
      </c>
      <c r="C136" s="161">
        <v>100</v>
      </c>
      <c r="D136" s="161">
        <v>51.49</v>
      </c>
      <c r="E136" s="161">
        <v>65</v>
      </c>
      <c r="F136" s="161">
        <v>27.71</v>
      </c>
      <c r="G136" s="161">
        <v>35</v>
      </c>
      <c r="H136" s="161">
        <v>7.82</v>
      </c>
      <c r="I136" s="161">
        <v>9.9</v>
      </c>
      <c r="J136" s="161">
        <v>4.53</v>
      </c>
      <c r="K136" s="161">
        <v>5.7</v>
      </c>
      <c r="L136" s="161">
        <v>6.47</v>
      </c>
      <c r="M136" s="161">
        <v>8.1999999999999993</v>
      </c>
      <c r="N136" s="161">
        <v>3.69</v>
      </c>
      <c r="O136" s="161">
        <v>4.7</v>
      </c>
      <c r="P136" s="161">
        <v>5.2</v>
      </c>
      <c r="Q136" s="161">
        <v>6.6</v>
      </c>
    </row>
    <row r="137" spans="1:17" ht="21" thickBot="1" x14ac:dyDescent="0.3">
      <c r="A137" s="169" t="s">
        <v>172</v>
      </c>
      <c r="B137" s="157">
        <v>35.6</v>
      </c>
      <c r="C137" s="157">
        <v>100</v>
      </c>
      <c r="D137" s="157">
        <v>22.94</v>
      </c>
      <c r="E137" s="157">
        <v>64.5</v>
      </c>
      <c r="F137" s="157">
        <v>12.65</v>
      </c>
      <c r="G137" s="157">
        <v>35.5</v>
      </c>
      <c r="H137" s="157">
        <v>2.5099999999999998</v>
      </c>
      <c r="I137" s="157">
        <v>7.1</v>
      </c>
      <c r="J137" s="157">
        <v>2.1</v>
      </c>
      <c r="K137" s="157">
        <v>5.9</v>
      </c>
      <c r="L137" s="157">
        <v>3.99</v>
      </c>
      <c r="M137" s="157">
        <v>11.2</v>
      </c>
      <c r="N137" s="157">
        <v>1.49</v>
      </c>
      <c r="O137" s="157">
        <v>4.2</v>
      </c>
      <c r="P137" s="157">
        <v>2.5499999999999998</v>
      </c>
      <c r="Q137" s="157">
        <v>7.2</v>
      </c>
    </row>
    <row r="138" spans="1:17" ht="31.2" thickBot="1" x14ac:dyDescent="0.3">
      <c r="A138" s="167" t="s">
        <v>206</v>
      </c>
      <c r="B138" s="161">
        <v>33.33</v>
      </c>
      <c r="C138" s="161">
        <v>100</v>
      </c>
      <c r="D138" s="161">
        <v>24.22</v>
      </c>
      <c r="E138" s="161">
        <v>72.7</v>
      </c>
      <c r="F138" s="161">
        <v>9.1</v>
      </c>
      <c r="G138" s="161">
        <v>27.3</v>
      </c>
      <c r="H138" s="161">
        <v>2.33</v>
      </c>
      <c r="I138" s="161">
        <v>7</v>
      </c>
      <c r="J138" s="161">
        <v>1.1000000000000001</v>
      </c>
      <c r="K138" s="161">
        <v>3.3</v>
      </c>
      <c r="L138" s="161">
        <v>2.5</v>
      </c>
      <c r="M138" s="161">
        <v>7.5</v>
      </c>
      <c r="N138" s="161">
        <v>0.59</v>
      </c>
      <c r="O138" s="161">
        <v>1.8</v>
      </c>
      <c r="P138" s="161">
        <v>2.58</v>
      </c>
      <c r="Q138" s="161">
        <v>7.7</v>
      </c>
    </row>
    <row r="139" spans="1:17" ht="41.4" thickBot="1" x14ac:dyDescent="0.3">
      <c r="A139" s="169" t="s">
        <v>166</v>
      </c>
      <c r="B139" s="157">
        <v>49.59</v>
      </c>
      <c r="C139" s="157">
        <v>100</v>
      </c>
      <c r="D139" s="157">
        <v>36</v>
      </c>
      <c r="E139" s="157">
        <v>72.599999999999994</v>
      </c>
      <c r="F139" s="157">
        <v>13.59</v>
      </c>
      <c r="G139" s="157">
        <v>27.4</v>
      </c>
      <c r="H139" s="157">
        <v>3.94</v>
      </c>
      <c r="I139" s="157">
        <v>7.9</v>
      </c>
      <c r="J139" s="157">
        <v>1.46</v>
      </c>
      <c r="K139" s="157">
        <v>3</v>
      </c>
      <c r="L139" s="157">
        <v>3.5</v>
      </c>
      <c r="M139" s="157">
        <v>7.1</v>
      </c>
      <c r="N139" s="157">
        <v>1.1100000000000001</v>
      </c>
      <c r="O139" s="157">
        <v>2.2000000000000002</v>
      </c>
      <c r="P139" s="157">
        <v>3.58</v>
      </c>
      <c r="Q139" s="157">
        <v>7.2</v>
      </c>
    </row>
    <row r="140" spans="1:17" ht="21" thickBot="1" x14ac:dyDescent="0.3">
      <c r="A140" s="170" t="s">
        <v>172</v>
      </c>
      <c r="B140" s="161">
        <v>27</v>
      </c>
      <c r="C140" s="161">
        <v>100</v>
      </c>
      <c r="D140" s="161">
        <v>19.7</v>
      </c>
      <c r="E140" s="161">
        <v>73</v>
      </c>
      <c r="F140" s="161">
        <v>7.3</v>
      </c>
      <c r="G140" s="161">
        <v>27</v>
      </c>
      <c r="H140" s="161">
        <v>1.65</v>
      </c>
      <c r="I140" s="161">
        <v>6.1</v>
      </c>
      <c r="J140" s="161">
        <v>1.02</v>
      </c>
      <c r="K140" s="161">
        <v>3.8</v>
      </c>
      <c r="L140" s="161">
        <v>2.02</v>
      </c>
      <c r="M140" s="161">
        <v>7.5</v>
      </c>
      <c r="N140" s="161">
        <v>0.39</v>
      </c>
      <c r="O140" s="161">
        <v>1.4</v>
      </c>
      <c r="P140" s="161">
        <v>2.2200000000000002</v>
      </c>
      <c r="Q140" s="161">
        <v>8.1999999999999993</v>
      </c>
    </row>
    <row r="141" spans="1:17" ht="21" thickBot="1" x14ac:dyDescent="0.3">
      <c r="A141" s="168" t="s">
        <v>207</v>
      </c>
      <c r="B141" s="157">
        <v>35.29</v>
      </c>
      <c r="C141" s="157">
        <v>100</v>
      </c>
      <c r="D141" s="157">
        <v>25.92</v>
      </c>
      <c r="E141" s="157">
        <v>73.400000000000006</v>
      </c>
      <c r="F141" s="157">
        <v>9.3699999999999992</v>
      </c>
      <c r="G141" s="157">
        <v>26.6</v>
      </c>
      <c r="H141" s="157">
        <v>2.2799999999999998</v>
      </c>
      <c r="I141" s="157">
        <v>6.5</v>
      </c>
      <c r="J141" s="157">
        <v>1.29</v>
      </c>
      <c r="K141" s="157">
        <v>3.7</v>
      </c>
      <c r="L141" s="157">
        <v>2.5099999999999998</v>
      </c>
      <c r="M141" s="157">
        <v>7.1</v>
      </c>
      <c r="N141" s="157">
        <v>0.61</v>
      </c>
      <c r="O141" s="157">
        <v>1.7</v>
      </c>
      <c r="P141" s="157">
        <v>2.68</v>
      </c>
      <c r="Q141" s="157">
        <v>7.6</v>
      </c>
    </row>
    <row r="142" spans="1:17" ht="41.4" thickBot="1" x14ac:dyDescent="0.3">
      <c r="A142" s="170" t="s">
        <v>166</v>
      </c>
      <c r="B142" s="161">
        <v>51.54</v>
      </c>
      <c r="C142" s="161">
        <v>100</v>
      </c>
      <c r="D142" s="161">
        <v>38.26</v>
      </c>
      <c r="E142" s="161">
        <v>74.2</v>
      </c>
      <c r="F142" s="161">
        <v>13.28</v>
      </c>
      <c r="G142" s="161">
        <v>25.8</v>
      </c>
      <c r="H142" s="161">
        <v>3.47</v>
      </c>
      <c r="I142" s="161">
        <v>6.7</v>
      </c>
      <c r="J142" s="161">
        <v>1.91</v>
      </c>
      <c r="K142" s="161">
        <v>3.7</v>
      </c>
      <c r="L142" s="161">
        <v>3.12</v>
      </c>
      <c r="M142" s="161">
        <v>6.1</v>
      </c>
      <c r="N142" s="161">
        <v>1.05</v>
      </c>
      <c r="O142" s="161">
        <v>2</v>
      </c>
      <c r="P142" s="161">
        <v>3.73</v>
      </c>
      <c r="Q142" s="161">
        <v>7.2</v>
      </c>
    </row>
    <row r="143" spans="1:17" ht="21" thickBot="1" x14ac:dyDescent="0.3">
      <c r="A143" s="169" t="s">
        <v>172</v>
      </c>
      <c r="B143" s="157">
        <v>27.88</v>
      </c>
      <c r="C143" s="157">
        <v>100</v>
      </c>
      <c r="D143" s="157">
        <v>20.260000000000002</v>
      </c>
      <c r="E143" s="157">
        <v>72.7</v>
      </c>
      <c r="F143" s="157">
        <v>7.61</v>
      </c>
      <c r="G143" s="157">
        <v>27.3</v>
      </c>
      <c r="H143" s="157">
        <v>1.7</v>
      </c>
      <c r="I143" s="157">
        <v>6.1</v>
      </c>
      <c r="J143" s="157">
        <v>1.0900000000000001</v>
      </c>
      <c r="K143" s="157">
        <v>3.9</v>
      </c>
      <c r="L143" s="157">
        <v>2.17</v>
      </c>
      <c r="M143" s="157">
        <v>7.8</v>
      </c>
      <c r="N143" s="157">
        <v>0.42</v>
      </c>
      <c r="O143" s="157">
        <v>1.5</v>
      </c>
      <c r="P143" s="157">
        <v>2.23</v>
      </c>
      <c r="Q143" s="157">
        <v>8</v>
      </c>
    </row>
    <row r="144" spans="1:17" ht="21" thickBot="1" x14ac:dyDescent="0.3">
      <c r="A144" s="160" t="s">
        <v>208</v>
      </c>
      <c r="B144" s="161">
        <v>20.9</v>
      </c>
      <c r="C144" s="161">
        <v>100</v>
      </c>
      <c r="D144" s="161">
        <v>16.93</v>
      </c>
      <c r="E144" s="161">
        <v>81</v>
      </c>
      <c r="F144" s="161">
        <v>3.97</v>
      </c>
      <c r="G144" s="161">
        <v>19</v>
      </c>
      <c r="H144" s="161">
        <v>0.7</v>
      </c>
      <c r="I144" s="161">
        <v>3.3</v>
      </c>
      <c r="J144" s="161">
        <v>0.28000000000000003</v>
      </c>
      <c r="K144" s="161">
        <v>1.4</v>
      </c>
      <c r="L144" s="161">
        <v>0.85</v>
      </c>
      <c r="M144" s="161">
        <v>4.0999999999999996</v>
      </c>
      <c r="N144" s="161">
        <v>0.26</v>
      </c>
      <c r="O144" s="161">
        <v>1.3</v>
      </c>
      <c r="P144" s="161">
        <v>1.88</v>
      </c>
      <c r="Q144" s="161">
        <v>9</v>
      </c>
    </row>
    <row r="145" spans="1:17" ht="21" thickBot="1" x14ac:dyDescent="0.3">
      <c r="A145" s="165" t="s">
        <v>169</v>
      </c>
      <c r="B145" s="157">
        <v>23.22</v>
      </c>
      <c r="C145" s="157">
        <v>100</v>
      </c>
      <c r="D145" s="157">
        <v>18.73</v>
      </c>
      <c r="E145" s="157">
        <v>80.7</v>
      </c>
      <c r="F145" s="157">
        <v>4.49</v>
      </c>
      <c r="G145" s="157">
        <v>19.3</v>
      </c>
      <c r="H145" s="157">
        <v>0.83</v>
      </c>
      <c r="I145" s="157">
        <v>3.6</v>
      </c>
      <c r="J145" s="157">
        <v>0.25</v>
      </c>
      <c r="K145" s="157">
        <v>1.1000000000000001</v>
      </c>
      <c r="L145" s="157">
        <v>1.3</v>
      </c>
      <c r="M145" s="157">
        <v>5.6</v>
      </c>
      <c r="N145" s="171" t="s">
        <v>250</v>
      </c>
      <c r="O145" s="157">
        <v>1.1000000000000001</v>
      </c>
      <c r="P145" s="157">
        <v>1.85</v>
      </c>
      <c r="Q145" s="157">
        <v>7.9</v>
      </c>
    </row>
    <row r="146" spans="1:17" ht="13.8" thickBot="1" x14ac:dyDescent="0.3">
      <c r="A146" s="166" t="s">
        <v>172</v>
      </c>
      <c r="B146" s="161">
        <v>19.16</v>
      </c>
      <c r="C146" s="161">
        <v>100</v>
      </c>
      <c r="D146" s="161">
        <v>15.7</v>
      </c>
      <c r="E146" s="161">
        <v>81.900000000000006</v>
      </c>
      <c r="F146" s="161">
        <v>3.46</v>
      </c>
      <c r="G146" s="161">
        <v>18.100000000000001</v>
      </c>
      <c r="H146" s="161">
        <v>0.53</v>
      </c>
      <c r="I146" s="161">
        <v>2.7</v>
      </c>
      <c r="J146" s="161">
        <v>0.25</v>
      </c>
      <c r="K146" s="161">
        <v>1.3</v>
      </c>
      <c r="L146" s="161">
        <v>0.68</v>
      </c>
      <c r="M146" s="161">
        <v>3.6</v>
      </c>
      <c r="N146" s="161">
        <v>0.21</v>
      </c>
      <c r="O146" s="161">
        <v>1.1000000000000001</v>
      </c>
      <c r="P146" s="161">
        <v>1.79</v>
      </c>
      <c r="Q146" s="161">
        <v>9.3000000000000007</v>
      </c>
    </row>
    <row r="147" spans="1:17" ht="31.2" thickBot="1" x14ac:dyDescent="0.3">
      <c r="A147" s="165" t="s">
        <v>209</v>
      </c>
      <c r="B147" s="157">
        <v>19.71</v>
      </c>
      <c r="C147" s="157">
        <v>100</v>
      </c>
      <c r="D147" s="157">
        <v>15.96</v>
      </c>
      <c r="E147" s="157">
        <v>80.900000000000006</v>
      </c>
      <c r="F147" s="157">
        <v>3.76</v>
      </c>
      <c r="G147" s="157">
        <v>19.100000000000001</v>
      </c>
      <c r="H147" s="157">
        <v>0.62</v>
      </c>
      <c r="I147" s="157">
        <v>3.2</v>
      </c>
      <c r="J147" s="157">
        <v>0.26</v>
      </c>
      <c r="K147" s="157">
        <v>1.3</v>
      </c>
      <c r="L147" s="157">
        <v>0.83</v>
      </c>
      <c r="M147" s="157">
        <v>4.2</v>
      </c>
      <c r="N147" s="157">
        <v>0.24</v>
      </c>
      <c r="O147" s="157">
        <v>1.2</v>
      </c>
      <c r="P147" s="157">
        <v>1.8</v>
      </c>
      <c r="Q147" s="157">
        <v>9.1</v>
      </c>
    </row>
    <row r="148" spans="1:17" ht="13.8" thickBot="1" x14ac:dyDescent="0.3">
      <c r="A148" s="160" t="s">
        <v>210</v>
      </c>
      <c r="B148" s="161">
        <v>37.770000000000003</v>
      </c>
      <c r="C148" s="161">
        <v>100</v>
      </c>
      <c r="D148" s="161">
        <v>28.02</v>
      </c>
      <c r="E148" s="161">
        <v>74.2</v>
      </c>
      <c r="F148" s="161">
        <v>9.75</v>
      </c>
      <c r="G148" s="161">
        <v>25.8</v>
      </c>
      <c r="H148" s="161">
        <v>2.56</v>
      </c>
      <c r="I148" s="161">
        <v>6.8</v>
      </c>
      <c r="J148" s="161">
        <v>0.6</v>
      </c>
      <c r="K148" s="161">
        <v>1.6</v>
      </c>
      <c r="L148" s="161">
        <v>2.4</v>
      </c>
      <c r="M148" s="161">
        <v>6.3</v>
      </c>
      <c r="N148" s="161">
        <v>1.31</v>
      </c>
      <c r="O148" s="161">
        <v>3.5</v>
      </c>
      <c r="P148" s="161">
        <v>2.88</v>
      </c>
      <c r="Q148" s="161">
        <v>7.6</v>
      </c>
    </row>
    <row r="149" spans="1:17" x14ac:dyDescent="0.25">
      <c r="A149" s="439" t="s">
        <v>211</v>
      </c>
      <c r="B149" s="440"/>
      <c r="C149" s="440"/>
      <c r="D149" s="440"/>
      <c r="E149" s="440"/>
      <c r="F149" s="440"/>
      <c r="G149" s="440"/>
      <c r="H149" s="440"/>
      <c r="I149" s="440"/>
      <c r="J149" s="440"/>
      <c r="K149" s="440"/>
      <c r="L149" s="440"/>
      <c r="M149" s="440"/>
      <c r="N149" s="440"/>
      <c r="O149" s="440"/>
      <c r="P149" s="440"/>
      <c r="Q149" s="441"/>
    </row>
    <row r="150" spans="1:17" x14ac:dyDescent="0.25">
      <c r="A150" s="428" t="s">
        <v>251</v>
      </c>
      <c r="B150" s="429"/>
      <c r="C150" s="429"/>
      <c r="D150" s="429"/>
      <c r="E150" s="429"/>
      <c r="F150" s="429"/>
      <c r="G150" s="429"/>
      <c r="H150" s="429"/>
      <c r="I150" s="429"/>
      <c r="J150" s="429"/>
      <c r="K150" s="429"/>
      <c r="L150" s="429"/>
      <c r="M150" s="429"/>
      <c r="N150" s="429"/>
      <c r="O150" s="429"/>
      <c r="P150" s="429"/>
      <c r="Q150" s="430"/>
    </row>
    <row r="151" spans="1:17" x14ac:dyDescent="0.25">
      <c r="A151" s="428" t="s">
        <v>252</v>
      </c>
      <c r="B151" s="429"/>
      <c r="C151" s="429"/>
      <c r="D151" s="429"/>
      <c r="E151" s="429"/>
      <c r="F151" s="429"/>
      <c r="G151" s="429"/>
      <c r="H151" s="429"/>
      <c r="I151" s="429"/>
      <c r="J151" s="429"/>
      <c r="K151" s="429"/>
      <c r="L151" s="429"/>
      <c r="M151" s="429"/>
      <c r="N151" s="429"/>
      <c r="O151" s="429"/>
      <c r="P151" s="429"/>
      <c r="Q151" s="430"/>
    </row>
    <row r="152" spans="1:17" ht="42" customHeight="1" x14ac:dyDescent="0.25">
      <c r="A152" s="428" t="s">
        <v>253</v>
      </c>
      <c r="B152" s="429"/>
      <c r="C152" s="429"/>
      <c r="D152" s="429"/>
      <c r="E152" s="429"/>
      <c r="F152" s="429"/>
      <c r="G152" s="429"/>
      <c r="H152" s="429"/>
      <c r="I152" s="429"/>
      <c r="J152" s="429"/>
      <c r="K152" s="429"/>
      <c r="L152" s="429"/>
      <c r="M152" s="429"/>
      <c r="N152" s="429"/>
      <c r="O152" s="429"/>
      <c r="P152" s="429"/>
      <c r="Q152" s="430"/>
    </row>
    <row r="153" spans="1:17" ht="13.8" thickBot="1" x14ac:dyDescent="0.3">
      <c r="A153" s="431" t="s">
        <v>254</v>
      </c>
      <c r="B153" s="432"/>
      <c r="C153" s="432"/>
      <c r="D153" s="432"/>
      <c r="E153" s="432"/>
      <c r="F153" s="432"/>
      <c r="G153" s="432"/>
      <c r="H153" s="432"/>
      <c r="I153" s="432"/>
      <c r="J153" s="432"/>
      <c r="K153" s="432"/>
      <c r="L153" s="432"/>
      <c r="M153" s="432"/>
      <c r="N153" s="432"/>
      <c r="O153" s="432"/>
      <c r="P153" s="432"/>
      <c r="Q153" s="433"/>
    </row>
  </sheetData>
  <mergeCells count="18">
    <mergeCell ref="A2:J2"/>
    <mergeCell ref="A4:Q4"/>
    <mergeCell ref="A5:A6"/>
    <mergeCell ref="B5:C5"/>
    <mergeCell ref="D5:E5"/>
    <mergeCell ref="F5:G5"/>
    <mergeCell ref="H5:I5"/>
    <mergeCell ref="J5:K5"/>
    <mergeCell ref="L5:M5"/>
    <mergeCell ref="N5:O5"/>
    <mergeCell ref="A152:Q152"/>
    <mergeCell ref="A153:Q153"/>
    <mergeCell ref="P5:Q5"/>
    <mergeCell ref="B8:Q8"/>
    <mergeCell ref="B22:Q22"/>
    <mergeCell ref="A149:Q149"/>
    <mergeCell ref="A150:Q150"/>
    <mergeCell ref="A151:Q151"/>
  </mergeCells>
  <hyperlinks>
    <hyperlink ref="B5" r:id="rId1" location="ect_table4.f.1" tooltip="Click to jump to footnotes at bottom of the table" display="https://www.bls.gov/news.release/ecec.t04.htm - ect_table4.f.1" xr:uid="{74517EFF-97B8-4F11-8C0B-7455D91C8829}"/>
    <hyperlink ref="A23" r:id="rId2" location="ect_table4.f.2" tooltip="Click to jump to footnotes at bottom of the table" display="https://www.bls.gov/news.release/ecec.t04.htm - ect_table4.f.2" xr:uid="{DABBD161-018C-4F03-822C-A1481910CD2A}"/>
    <hyperlink ref="J95" r:id="rId3" location="ect_table4.f.4" tooltip="Click to jump to footnotes at bottom of the table" display="https://www.bls.gov/news.release/ecec.t04.htm - ect_table4.f.4" xr:uid="{4E930C13-4A7E-4872-9D3F-57D2C5B6045A}"/>
    <hyperlink ref="N109" r:id="rId4" location="ect_table4.f.4" tooltip="Click to jump to footnotes at bottom of the table" display="https://www.bls.gov/news.release/ecec.t04.htm - ect_table4.f.4" xr:uid="{E274F64F-0F44-4D6E-BC96-8AA791A2B02D}"/>
    <hyperlink ref="O109" r:id="rId5" location="ect_table4.f.4" tooltip="Click to jump to footnotes at bottom of the table" display="https://www.bls.gov/news.release/ecec.t04.htm - ect_table4.f.4" xr:uid="{C2024015-120D-4C3B-81D8-7CB27B07813E}"/>
    <hyperlink ref="N145" r:id="rId6" location="ect_table4.f.4" tooltip="Click to jump to footnotes at bottom of the table" display="https://www.bls.gov/news.release/ecec.t04.htm - ect_table4.f.4" xr:uid="{F51C797C-978B-4F19-AF4C-6AC874BBAE5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6203-2B30-4691-AA8C-C6EC3751C37E}">
  <sheetPr>
    <tabColor theme="7" tint="0.79998168889431442"/>
  </sheetPr>
  <dimension ref="A1:Q26"/>
  <sheetViews>
    <sheetView workbookViewId="0">
      <selection activeCell="A3" sqref="A3"/>
    </sheetView>
  </sheetViews>
  <sheetFormatPr defaultRowHeight="14.4" x14ac:dyDescent="0.3"/>
  <cols>
    <col min="1" max="1" width="30.21875" customWidth="1"/>
  </cols>
  <sheetData>
    <row r="1" spans="1:17" ht="18.600000000000001" x14ac:dyDescent="0.3">
      <c r="A1" s="191" t="s">
        <v>276</v>
      </c>
    </row>
    <row r="2" spans="1:17" x14ac:dyDescent="0.3">
      <c r="A2" s="192"/>
    </row>
    <row r="3" spans="1:17" x14ac:dyDescent="0.3">
      <c r="A3" s="190" t="s">
        <v>277</v>
      </c>
    </row>
    <row r="4" spans="1:17" ht="15" thickBot="1" x14ac:dyDescent="0.35"/>
    <row r="5" spans="1:17" ht="28.8" customHeight="1" thickBot="1" x14ac:dyDescent="0.35">
      <c r="A5" s="463" t="s">
        <v>153</v>
      </c>
      <c r="B5" s="465" t="s">
        <v>154</v>
      </c>
      <c r="C5" s="466"/>
      <c r="D5" s="455" t="s">
        <v>155</v>
      </c>
      <c r="E5" s="456"/>
      <c r="F5" s="455" t="s">
        <v>156</v>
      </c>
      <c r="G5" s="456"/>
      <c r="H5" s="455" t="s">
        <v>157</v>
      </c>
      <c r="I5" s="456"/>
      <c r="J5" s="455" t="s">
        <v>158</v>
      </c>
      <c r="K5" s="456"/>
      <c r="L5" s="455" t="s">
        <v>159</v>
      </c>
      <c r="M5" s="456"/>
      <c r="N5" s="455" t="s">
        <v>160</v>
      </c>
      <c r="O5" s="456"/>
      <c r="P5" s="455" t="s">
        <v>161</v>
      </c>
      <c r="Q5" s="456"/>
    </row>
    <row r="6" spans="1:17" ht="15" thickBot="1" x14ac:dyDescent="0.35">
      <c r="A6" s="464"/>
      <c r="B6" s="185" t="s">
        <v>162</v>
      </c>
      <c r="C6" s="185" t="s">
        <v>163</v>
      </c>
      <c r="D6" s="185" t="s">
        <v>162</v>
      </c>
      <c r="E6" s="185" t="s">
        <v>163</v>
      </c>
      <c r="F6" s="185" t="s">
        <v>162</v>
      </c>
      <c r="G6" s="185" t="s">
        <v>163</v>
      </c>
      <c r="H6" s="185" t="s">
        <v>162</v>
      </c>
      <c r="I6" s="185" t="s">
        <v>163</v>
      </c>
      <c r="J6" s="185" t="s">
        <v>162</v>
      </c>
      <c r="K6" s="185" t="s">
        <v>163</v>
      </c>
      <c r="L6" s="185" t="s">
        <v>162</v>
      </c>
      <c r="M6" s="185" t="s">
        <v>163</v>
      </c>
      <c r="N6" s="185" t="s">
        <v>162</v>
      </c>
      <c r="O6" s="185" t="s">
        <v>163</v>
      </c>
      <c r="P6" s="185" t="s">
        <v>162</v>
      </c>
      <c r="Q6" s="185" t="s">
        <v>163</v>
      </c>
    </row>
    <row r="7" spans="1:17" ht="15" thickBot="1" x14ac:dyDescent="0.35">
      <c r="A7" s="186" t="s">
        <v>259</v>
      </c>
      <c r="B7" s="187">
        <v>65.680000000000007</v>
      </c>
      <c r="C7" s="187">
        <v>100</v>
      </c>
      <c r="D7" s="187">
        <v>40.49</v>
      </c>
      <c r="E7" s="187">
        <v>61.7</v>
      </c>
      <c r="F7" s="187">
        <v>25.19</v>
      </c>
      <c r="G7" s="187">
        <v>38.299999999999997</v>
      </c>
      <c r="H7" s="187">
        <v>4.84</v>
      </c>
      <c r="I7" s="187">
        <v>7.4</v>
      </c>
      <c r="J7" s="187">
        <v>0.69</v>
      </c>
      <c r="K7" s="187">
        <v>1</v>
      </c>
      <c r="L7" s="187">
        <v>7.49</v>
      </c>
      <c r="M7" s="187">
        <v>11.4</v>
      </c>
      <c r="N7" s="187">
        <v>8.69</v>
      </c>
      <c r="O7" s="187">
        <v>13.2</v>
      </c>
      <c r="P7" s="187">
        <v>3.48</v>
      </c>
      <c r="Q7" s="187">
        <v>5.3</v>
      </c>
    </row>
    <row r="8" spans="1:17" ht="15" thickBot="1" x14ac:dyDescent="0.35">
      <c r="A8" s="188" t="s">
        <v>165</v>
      </c>
      <c r="B8" s="457"/>
      <c r="C8" s="458"/>
      <c r="D8" s="458"/>
      <c r="E8" s="458"/>
      <c r="F8" s="458"/>
      <c r="G8" s="458"/>
      <c r="H8" s="458"/>
      <c r="I8" s="458"/>
      <c r="J8" s="458"/>
      <c r="K8" s="458"/>
      <c r="L8" s="458"/>
      <c r="M8" s="458"/>
      <c r="N8" s="458"/>
      <c r="O8" s="458"/>
      <c r="P8" s="458"/>
      <c r="Q8" s="459"/>
    </row>
    <row r="9" spans="1:17" ht="15" thickBot="1" x14ac:dyDescent="0.35">
      <c r="A9" s="199" t="s">
        <v>260</v>
      </c>
      <c r="B9" s="187">
        <v>77.94</v>
      </c>
      <c r="C9" s="187">
        <v>100</v>
      </c>
      <c r="D9" s="187">
        <v>49.75</v>
      </c>
      <c r="E9" s="187">
        <v>63.8</v>
      </c>
      <c r="F9" s="187">
        <v>28.19</v>
      </c>
      <c r="G9" s="187">
        <v>36.200000000000003</v>
      </c>
      <c r="H9" s="187">
        <v>5.36</v>
      </c>
      <c r="I9" s="187">
        <v>6.9</v>
      </c>
      <c r="J9" s="187">
        <v>0.49</v>
      </c>
      <c r="K9" s="187">
        <v>0.6</v>
      </c>
      <c r="L9" s="187">
        <v>8.15</v>
      </c>
      <c r="M9" s="187">
        <v>10.5</v>
      </c>
      <c r="N9" s="187">
        <v>10.31</v>
      </c>
      <c r="O9" s="187">
        <v>13.2</v>
      </c>
      <c r="P9" s="187">
        <v>3.88</v>
      </c>
      <c r="Q9" s="187">
        <v>5</v>
      </c>
    </row>
    <row r="10" spans="1:17" ht="15" thickBot="1" x14ac:dyDescent="0.35">
      <c r="A10" s="200" t="s">
        <v>261</v>
      </c>
      <c r="B10" s="189">
        <v>75.63</v>
      </c>
      <c r="C10" s="189">
        <v>100</v>
      </c>
      <c r="D10" s="189">
        <v>48.6</v>
      </c>
      <c r="E10" s="189">
        <v>64.3</v>
      </c>
      <c r="F10" s="189">
        <v>27.03</v>
      </c>
      <c r="G10" s="189">
        <v>35.700000000000003</v>
      </c>
      <c r="H10" s="189">
        <v>4.75</v>
      </c>
      <c r="I10" s="189">
        <v>6.3</v>
      </c>
      <c r="J10" s="189">
        <v>0.48</v>
      </c>
      <c r="K10" s="189">
        <v>0.6</v>
      </c>
      <c r="L10" s="189">
        <v>8.1199999999999992</v>
      </c>
      <c r="M10" s="189">
        <v>10.7</v>
      </c>
      <c r="N10" s="189">
        <v>9.9499999999999993</v>
      </c>
      <c r="O10" s="189">
        <v>13.2</v>
      </c>
      <c r="P10" s="189">
        <v>3.74</v>
      </c>
      <c r="Q10" s="189">
        <v>4.9000000000000004</v>
      </c>
    </row>
    <row r="11" spans="1:17" ht="15" thickBot="1" x14ac:dyDescent="0.35">
      <c r="A11" s="193" t="s">
        <v>262</v>
      </c>
      <c r="B11" s="187">
        <v>85</v>
      </c>
      <c r="C11" s="187">
        <v>100</v>
      </c>
      <c r="D11" s="187">
        <v>56.09</v>
      </c>
      <c r="E11" s="187">
        <v>66</v>
      </c>
      <c r="F11" s="187">
        <v>28.91</v>
      </c>
      <c r="G11" s="187">
        <v>34</v>
      </c>
      <c r="H11" s="187">
        <v>4.0199999999999996</v>
      </c>
      <c r="I11" s="187">
        <v>4.7</v>
      </c>
      <c r="J11" s="187">
        <v>0.31</v>
      </c>
      <c r="K11" s="187">
        <v>0.4</v>
      </c>
      <c r="L11" s="187">
        <v>8.68</v>
      </c>
      <c r="M11" s="187">
        <v>10.199999999999999</v>
      </c>
      <c r="N11" s="187">
        <v>12</v>
      </c>
      <c r="O11" s="187">
        <v>14.1</v>
      </c>
      <c r="P11" s="187">
        <v>3.9</v>
      </c>
      <c r="Q11" s="187">
        <v>4.5999999999999996</v>
      </c>
    </row>
    <row r="12" spans="1:17" ht="15" thickBot="1" x14ac:dyDescent="0.35">
      <c r="A12" s="195" t="s">
        <v>263</v>
      </c>
      <c r="B12" s="189">
        <v>83.76</v>
      </c>
      <c r="C12" s="189">
        <v>100</v>
      </c>
      <c r="D12" s="189">
        <v>54.46</v>
      </c>
      <c r="E12" s="189">
        <v>65</v>
      </c>
      <c r="F12" s="189">
        <v>29.3</v>
      </c>
      <c r="G12" s="189">
        <v>35</v>
      </c>
      <c r="H12" s="189">
        <v>3.6</v>
      </c>
      <c r="I12" s="189">
        <v>4.3</v>
      </c>
      <c r="J12" s="189">
        <v>0.28999999999999998</v>
      </c>
      <c r="K12" s="189">
        <v>0.3</v>
      </c>
      <c r="L12" s="189">
        <v>9.0399999999999991</v>
      </c>
      <c r="M12" s="189">
        <v>10.8</v>
      </c>
      <c r="N12" s="189">
        <v>12.75</v>
      </c>
      <c r="O12" s="189">
        <v>15.2</v>
      </c>
      <c r="P12" s="189">
        <v>3.62</v>
      </c>
      <c r="Q12" s="189">
        <v>4.3</v>
      </c>
    </row>
    <row r="13" spans="1:17" ht="15" thickBot="1" x14ac:dyDescent="0.35">
      <c r="A13" s="186" t="s">
        <v>264</v>
      </c>
      <c r="B13" s="187">
        <v>45.88</v>
      </c>
      <c r="C13" s="187">
        <v>100</v>
      </c>
      <c r="D13" s="187">
        <v>26.37</v>
      </c>
      <c r="E13" s="187">
        <v>57.5</v>
      </c>
      <c r="F13" s="187">
        <v>19.510000000000002</v>
      </c>
      <c r="G13" s="187">
        <v>42.5</v>
      </c>
      <c r="H13" s="187">
        <v>4</v>
      </c>
      <c r="I13" s="187">
        <v>8.6999999999999993</v>
      </c>
      <c r="J13" s="187">
        <v>0.4</v>
      </c>
      <c r="K13" s="187">
        <v>0.9</v>
      </c>
      <c r="L13" s="187">
        <v>7.09</v>
      </c>
      <c r="M13" s="187">
        <v>15.5</v>
      </c>
      <c r="N13" s="187">
        <v>5.33</v>
      </c>
      <c r="O13" s="187">
        <v>11.6</v>
      </c>
      <c r="P13" s="187">
        <v>2.68</v>
      </c>
      <c r="Q13" s="187">
        <v>5.8</v>
      </c>
    </row>
    <row r="14" spans="1:17" ht="15" thickBot="1" x14ac:dyDescent="0.35">
      <c r="A14" s="200" t="s">
        <v>265</v>
      </c>
      <c r="B14" s="189">
        <v>46.08</v>
      </c>
      <c r="C14" s="189">
        <v>100</v>
      </c>
      <c r="D14" s="189">
        <v>26.42</v>
      </c>
      <c r="E14" s="189">
        <v>57.3</v>
      </c>
      <c r="F14" s="189">
        <v>19.66</v>
      </c>
      <c r="G14" s="189">
        <v>42.7</v>
      </c>
      <c r="H14" s="189">
        <v>4.0199999999999996</v>
      </c>
      <c r="I14" s="189">
        <v>8.6999999999999993</v>
      </c>
      <c r="J14" s="189">
        <v>0.41</v>
      </c>
      <c r="K14" s="189">
        <v>0.9</v>
      </c>
      <c r="L14" s="189">
        <v>7.18</v>
      </c>
      <c r="M14" s="189">
        <v>15.6</v>
      </c>
      <c r="N14" s="189">
        <v>5.38</v>
      </c>
      <c r="O14" s="189">
        <v>11.7</v>
      </c>
      <c r="P14" s="189">
        <v>2.68</v>
      </c>
      <c r="Q14" s="189">
        <v>5.8</v>
      </c>
    </row>
    <row r="15" spans="1:17" ht="15" thickBot="1" x14ac:dyDescent="0.35">
      <c r="A15" s="186" t="s">
        <v>266</v>
      </c>
      <c r="B15" s="187">
        <v>50.17</v>
      </c>
      <c r="C15" s="187">
        <v>100</v>
      </c>
      <c r="D15" s="187">
        <v>28.44</v>
      </c>
      <c r="E15" s="187">
        <v>56.7</v>
      </c>
      <c r="F15" s="187">
        <v>21.73</v>
      </c>
      <c r="G15" s="187">
        <v>43.3</v>
      </c>
      <c r="H15" s="187">
        <v>4.1500000000000004</v>
      </c>
      <c r="I15" s="187">
        <v>8.3000000000000007</v>
      </c>
      <c r="J15" s="187">
        <v>1.23</v>
      </c>
      <c r="K15" s="187">
        <v>2.5</v>
      </c>
      <c r="L15" s="187">
        <v>5.99</v>
      </c>
      <c r="M15" s="187">
        <v>11.9</v>
      </c>
      <c r="N15" s="187">
        <v>7.41</v>
      </c>
      <c r="O15" s="187">
        <v>14.8</v>
      </c>
      <c r="P15" s="187">
        <v>2.95</v>
      </c>
      <c r="Q15" s="187">
        <v>5.9</v>
      </c>
    </row>
    <row r="16" spans="1:17" ht="15" thickBot="1" x14ac:dyDescent="0.35">
      <c r="A16" s="188" t="s">
        <v>267</v>
      </c>
      <c r="B16" s="457"/>
      <c r="C16" s="458"/>
      <c r="D16" s="458"/>
      <c r="E16" s="458"/>
      <c r="F16" s="458"/>
      <c r="G16" s="458"/>
      <c r="H16" s="458"/>
      <c r="I16" s="458"/>
      <c r="J16" s="458"/>
      <c r="K16" s="458"/>
      <c r="L16" s="458"/>
      <c r="M16" s="458"/>
      <c r="N16" s="458"/>
      <c r="O16" s="458"/>
      <c r="P16" s="458"/>
      <c r="Q16" s="459"/>
    </row>
    <row r="17" spans="1:17" ht="15" thickBot="1" x14ac:dyDescent="0.35">
      <c r="A17" s="196" t="s">
        <v>268</v>
      </c>
      <c r="B17" s="187">
        <v>68.08</v>
      </c>
      <c r="C17" s="187">
        <v>100</v>
      </c>
      <c r="D17" s="187">
        <v>43.46</v>
      </c>
      <c r="E17" s="187">
        <v>63.8</v>
      </c>
      <c r="F17" s="187">
        <v>24.62</v>
      </c>
      <c r="G17" s="187">
        <v>36.200000000000003</v>
      </c>
      <c r="H17" s="187">
        <v>4.3499999999999996</v>
      </c>
      <c r="I17" s="187">
        <v>6.4</v>
      </c>
      <c r="J17" s="187">
        <v>0.44</v>
      </c>
      <c r="K17" s="187">
        <v>0.7</v>
      </c>
      <c r="L17" s="187">
        <v>7.66</v>
      </c>
      <c r="M17" s="187">
        <v>11.2</v>
      </c>
      <c r="N17" s="187">
        <v>8.7899999999999991</v>
      </c>
      <c r="O17" s="187">
        <v>12.9</v>
      </c>
      <c r="P17" s="187">
        <v>3.38</v>
      </c>
      <c r="Q17" s="187">
        <v>5</v>
      </c>
    </row>
    <row r="18" spans="1:17" ht="15" thickBot="1" x14ac:dyDescent="0.35">
      <c r="A18" s="194" t="s">
        <v>269</v>
      </c>
      <c r="B18" s="189">
        <v>69.62</v>
      </c>
      <c r="C18" s="189">
        <v>100</v>
      </c>
      <c r="D18" s="189">
        <v>44.68</v>
      </c>
      <c r="E18" s="189">
        <v>64.2</v>
      </c>
      <c r="F18" s="189">
        <v>24.94</v>
      </c>
      <c r="G18" s="189">
        <v>35.799999999999997</v>
      </c>
      <c r="H18" s="189">
        <v>4.13</v>
      </c>
      <c r="I18" s="189">
        <v>5.9</v>
      </c>
      <c r="J18" s="189">
        <v>0.31</v>
      </c>
      <c r="K18" s="189">
        <v>0.4</v>
      </c>
      <c r="L18" s="189">
        <v>7.76</v>
      </c>
      <c r="M18" s="189">
        <v>11.1</v>
      </c>
      <c r="N18" s="189">
        <v>9.3800000000000008</v>
      </c>
      <c r="O18" s="189">
        <v>13.5</v>
      </c>
      <c r="P18" s="189">
        <v>3.36</v>
      </c>
      <c r="Q18" s="189">
        <v>4.8</v>
      </c>
    </row>
    <row r="19" spans="1:17" ht="15" thickBot="1" x14ac:dyDescent="0.35">
      <c r="A19" s="198" t="s">
        <v>270</v>
      </c>
      <c r="B19" s="187">
        <v>67.069999999999993</v>
      </c>
      <c r="C19" s="187">
        <v>100</v>
      </c>
      <c r="D19" s="187">
        <v>43.09</v>
      </c>
      <c r="E19" s="187">
        <v>64.2</v>
      </c>
      <c r="F19" s="187">
        <v>23.98</v>
      </c>
      <c r="G19" s="187">
        <v>35.799999999999997</v>
      </c>
      <c r="H19" s="187">
        <v>3.37</v>
      </c>
      <c r="I19" s="187">
        <v>5</v>
      </c>
      <c r="J19" s="187">
        <v>0.27</v>
      </c>
      <c r="K19" s="187">
        <v>0.4</v>
      </c>
      <c r="L19" s="187">
        <v>7.62</v>
      </c>
      <c r="M19" s="187">
        <v>11.4</v>
      </c>
      <c r="N19" s="187">
        <v>9.56</v>
      </c>
      <c r="O19" s="187">
        <v>14.3</v>
      </c>
      <c r="P19" s="187">
        <v>3.16</v>
      </c>
      <c r="Q19" s="187">
        <v>4.7</v>
      </c>
    </row>
    <row r="20" spans="1:17" ht="15" thickBot="1" x14ac:dyDescent="0.35">
      <c r="A20" s="195" t="s">
        <v>271</v>
      </c>
      <c r="B20" s="189">
        <v>76.84</v>
      </c>
      <c r="C20" s="189">
        <v>100</v>
      </c>
      <c r="D20" s="189">
        <v>49.2</v>
      </c>
      <c r="E20" s="189">
        <v>64</v>
      </c>
      <c r="F20" s="189">
        <v>27.64</v>
      </c>
      <c r="G20" s="189">
        <v>36</v>
      </c>
      <c r="H20" s="189">
        <v>6.29</v>
      </c>
      <c r="I20" s="189">
        <v>8.1999999999999993</v>
      </c>
      <c r="J20" s="189">
        <v>0.39</v>
      </c>
      <c r="K20" s="189">
        <v>0.5</v>
      </c>
      <c r="L20" s="189">
        <v>8.11</v>
      </c>
      <c r="M20" s="189">
        <v>10.6</v>
      </c>
      <c r="N20" s="189">
        <v>8.91</v>
      </c>
      <c r="O20" s="189">
        <v>11.6</v>
      </c>
      <c r="P20" s="189">
        <v>3.93</v>
      </c>
      <c r="Q20" s="189">
        <v>5.0999999999999996</v>
      </c>
    </row>
    <row r="21" spans="1:17" ht="15" thickBot="1" x14ac:dyDescent="0.35">
      <c r="A21" s="197" t="s">
        <v>272</v>
      </c>
      <c r="B21" s="187">
        <v>59.02</v>
      </c>
      <c r="C21" s="187">
        <v>100</v>
      </c>
      <c r="D21" s="187">
        <v>36.29</v>
      </c>
      <c r="E21" s="187">
        <v>61.5</v>
      </c>
      <c r="F21" s="187">
        <v>22.73</v>
      </c>
      <c r="G21" s="187">
        <v>38.5</v>
      </c>
      <c r="H21" s="187">
        <v>5.61</v>
      </c>
      <c r="I21" s="187">
        <v>9.5</v>
      </c>
      <c r="J21" s="187">
        <v>1.23</v>
      </c>
      <c r="K21" s="187">
        <v>2.1</v>
      </c>
      <c r="L21" s="187">
        <v>7.07</v>
      </c>
      <c r="M21" s="187">
        <v>12</v>
      </c>
      <c r="N21" s="187">
        <v>5.31</v>
      </c>
      <c r="O21" s="187">
        <v>9</v>
      </c>
      <c r="P21" s="187">
        <v>3.5</v>
      </c>
      <c r="Q21" s="187">
        <v>5.9</v>
      </c>
    </row>
    <row r="22" spans="1:17" ht="15" thickBot="1" x14ac:dyDescent="0.35">
      <c r="A22" s="195" t="s">
        <v>273</v>
      </c>
      <c r="B22" s="189">
        <v>61.95</v>
      </c>
      <c r="C22" s="189">
        <v>100</v>
      </c>
      <c r="D22" s="189">
        <v>38.99</v>
      </c>
      <c r="E22" s="189">
        <v>62.9</v>
      </c>
      <c r="F22" s="189">
        <v>22.97</v>
      </c>
      <c r="G22" s="189">
        <v>37.1</v>
      </c>
      <c r="H22" s="189">
        <v>5.86</v>
      </c>
      <c r="I22" s="189">
        <v>9.5</v>
      </c>
      <c r="J22" s="189">
        <v>1.45</v>
      </c>
      <c r="K22" s="189">
        <v>2.2999999999999998</v>
      </c>
      <c r="L22" s="189">
        <v>6.93</v>
      </c>
      <c r="M22" s="189">
        <v>11.2</v>
      </c>
      <c r="N22" s="189">
        <v>5.04</v>
      </c>
      <c r="O22" s="189">
        <v>8.1</v>
      </c>
      <c r="P22" s="189">
        <v>3.69</v>
      </c>
      <c r="Q22" s="189">
        <v>5.9</v>
      </c>
    </row>
    <row r="23" spans="1:17" ht="15" thickBot="1" x14ac:dyDescent="0.35">
      <c r="A23" s="203" t="s">
        <v>274</v>
      </c>
      <c r="B23" s="187">
        <v>64.55</v>
      </c>
      <c r="C23" s="187">
        <v>100</v>
      </c>
      <c r="D23" s="187">
        <v>37.049999999999997</v>
      </c>
      <c r="E23" s="187">
        <v>57.4</v>
      </c>
      <c r="F23" s="187">
        <v>27.51</v>
      </c>
      <c r="G23" s="187">
        <v>42.6</v>
      </c>
      <c r="H23" s="187">
        <v>5.95</v>
      </c>
      <c r="I23" s="187">
        <v>9.1999999999999993</v>
      </c>
      <c r="J23" s="187">
        <v>1.1100000000000001</v>
      </c>
      <c r="K23" s="187">
        <v>1.7</v>
      </c>
      <c r="L23" s="187">
        <v>7.44</v>
      </c>
      <c r="M23" s="187">
        <v>11.5</v>
      </c>
      <c r="N23" s="187">
        <v>9.2799999999999994</v>
      </c>
      <c r="O23" s="187">
        <v>14.4</v>
      </c>
      <c r="P23" s="187">
        <v>3.73</v>
      </c>
      <c r="Q23" s="187">
        <v>5.8</v>
      </c>
    </row>
    <row r="24" spans="1:17" x14ac:dyDescent="0.3">
      <c r="A24" s="460" t="s">
        <v>211</v>
      </c>
      <c r="B24" s="461"/>
      <c r="C24" s="461"/>
      <c r="D24" s="461"/>
      <c r="E24" s="461"/>
      <c r="F24" s="461"/>
      <c r="G24" s="461"/>
      <c r="H24" s="461"/>
      <c r="I24" s="461"/>
      <c r="J24" s="461"/>
      <c r="K24" s="461"/>
      <c r="L24" s="461"/>
      <c r="M24" s="461"/>
      <c r="N24" s="461"/>
      <c r="O24" s="461"/>
      <c r="P24" s="461"/>
      <c r="Q24" s="462"/>
    </row>
    <row r="25" spans="1:17" x14ac:dyDescent="0.3">
      <c r="A25" s="449" t="s">
        <v>251</v>
      </c>
      <c r="B25" s="450"/>
      <c r="C25" s="450"/>
      <c r="D25" s="450"/>
      <c r="E25" s="450"/>
      <c r="F25" s="450"/>
      <c r="G25" s="450"/>
      <c r="H25" s="450"/>
      <c r="I25" s="450"/>
      <c r="J25" s="450"/>
      <c r="K25" s="450"/>
      <c r="L25" s="450"/>
      <c r="M25" s="450"/>
      <c r="N25" s="450"/>
      <c r="O25" s="450"/>
      <c r="P25" s="450"/>
      <c r="Q25" s="451"/>
    </row>
    <row r="26" spans="1:17" ht="15" thickBot="1" x14ac:dyDescent="0.35">
      <c r="A26" s="452" t="s">
        <v>275</v>
      </c>
      <c r="B26" s="453"/>
      <c r="C26" s="453"/>
      <c r="D26" s="453"/>
      <c r="E26" s="453"/>
      <c r="F26" s="453"/>
      <c r="G26" s="453"/>
      <c r="H26" s="453"/>
      <c r="I26" s="453"/>
      <c r="J26" s="453"/>
      <c r="K26" s="453"/>
      <c r="L26" s="453"/>
      <c r="M26" s="453"/>
      <c r="N26" s="453"/>
      <c r="O26" s="453"/>
      <c r="P26" s="453"/>
      <c r="Q26" s="454"/>
    </row>
  </sheetData>
  <mergeCells count="14">
    <mergeCell ref="A25:Q25"/>
    <mergeCell ref="A26:Q26"/>
    <mergeCell ref="L5:M5"/>
    <mergeCell ref="N5:O5"/>
    <mergeCell ref="P5:Q5"/>
    <mergeCell ref="B8:Q8"/>
    <mergeCell ref="B16:Q16"/>
    <mergeCell ref="A24:Q24"/>
    <mergeCell ref="A5:A6"/>
    <mergeCell ref="B5:C5"/>
    <mergeCell ref="D5:E5"/>
    <mergeCell ref="F5:G5"/>
    <mergeCell ref="H5:I5"/>
    <mergeCell ref="J5:K5"/>
  </mergeCells>
  <hyperlinks>
    <hyperlink ref="B5" r:id="rId1" location="ect_table3.f.1" tooltip="Click to jump to footnotes at bottom of the table" display="https://www.bls.gov/news.release/ecec.t03.htm - ect_table3.f.1" xr:uid="{F2EA22C5-CB4A-45D4-AF3E-40B59C421234}"/>
    <hyperlink ref="A11" r:id="rId2" location="ect_table3.f.2" tooltip="Click to jump to footnotes at bottom of the table" display="https://www.bls.gov/news.release/ecec.t03.htm - ect_table3.f.2" xr:uid="{A9E0CEB7-D29B-4DBC-8179-DD4F5076988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58435-59BA-4E3E-ADB4-F545C91B8BD8}">
  <sheetPr>
    <tabColor theme="7" tint="0.79998168889431442"/>
  </sheetPr>
  <dimension ref="A1:H35"/>
  <sheetViews>
    <sheetView workbookViewId="0">
      <selection activeCell="A4" sqref="A4:G4"/>
    </sheetView>
  </sheetViews>
  <sheetFormatPr defaultRowHeight="14.4" x14ac:dyDescent="0.3"/>
  <sheetData>
    <row r="1" spans="1:8" ht="18" x14ac:dyDescent="0.35">
      <c r="A1" s="467" t="s">
        <v>88</v>
      </c>
      <c r="B1" s="468"/>
      <c r="C1" s="468"/>
      <c r="D1" s="468"/>
      <c r="E1" s="468"/>
      <c r="F1" s="468"/>
      <c r="G1" s="468"/>
    </row>
    <row r="2" spans="1:8" ht="17.399999999999999" x14ac:dyDescent="0.35">
      <c r="A2" s="469" t="s">
        <v>89</v>
      </c>
      <c r="B2" s="468"/>
      <c r="C2" s="468"/>
      <c r="D2" s="468"/>
      <c r="E2" s="468"/>
      <c r="F2" s="468"/>
      <c r="G2" s="468"/>
    </row>
    <row r="3" spans="1:8" x14ac:dyDescent="0.3">
      <c r="A3" s="468" t="s">
        <v>90</v>
      </c>
      <c r="B3" s="468"/>
      <c r="C3" s="468"/>
      <c r="D3" s="468"/>
      <c r="E3" s="468"/>
      <c r="F3" s="468"/>
      <c r="G3" s="468"/>
    </row>
    <row r="4" spans="1:8" x14ac:dyDescent="0.3">
      <c r="A4" s="468" t="s">
        <v>291</v>
      </c>
      <c r="B4" s="468"/>
      <c r="C4" s="468"/>
      <c r="D4" s="468"/>
      <c r="E4" s="468"/>
      <c r="F4" s="468"/>
      <c r="G4" s="468"/>
    </row>
    <row r="6" spans="1:8" x14ac:dyDescent="0.3">
      <c r="A6" s="313" t="s">
        <v>91</v>
      </c>
      <c r="B6" s="313" t="s">
        <v>92</v>
      </c>
      <c r="C6" s="313" t="s">
        <v>93</v>
      </c>
      <c r="D6" s="313" t="s">
        <v>94</v>
      </c>
      <c r="E6" s="313" t="s">
        <v>95</v>
      </c>
      <c r="F6" s="313" t="s">
        <v>96</v>
      </c>
      <c r="G6" s="313" t="s">
        <v>97</v>
      </c>
    </row>
    <row r="7" spans="1:8" x14ac:dyDescent="0.3">
      <c r="A7" s="153" t="s">
        <v>91</v>
      </c>
      <c r="B7" s="153" t="s">
        <v>92</v>
      </c>
      <c r="C7" s="153" t="s">
        <v>92</v>
      </c>
      <c r="D7" s="153" t="s">
        <v>92</v>
      </c>
      <c r="E7" s="153" t="s">
        <v>92</v>
      </c>
      <c r="F7" s="153" t="s">
        <v>92</v>
      </c>
      <c r="G7" s="153" t="s">
        <v>92</v>
      </c>
    </row>
    <row r="8" spans="1:8" x14ac:dyDescent="0.3">
      <c r="A8" s="153" t="s">
        <v>98</v>
      </c>
      <c r="B8" s="314" t="s">
        <v>99</v>
      </c>
      <c r="C8" s="314">
        <v>110.18600000000001</v>
      </c>
      <c r="D8" s="314">
        <v>118.023</v>
      </c>
      <c r="E8" s="314">
        <v>122.39</v>
      </c>
      <c r="F8" s="314">
        <v>125.428</v>
      </c>
      <c r="G8" s="314">
        <v>128.98599999999999</v>
      </c>
      <c r="H8" s="315">
        <f>G8/C8</f>
        <v>1.1706205870074236</v>
      </c>
    </row>
    <row r="9" spans="1:8" x14ac:dyDescent="0.3">
      <c r="A9" s="153" t="s">
        <v>100</v>
      </c>
      <c r="B9" s="314" t="s">
        <v>101</v>
      </c>
      <c r="C9" s="314">
        <v>108.97199999999999</v>
      </c>
      <c r="D9" s="314">
        <v>116.1</v>
      </c>
      <c r="E9" s="314">
        <v>120.511</v>
      </c>
      <c r="F9" s="314">
        <v>123.666</v>
      </c>
      <c r="G9" s="314">
        <v>126.92100000000001</v>
      </c>
    </row>
    <row r="10" spans="1:8" x14ac:dyDescent="0.3">
      <c r="A10" s="153" t="s">
        <v>102</v>
      </c>
      <c r="B10" s="153" t="s">
        <v>103</v>
      </c>
      <c r="C10" s="153">
        <v>104.599</v>
      </c>
      <c r="D10" s="153">
        <v>113.639</v>
      </c>
      <c r="E10" s="153">
        <v>115.03700000000001</v>
      </c>
      <c r="F10" s="153">
        <v>114.538</v>
      </c>
      <c r="G10" s="153">
        <v>115.331</v>
      </c>
    </row>
    <row r="11" spans="1:8" x14ac:dyDescent="0.3">
      <c r="A11" s="153" t="s">
        <v>104</v>
      </c>
      <c r="B11" s="153" t="s">
        <v>105</v>
      </c>
      <c r="C11" s="153">
        <v>102.182</v>
      </c>
      <c r="D11" s="153">
        <v>108.792</v>
      </c>
      <c r="E11" s="153">
        <v>107.979</v>
      </c>
      <c r="F11" s="153">
        <v>105.751</v>
      </c>
      <c r="G11" s="153">
        <v>106.184</v>
      </c>
    </row>
    <row r="12" spans="1:8" x14ac:dyDescent="0.3">
      <c r="A12" s="153" t="s">
        <v>106</v>
      </c>
      <c r="B12" s="153" t="s">
        <v>107</v>
      </c>
      <c r="C12" s="153">
        <v>105.83</v>
      </c>
      <c r="D12" s="153">
        <v>116.26900000000001</v>
      </c>
      <c r="E12" s="153">
        <v>118.956</v>
      </c>
      <c r="F12" s="153">
        <v>119.49299999999999</v>
      </c>
      <c r="G12" s="153">
        <v>120.506</v>
      </c>
    </row>
    <row r="13" spans="1:8" x14ac:dyDescent="0.3">
      <c r="A13" s="153" t="s">
        <v>108</v>
      </c>
      <c r="B13" s="153" t="s">
        <v>109</v>
      </c>
      <c r="C13" s="153">
        <v>111.044</v>
      </c>
      <c r="D13" s="153">
        <v>117.13</v>
      </c>
      <c r="E13" s="153">
        <v>123.09099999999999</v>
      </c>
      <c r="F13" s="153">
        <v>128.119</v>
      </c>
      <c r="G13" s="153">
        <v>132.64500000000001</v>
      </c>
    </row>
    <row r="14" spans="1:8" x14ac:dyDescent="0.3">
      <c r="A14" s="153" t="s">
        <v>110</v>
      </c>
      <c r="B14" s="314" t="s">
        <v>111</v>
      </c>
      <c r="C14" s="314">
        <v>107.661</v>
      </c>
      <c r="D14" s="314">
        <v>115.75700000000001</v>
      </c>
      <c r="E14" s="314">
        <v>119.059</v>
      </c>
      <c r="F14" s="314">
        <v>121.001</v>
      </c>
      <c r="G14" s="314">
        <v>123.223</v>
      </c>
    </row>
    <row r="15" spans="1:8" x14ac:dyDescent="0.3">
      <c r="A15" s="153" t="s">
        <v>112</v>
      </c>
      <c r="B15" s="153" t="s">
        <v>113</v>
      </c>
      <c r="C15" s="153">
        <v>108.039</v>
      </c>
      <c r="D15" s="153">
        <v>116.50700000000001</v>
      </c>
      <c r="E15" s="153">
        <v>120.036</v>
      </c>
      <c r="F15" s="153">
        <v>122.08499999999999</v>
      </c>
      <c r="G15" s="153">
        <v>124.378</v>
      </c>
    </row>
    <row r="16" spans="1:8" x14ac:dyDescent="0.3">
      <c r="A16" s="153" t="s">
        <v>114</v>
      </c>
      <c r="B16" s="153" t="s">
        <v>115</v>
      </c>
      <c r="C16" s="153">
        <v>103.14700000000001</v>
      </c>
      <c r="D16" s="153">
        <v>109.32299999999999</v>
      </c>
      <c r="E16" s="153">
        <v>112.79300000000001</v>
      </c>
      <c r="F16" s="153">
        <v>114.324</v>
      </c>
      <c r="G16" s="153">
        <v>116.063</v>
      </c>
    </row>
    <row r="17" spans="1:7" x14ac:dyDescent="0.3">
      <c r="A17" s="153" t="s">
        <v>116</v>
      </c>
      <c r="B17" s="153" t="s">
        <v>117</v>
      </c>
      <c r="C17" s="153">
        <v>110.42700000000001</v>
      </c>
      <c r="D17" s="153">
        <v>128.37200000000001</v>
      </c>
      <c r="E17" s="153">
        <v>135.02799999999999</v>
      </c>
      <c r="F17" s="153">
        <v>134.69800000000001</v>
      </c>
      <c r="G17" s="153">
        <v>135.90100000000001</v>
      </c>
    </row>
    <row r="18" spans="1:7" x14ac:dyDescent="0.3">
      <c r="A18" s="153" t="s">
        <v>118</v>
      </c>
      <c r="B18" s="153" t="s">
        <v>119</v>
      </c>
      <c r="C18" s="153">
        <v>99.908000000000001</v>
      </c>
      <c r="D18" s="153">
        <v>106.065</v>
      </c>
      <c r="E18" s="153">
        <v>110.86499999999999</v>
      </c>
      <c r="F18" s="153">
        <v>113.173</v>
      </c>
      <c r="G18" s="153">
        <v>115.72799999999999</v>
      </c>
    </row>
    <row r="19" spans="1:7" x14ac:dyDescent="0.3">
      <c r="A19" s="153" t="s">
        <v>120</v>
      </c>
      <c r="B19" s="153" t="s">
        <v>121</v>
      </c>
      <c r="C19" s="153">
        <v>102.60899999999999</v>
      </c>
      <c r="D19" s="153">
        <v>103.551</v>
      </c>
      <c r="E19" s="153">
        <v>104.419</v>
      </c>
      <c r="F19" s="153">
        <v>106.14400000000001</v>
      </c>
      <c r="G19" s="153">
        <v>107.384</v>
      </c>
    </row>
    <row r="20" spans="1:7" x14ac:dyDescent="0.3">
      <c r="A20" s="153" t="s">
        <v>122</v>
      </c>
      <c r="B20" s="153" t="s">
        <v>123</v>
      </c>
      <c r="C20" s="153">
        <v>125.161</v>
      </c>
      <c r="D20" s="153">
        <v>141.779</v>
      </c>
      <c r="E20" s="153">
        <v>145.41499999999999</v>
      </c>
      <c r="F20" s="153">
        <v>149.655</v>
      </c>
      <c r="G20" s="153">
        <v>154.291</v>
      </c>
    </row>
    <row r="21" spans="1:7" x14ac:dyDescent="0.3">
      <c r="A21" s="153" t="s">
        <v>124</v>
      </c>
      <c r="B21" s="153" t="s">
        <v>125</v>
      </c>
      <c r="C21" s="153" t="s">
        <v>126</v>
      </c>
      <c r="D21" s="153" t="s">
        <v>126</v>
      </c>
      <c r="E21" s="153" t="s">
        <v>126</v>
      </c>
      <c r="F21" s="153" t="s">
        <v>126</v>
      </c>
      <c r="G21" s="153" t="s">
        <v>126</v>
      </c>
    </row>
    <row r="22" spans="1:7" x14ac:dyDescent="0.3">
      <c r="A22" s="153" t="s">
        <v>127</v>
      </c>
      <c r="B22" s="314" t="s">
        <v>128</v>
      </c>
      <c r="C22" s="314" t="s">
        <v>126</v>
      </c>
      <c r="D22" s="314" t="s">
        <v>126</v>
      </c>
      <c r="E22" s="314" t="s">
        <v>126</v>
      </c>
      <c r="F22" s="314" t="s">
        <v>126</v>
      </c>
      <c r="G22" s="314" t="s">
        <v>126</v>
      </c>
    </row>
    <row r="23" spans="1:7" x14ac:dyDescent="0.3">
      <c r="A23" s="153" t="s">
        <v>129</v>
      </c>
      <c r="B23" s="153" t="s">
        <v>130</v>
      </c>
      <c r="C23" s="153">
        <v>111.82</v>
      </c>
      <c r="D23" s="153">
        <v>122.83</v>
      </c>
      <c r="E23" s="153">
        <v>120.949</v>
      </c>
      <c r="F23" s="153">
        <v>122.09</v>
      </c>
      <c r="G23" s="153">
        <v>124.08199999999999</v>
      </c>
    </row>
    <row r="24" spans="1:7" x14ac:dyDescent="0.3">
      <c r="A24" s="153" t="s">
        <v>131</v>
      </c>
      <c r="B24" s="153" t="s">
        <v>132</v>
      </c>
      <c r="C24" s="153">
        <v>111.702</v>
      </c>
      <c r="D24" s="153">
        <v>124.724</v>
      </c>
      <c r="E24" s="153">
        <v>119.361</v>
      </c>
      <c r="F24" s="153">
        <v>118.92</v>
      </c>
      <c r="G24" s="153">
        <v>119.88</v>
      </c>
    </row>
    <row r="25" spans="1:7" x14ac:dyDescent="0.3">
      <c r="A25" s="153" t="s">
        <v>133</v>
      </c>
      <c r="B25" s="153" t="s">
        <v>134</v>
      </c>
      <c r="C25" s="153">
        <v>111.68899999999999</v>
      </c>
      <c r="D25" s="153">
        <v>118.47</v>
      </c>
      <c r="E25" s="153">
        <v>123.61799999999999</v>
      </c>
      <c r="F25" s="153">
        <v>127.848</v>
      </c>
      <c r="G25" s="153">
        <v>131.803</v>
      </c>
    </row>
    <row r="26" spans="1:7" x14ac:dyDescent="0.3">
      <c r="A26" s="153" t="s">
        <v>135</v>
      </c>
      <c r="B26" s="153" t="s">
        <v>136</v>
      </c>
      <c r="C26" s="153">
        <v>106.03</v>
      </c>
      <c r="D26" s="153">
        <v>113.66800000000001</v>
      </c>
      <c r="E26" s="153">
        <v>111.357</v>
      </c>
      <c r="F26" s="153">
        <v>112.211</v>
      </c>
      <c r="G26" s="153">
        <v>112.741</v>
      </c>
    </row>
    <row r="27" spans="1:7" x14ac:dyDescent="0.3">
      <c r="A27" s="153" t="s">
        <v>137</v>
      </c>
      <c r="B27" s="153" t="s">
        <v>132</v>
      </c>
      <c r="C27" s="153">
        <v>105.209</v>
      </c>
      <c r="D27" s="153">
        <v>113.066</v>
      </c>
      <c r="E27" s="153">
        <v>109.45699999999999</v>
      </c>
      <c r="F27" s="153">
        <v>109.974</v>
      </c>
      <c r="G27" s="153">
        <v>110.02</v>
      </c>
    </row>
    <row r="28" spans="1:7" x14ac:dyDescent="0.3">
      <c r="A28" s="153" t="s">
        <v>138</v>
      </c>
      <c r="B28" s="153" t="s">
        <v>134</v>
      </c>
      <c r="C28" s="153">
        <v>109.566</v>
      </c>
      <c r="D28" s="153">
        <v>116.096</v>
      </c>
      <c r="E28" s="153">
        <v>119.675</v>
      </c>
      <c r="F28" s="153">
        <v>121.99</v>
      </c>
      <c r="G28" s="153">
        <v>124.727</v>
      </c>
    </row>
    <row r="29" spans="1:7" x14ac:dyDescent="0.3">
      <c r="A29" s="153" t="s">
        <v>139</v>
      </c>
      <c r="B29" s="314" t="s">
        <v>140</v>
      </c>
      <c r="C29" s="314">
        <v>113.17700000000001</v>
      </c>
      <c r="D29" s="314">
        <v>121.386</v>
      </c>
      <c r="E29" s="314">
        <v>124.745</v>
      </c>
      <c r="F29" s="314">
        <v>127.77500000000001</v>
      </c>
      <c r="G29" s="314">
        <v>132.21700000000001</v>
      </c>
    </row>
    <row r="30" spans="1:7" x14ac:dyDescent="0.3">
      <c r="A30" s="153" t="s">
        <v>141</v>
      </c>
      <c r="B30" s="153" t="s">
        <v>142</v>
      </c>
      <c r="C30" s="153">
        <v>108.91800000000001</v>
      </c>
      <c r="D30" s="153">
        <v>115.194</v>
      </c>
      <c r="E30" s="153">
        <v>120.003</v>
      </c>
      <c r="F30" s="153">
        <v>123.896</v>
      </c>
      <c r="G30" s="153">
        <v>130.28700000000001</v>
      </c>
    </row>
    <row r="31" spans="1:7" x14ac:dyDescent="0.3">
      <c r="A31" s="153" t="s">
        <v>143</v>
      </c>
      <c r="B31" s="153" t="s">
        <v>144</v>
      </c>
      <c r="C31" s="153">
        <v>109.22499999999999</v>
      </c>
      <c r="D31" s="153">
        <v>116.078</v>
      </c>
      <c r="E31" s="153">
        <v>120.88800000000001</v>
      </c>
      <c r="F31" s="153">
        <v>125.39400000000001</v>
      </c>
      <c r="G31" s="153">
        <v>130.88</v>
      </c>
    </row>
    <row r="32" spans="1:7" x14ac:dyDescent="0.3">
      <c r="A32" s="153" t="s">
        <v>145</v>
      </c>
      <c r="B32" s="153" t="s">
        <v>146</v>
      </c>
      <c r="C32" s="153">
        <v>108.518</v>
      </c>
      <c r="D32" s="153">
        <v>114.05</v>
      </c>
      <c r="E32" s="153">
        <v>118.857</v>
      </c>
      <c r="F32" s="153">
        <v>121.953</v>
      </c>
      <c r="G32" s="153">
        <v>129.547</v>
      </c>
    </row>
    <row r="33" spans="1:7" x14ac:dyDescent="0.3">
      <c r="A33" s="153" t="s">
        <v>147</v>
      </c>
      <c r="B33" s="153" t="s">
        <v>148</v>
      </c>
      <c r="C33" s="153">
        <v>115.855</v>
      </c>
      <c r="D33" s="153">
        <v>125.30500000000001</v>
      </c>
      <c r="E33" s="153">
        <v>127.744</v>
      </c>
      <c r="F33" s="153">
        <v>130.23099999999999</v>
      </c>
      <c r="G33" s="153">
        <v>133.44800000000001</v>
      </c>
    </row>
    <row r="34" spans="1:7" x14ac:dyDescent="0.3">
      <c r="A34" s="153" t="s">
        <v>92</v>
      </c>
      <c r="B34" s="153" t="s">
        <v>149</v>
      </c>
      <c r="C34" s="153" t="s">
        <v>92</v>
      </c>
      <c r="D34" s="153" t="s">
        <v>92</v>
      </c>
      <c r="E34" s="153" t="s">
        <v>92</v>
      </c>
      <c r="F34" s="153" t="s">
        <v>92</v>
      </c>
      <c r="G34" s="153" t="s">
        <v>92</v>
      </c>
    </row>
    <row r="35" spans="1:7" x14ac:dyDescent="0.3">
      <c r="A35" s="153" t="s">
        <v>150</v>
      </c>
      <c r="B35" s="153" t="s">
        <v>151</v>
      </c>
      <c r="C35" s="153">
        <v>110.108</v>
      </c>
      <c r="D35" s="153">
        <v>117.93899999999999</v>
      </c>
      <c r="E35" s="153">
        <v>122.301</v>
      </c>
      <c r="F35" s="153">
        <v>125.33799999999999</v>
      </c>
      <c r="G35" s="153" t="s">
        <v>126</v>
      </c>
    </row>
  </sheetData>
  <mergeCells count="4">
    <mergeCell ref="A1:G1"/>
    <mergeCell ref="A2:G2"/>
    <mergeCell ref="A3:G3"/>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80F0-2844-455E-B33A-C671F41A8387}">
  <sheetPr>
    <tabColor theme="7" tint="0.79998168889431442"/>
  </sheetPr>
  <dimension ref="A2:L43"/>
  <sheetViews>
    <sheetView workbookViewId="0">
      <selection activeCell="B37" sqref="B37:F37"/>
    </sheetView>
  </sheetViews>
  <sheetFormatPr defaultRowHeight="14.4" x14ac:dyDescent="0.3"/>
  <sheetData>
    <row r="2" spans="1:12" x14ac:dyDescent="0.3">
      <c r="A2" s="134" t="s">
        <v>212</v>
      </c>
    </row>
    <row r="4" spans="1:12" ht="15" x14ac:dyDescent="0.3">
      <c r="A4" s="135" t="s">
        <v>213</v>
      </c>
    </row>
    <row r="5" spans="1:12" ht="15" x14ac:dyDescent="0.3">
      <c r="A5" s="136" t="s">
        <v>214</v>
      </c>
    </row>
    <row r="6" spans="1:12" ht="15" x14ac:dyDescent="0.3">
      <c r="A6" s="135" t="s">
        <v>215</v>
      </c>
    </row>
    <row r="7" spans="1:12" ht="15" x14ac:dyDescent="0.3">
      <c r="A7" s="136" t="s">
        <v>216</v>
      </c>
    </row>
    <row r="8" spans="1:12" ht="15" x14ac:dyDescent="0.3">
      <c r="A8" s="136" t="s">
        <v>217</v>
      </c>
    </row>
    <row r="10" spans="1:12" ht="15" x14ac:dyDescent="0.3">
      <c r="A10" s="135" t="s">
        <v>218</v>
      </c>
    </row>
    <row r="11" spans="1:12" ht="15" x14ac:dyDescent="0.3">
      <c r="A11" s="136" t="s">
        <v>219</v>
      </c>
    </row>
    <row r="12" spans="1:12" ht="15" thickBot="1" x14ac:dyDescent="0.35"/>
    <row r="13" spans="1:12" ht="15" thickBot="1" x14ac:dyDescent="0.35">
      <c r="A13" s="137" t="s">
        <v>220</v>
      </c>
      <c r="B13" s="137" t="s">
        <v>221</v>
      </c>
      <c r="C13" s="137" t="s">
        <v>222</v>
      </c>
      <c r="D13" s="137" t="s">
        <v>223</v>
      </c>
      <c r="E13" s="137" t="s">
        <v>224</v>
      </c>
      <c r="F13" s="137" t="s">
        <v>225</v>
      </c>
      <c r="G13" s="137" t="s">
        <v>226</v>
      </c>
      <c r="H13" s="137" t="s">
        <v>227</v>
      </c>
      <c r="I13" s="137" t="s">
        <v>228</v>
      </c>
      <c r="J13" s="137" t="s">
        <v>229</v>
      </c>
      <c r="K13" s="137" t="s">
        <v>230</v>
      </c>
      <c r="L13" s="137" t="s">
        <v>231</v>
      </c>
    </row>
    <row r="14" spans="1:12" ht="15" thickBot="1" x14ac:dyDescent="0.35">
      <c r="A14" s="470">
        <v>1</v>
      </c>
      <c r="B14" s="138" t="s">
        <v>232</v>
      </c>
      <c r="C14" s="139">
        <v>14.35</v>
      </c>
      <c r="D14" s="139">
        <v>14.83</v>
      </c>
      <c r="E14" s="139">
        <v>15.31</v>
      </c>
      <c r="F14" s="139">
        <v>15.78</v>
      </c>
      <c r="G14" s="139">
        <v>16.260000000000002</v>
      </c>
      <c r="H14" s="139">
        <v>16.54</v>
      </c>
      <c r="I14" s="139">
        <v>17.010000000000002</v>
      </c>
      <c r="J14" s="139">
        <v>17.489999999999998</v>
      </c>
      <c r="K14" s="139">
        <v>17.510000000000002</v>
      </c>
      <c r="L14" s="139">
        <v>17.95</v>
      </c>
    </row>
    <row r="15" spans="1:12" ht="15" thickBot="1" x14ac:dyDescent="0.35">
      <c r="A15" s="471"/>
      <c r="B15" s="138" t="s">
        <v>233</v>
      </c>
      <c r="C15" s="139">
        <v>21.53</v>
      </c>
      <c r="D15" s="139">
        <v>22.25</v>
      </c>
      <c r="E15" s="139">
        <v>22.97</v>
      </c>
      <c r="F15" s="139">
        <v>23.67</v>
      </c>
      <c r="G15" s="139">
        <v>24.39</v>
      </c>
      <c r="H15" s="139">
        <v>24.81</v>
      </c>
      <c r="I15" s="139">
        <v>25.52</v>
      </c>
      <c r="J15" s="139">
        <v>26.24</v>
      </c>
      <c r="K15" s="139">
        <v>26.27</v>
      </c>
      <c r="L15" s="139">
        <v>26.93</v>
      </c>
    </row>
    <row r="16" spans="1:12" ht="15" thickBot="1" x14ac:dyDescent="0.35">
      <c r="A16" s="470">
        <v>2</v>
      </c>
      <c r="B16" s="138" t="s">
        <v>232</v>
      </c>
      <c r="C16" s="139">
        <v>16.14</v>
      </c>
      <c r="D16" s="139">
        <v>16.52</v>
      </c>
      <c r="E16" s="139">
        <v>17.05</v>
      </c>
      <c r="F16" s="139">
        <v>17.510000000000002</v>
      </c>
      <c r="G16" s="139">
        <v>17.7</v>
      </c>
      <c r="H16" s="139">
        <v>18.22</v>
      </c>
      <c r="I16" s="139">
        <v>18.739999999999998</v>
      </c>
      <c r="J16" s="139">
        <v>19.260000000000002</v>
      </c>
      <c r="K16" s="139">
        <v>19.78</v>
      </c>
      <c r="L16" s="139">
        <v>20.3</v>
      </c>
    </row>
    <row r="17" spans="1:12" ht="15" thickBot="1" x14ac:dyDescent="0.35">
      <c r="A17" s="471"/>
      <c r="B17" s="138" t="s">
        <v>233</v>
      </c>
      <c r="C17" s="139">
        <v>24.21</v>
      </c>
      <c r="D17" s="139">
        <v>24.78</v>
      </c>
      <c r="E17" s="139">
        <v>25.58</v>
      </c>
      <c r="F17" s="139">
        <v>26.27</v>
      </c>
      <c r="G17" s="139">
        <v>26.55</v>
      </c>
      <c r="H17" s="139">
        <v>27.33</v>
      </c>
      <c r="I17" s="139">
        <v>28.11</v>
      </c>
      <c r="J17" s="139">
        <v>28.89</v>
      </c>
      <c r="K17" s="139">
        <v>29.67</v>
      </c>
      <c r="L17" s="139">
        <v>30.45</v>
      </c>
    </row>
    <row r="18" spans="1:12" ht="15" thickBot="1" x14ac:dyDescent="0.35">
      <c r="A18" s="470">
        <v>3</v>
      </c>
      <c r="B18" s="138" t="s">
        <v>232</v>
      </c>
      <c r="C18" s="139">
        <v>17.61</v>
      </c>
      <c r="D18" s="139">
        <v>18.190000000000001</v>
      </c>
      <c r="E18" s="139">
        <v>18.78</v>
      </c>
      <c r="F18" s="139">
        <v>19.37</v>
      </c>
      <c r="G18" s="139">
        <v>19.95</v>
      </c>
      <c r="H18" s="139">
        <v>20.54</v>
      </c>
      <c r="I18" s="139">
        <v>21.13</v>
      </c>
      <c r="J18" s="139">
        <v>21.71</v>
      </c>
      <c r="K18" s="139">
        <v>22.3</v>
      </c>
      <c r="L18" s="139">
        <v>22.89</v>
      </c>
    </row>
    <row r="19" spans="1:12" ht="15" thickBot="1" x14ac:dyDescent="0.35">
      <c r="A19" s="471"/>
      <c r="B19" s="138" t="s">
        <v>233</v>
      </c>
      <c r="C19" s="139">
        <v>26.42</v>
      </c>
      <c r="D19" s="139">
        <v>27.29</v>
      </c>
      <c r="E19" s="139">
        <v>28.17</v>
      </c>
      <c r="F19" s="139">
        <v>29.06</v>
      </c>
      <c r="G19" s="139">
        <v>29.93</v>
      </c>
      <c r="H19" s="139">
        <v>30.81</v>
      </c>
      <c r="I19" s="139">
        <v>31.7</v>
      </c>
      <c r="J19" s="139">
        <v>32.57</v>
      </c>
      <c r="K19" s="139">
        <v>33.450000000000003</v>
      </c>
      <c r="L19" s="139">
        <v>34.340000000000003</v>
      </c>
    </row>
    <row r="20" spans="1:12" ht="15" thickBot="1" x14ac:dyDescent="0.35">
      <c r="A20" s="470">
        <v>4</v>
      </c>
      <c r="B20" s="138" t="s">
        <v>232</v>
      </c>
      <c r="C20" s="139">
        <v>19.760000000000002</v>
      </c>
      <c r="D20" s="139">
        <v>20.420000000000002</v>
      </c>
      <c r="E20" s="139">
        <v>21.08</v>
      </c>
      <c r="F20" s="139">
        <v>21.74</v>
      </c>
      <c r="G20" s="139">
        <v>22.4</v>
      </c>
      <c r="H20" s="139">
        <v>23.06</v>
      </c>
      <c r="I20" s="139">
        <v>23.72</v>
      </c>
      <c r="J20" s="139">
        <v>24.38</v>
      </c>
      <c r="K20" s="139">
        <v>25.04</v>
      </c>
      <c r="L20" s="139">
        <v>25.7</v>
      </c>
    </row>
    <row r="21" spans="1:12" ht="15" thickBot="1" x14ac:dyDescent="0.35">
      <c r="A21" s="471"/>
      <c r="B21" s="138" t="s">
        <v>233</v>
      </c>
      <c r="C21" s="139">
        <v>29.64</v>
      </c>
      <c r="D21" s="139">
        <v>30.63</v>
      </c>
      <c r="E21" s="139">
        <v>31.62</v>
      </c>
      <c r="F21" s="139">
        <v>32.61</v>
      </c>
      <c r="G21" s="139">
        <v>33.6</v>
      </c>
      <c r="H21" s="139">
        <v>34.590000000000003</v>
      </c>
      <c r="I21" s="139">
        <v>35.58</v>
      </c>
      <c r="J21" s="139">
        <v>36.57</v>
      </c>
      <c r="K21" s="139">
        <v>37.56</v>
      </c>
      <c r="L21" s="139">
        <v>38.549999999999997</v>
      </c>
    </row>
    <row r="22" spans="1:12" ht="15" thickBot="1" x14ac:dyDescent="0.35">
      <c r="A22" s="470">
        <v>5</v>
      </c>
      <c r="B22" s="138" t="s">
        <v>232</v>
      </c>
      <c r="C22" s="139">
        <v>22.11</v>
      </c>
      <c r="D22" s="139">
        <v>22.85</v>
      </c>
      <c r="E22" s="139">
        <v>23.59</v>
      </c>
      <c r="F22" s="139">
        <v>24.32</v>
      </c>
      <c r="G22" s="139">
        <v>25.06</v>
      </c>
      <c r="H22" s="139">
        <v>25.8</v>
      </c>
      <c r="I22" s="139">
        <v>26.53</v>
      </c>
      <c r="J22" s="139">
        <v>27.27</v>
      </c>
      <c r="K22" s="139">
        <v>28.01</v>
      </c>
      <c r="L22" s="139">
        <v>28.74</v>
      </c>
    </row>
    <row r="23" spans="1:12" ht="15" thickBot="1" x14ac:dyDescent="0.35">
      <c r="A23" s="471"/>
      <c r="B23" s="138" t="s">
        <v>233</v>
      </c>
      <c r="C23" s="139">
        <v>33.17</v>
      </c>
      <c r="D23" s="139">
        <v>34.28</v>
      </c>
      <c r="E23" s="139">
        <v>35.39</v>
      </c>
      <c r="F23" s="139">
        <v>36.479999999999997</v>
      </c>
      <c r="G23" s="139">
        <v>37.590000000000003</v>
      </c>
      <c r="H23" s="139">
        <v>38.700000000000003</v>
      </c>
      <c r="I23" s="139">
        <v>39.799999999999997</v>
      </c>
      <c r="J23" s="139">
        <v>40.909999999999997</v>
      </c>
      <c r="K23" s="139">
        <v>42.02</v>
      </c>
      <c r="L23" s="139">
        <v>43.11</v>
      </c>
    </row>
    <row r="24" spans="1:12" ht="15" thickBot="1" x14ac:dyDescent="0.35">
      <c r="A24" s="470">
        <v>6</v>
      </c>
      <c r="B24" s="138" t="s">
        <v>232</v>
      </c>
      <c r="C24" s="139">
        <v>24.65</v>
      </c>
      <c r="D24" s="139">
        <v>25.47</v>
      </c>
      <c r="E24" s="139">
        <v>26.29</v>
      </c>
      <c r="F24" s="139">
        <v>27.11</v>
      </c>
      <c r="G24" s="139">
        <v>27.93</v>
      </c>
      <c r="H24" s="139">
        <v>28.76</v>
      </c>
      <c r="I24" s="139">
        <v>29.58</v>
      </c>
      <c r="J24" s="139">
        <v>30.4</v>
      </c>
      <c r="K24" s="139">
        <v>31.22</v>
      </c>
      <c r="L24" s="139">
        <v>32.04</v>
      </c>
    </row>
    <row r="25" spans="1:12" ht="15" thickBot="1" x14ac:dyDescent="0.35">
      <c r="A25" s="471"/>
      <c r="B25" s="138" t="s">
        <v>233</v>
      </c>
      <c r="C25" s="139">
        <v>36.979999999999997</v>
      </c>
      <c r="D25" s="139">
        <v>38.21</v>
      </c>
      <c r="E25" s="139">
        <v>39.44</v>
      </c>
      <c r="F25" s="139">
        <v>40.67</v>
      </c>
      <c r="G25" s="139">
        <v>41.9</v>
      </c>
      <c r="H25" s="139">
        <v>43.14</v>
      </c>
      <c r="I25" s="139">
        <v>44.37</v>
      </c>
      <c r="J25" s="139">
        <v>45.6</v>
      </c>
      <c r="K25" s="139">
        <v>46.83</v>
      </c>
      <c r="L25" s="139">
        <v>48.06</v>
      </c>
    </row>
    <row r="26" spans="1:12" ht="15" thickBot="1" x14ac:dyDescent="0.35">
      <c r="A26" s="470">
        <v>7</v>
      </c>
      <c r="B26" s="138" t="s">
        <v>232</v>
      </c>
      <c r="C26" s="139">
        <v>27.39</v>
      </c>
      <c r="D26" s="139">
        <v>28.3</v>
      </c>
      <c r="E26" s="139">
        <v>29.22</v>
      </c>
      <c r="F26" s="139">
        <v>30.13</v>
      </c>
      <c r="G26" s="139">
        <v>31.04</v>
      </c>
      <c r="H26" s="139">
        <v>31.96</v>
      </c>
      <c r="I26" s="139">
        <v>32.869999999999997</v>
      </c>
      <c r="J26" s="139">
        <v>33.78</v>
      </c>
      <c r="K26" s="139">
        <v>34.700000000000003</v>
      </c>
      <c r="L26" s="139">
        <v>35.61</v>
      </c>
    </row>
    <row r="27" spans="1:12" ht="15" thickBot="1" x14ac:dyDescent="0.35">
      <c r="A27" s="471"/>
      <c r="B27" s="138" t="s">
        <v>233</v>
      </c>
      <c r="C27" s="139">
        <v>41.09</v>
      </c>
      <c r="D27" s="139">
        <v>42.45</v>
      </c>
      <c r="E27" s="139">
        <v>43.83</v>
      </c>
      <c r="F27" s="139">
        <v>45.2</v>
      </c>
      <c r="G27" s="139">
        <v>46.56</v>
      </c>
      <c r="H27" s="139">
        <v>47.94</v>
      </c>
      <c r="I27" s="139">
        <v>49.31</v>
      </c>
      <c r="J27" s="139">
        <v>50.67</v>
      </c>
      <c r="K27" s="139">
        <v>52.05</v>
      </c>
      <c r="L27" s="139">
        <v>53.42</v>
      </c>
    </row>
    <row r="28" spans="1:12" ht="15" thickBot="1" x14ac:dyDescent="0.35">
      <c r="A28" s="470">
        <v>8</v>
      </c>
      <c r="B28" s="138" t="s">
        <v>232</v>
      </c>
      <c r="C28" s="139">
        <v>30.33</v>
      </c>
      <c r="D28" s="139">
        <v>31.35</v>
      </c>
      <c r="E28" s="139">
        <v>32.36</v>
      </c>
      <c r="F28" s="139">
        <v>33.369999999999997</v>
      </c>
      <c r="G28" s="139">
        <v>34.380000000000003</v>
      </c>
      <c r="H28" s="139">
        <v>35.39</v>
      </c>
      <c r="I28" s="139">
        <v>36.4</v>
      </c>
      <c r="J28" s="139">
        <v>37.409999999999997</v>
      </c>
      <c r="K28" s="139">
        <v>38.43</v>
      </c>
      <c r="L28" s="139">
        <v>39.44</v>
      </c>
    </row>
    <row r="29" spans="1:12" ht="15" thickBot="1" x14ac:dyDescent="0.35">
      <c r="A29" s="471"/>
      <c r="B29" s="138" t="s">
        <v>233</v>
      </c>
      <c r="C29" s="139">
        <v>45.5</v>
      </c>
      <c r="D29" s="139">
        <v>47.03</v>
      </c>
      <c r="E29" s="139">
        <v>48.54</v>
      </c>
      <c r="F29" s="139">
        <v>50.06</v>
      </c>
      <c r="G29" s="139">
        <v>51.57</v>
      </c>
      <c r="H29" s="139">
        <v>53.09</v>
      </c>
      <c r="I29" s="139">
        <v>54.6</v>
      </c>
      <c r="J29" s="139">
        <v>55.35</v>
      </c>
      <c r="K29" s="139">
        <v>55.35</v>
      </c>
      <c r="L29" s="139">
        <v>55.35</v>
      </c>
    </row>
    <row r="30" spans="1:12" ht="15" thickBot="1" x14ac:dyDescent="0.35">
      <c r="A30" s="470">
        <v>9</v>
      </c>
      <c r="B30" s="138" t="s">
        <v>232</v>
      </c>
      <c r="C30" s="139">
        <v>33.5</v>
      </c>
      <c r="D30" s="139">
        <v>34.619999999999997</v>
      </c>
      <c r="E30" s="139">
        <v>35.74</v>
      </c>
      <c r="F30" s="139">
        <v>36.85</v>
      </c>
      <c r="G30" s="139">
        <v>37.97</v>
      </c>
      <c r="H30" s="139">
        <v>39.090000000000003</v>
      </c>
      <c r="I30" s="139">
        <v>40.200000000000003</v>
      </c>
      <c r="J30" s="139">
        <v>41.32</v>
      </c>
      <c r="K30" s="139">
        <v>42.44</v>
      </c>
      <c r="L30" s="139">
        <v>43.55</v>
      </c>
    </row>
    <row r="31" spans="1:12" ht="15" thickBot="1" x14ac:dyDescent="0.35">
      <c r="A31" s="471"/>
      <c r="B31" s="138" t="s">
        <v>233</v>
      </c>
      <c r="C31" s="139">
        <v>50.25</v>
      </c>
      <c r="D31" s="139">
        <v>51.93</v>
      </c>
      <c r="E31" s="139">
        <v>53.61</v>
      </c>
      <c r="F31" s="139">
        <v>55.28</v>
      </c>
      <c r="G31" s="139">
        <v>55.35</v>
      </c>
      <c r="H31" s="139">
        <v>55.35</v>
      </c>
      <c r="I31" s="139">
        <v>55.35</v>
      </c>
      <c r="J31" s="139">
        <v>55.35</v>
      </c>
      <c r="K31" s="139">
        <v>55.35</v>
      </c>
      <c r="L31" s="139">
        <v>55.35</v>
      </c>
    </row>
    <row r="32" spans="1:12" ht="15" thickBot="1" x14ac:dyDescent="0.35">
      <c r="A32" s="470">
        <v>10</v>
      </c>
      <c r="B32" s="138" t="s">
        <v>232</v>
      </c>
      <c r="C32" s="139">
        <v>36.9</v>
      </c>
      <c r="D32" s="139">
        <v>38.130000000000003</v>
      </c>
      <c r="E32" s="139">
        <v>39.35</v>
      </c>
      <c r="F32" s="139">
        <v>40.58</v>
      </c>
      <c r="G32" s="139">
        <v>41.81</v>
      </c>
      <c r="H32" s="139">
        <v>43.04</v>
      </c>
      <c r="I32" s="139">
        <v>44.27</v>
      </c>
      <c r="J32" s="139">
        <v>45.5</v>
      </c>
      <c r="K32" s="139">
        <v>46.73</v>
      </c>
      <c r="L32" s="139">
        <v>47.96</v>
      </c>
    </row>
    <row r="33" spans="1:12" ht="15" thickBot="1" x14ac:dyDescent="0.35">
      <c r="A33" s="471"/>
      <c r="B33" s="138" t="s">
        <v>233</v>
      </c>
      <c r="C33" s="139">
        <v>55.35</v>
      </c>
      <c r="D33" s="139">
        <v>55.35</v>
      </c>
      <c r="E33" s="139">
        <v>55.35</v>
      </c>
      <c r="F33" s="139">
        <v>55.35</v>
      </c>
      <c r="G33" s="139">
        <v>55.35</v>
      </c>
      <c r="H33" s="139">
        <v>55.35</v>
      </c>
      <c r="I33" s="139">
        <v>55.35</v>
      </c>
      <c r="J33" s="139">
        <v>55.35</v>
      </c>
      <c r="K33" s="139">
        <v>55.35</v>
      </c>
      <c r="L33" s="139">
        <v>55.35</v>
      </c>
    </row>
    <row r="34" spans="1:12" ht="15" thickBot="1" x14ac:dyDescent="0.35">
      <c r="A34" s="470">
        <v>11</v>
      </c>
      <c r="B34" s="138" t="s">
        <v>232</v>
      </c>
      <c r="C34" s="139">
        <v>40.54</v>
      </c>
      <c r="D34" s="139">
        <v>41.89</v>
      </c>
      <c r="E34" s="139">
        <v>43.24</v>
      </c>
      <c r="F34" s="139">
        <v>44.59</v>
      </c>
      <c r="G34" s="139">
        <v>45.94</v>
      </c>
      <c r="H34" s="139">
        <v>47.29</v>
      </c>
      <c r="I34" s="139">
        <v>48.64</v>
      </c>
      <c r="J34" s="139">
        <v>49.99</v>
      </c>
      <c r="K34" s="139">
        <v>51.34</v>
      </c>
      <c r="L34" s="139">
        <v>52.7</v>
      </c>
    </row>
    <row r="35" spans="1:12" ht="15" thickBot="1" x14ac:dyDescent="0.35">
      <c r="A35" s="471"/>
      <c r="B35" s="138" t="s">
        <v>233</v>
      </c>
      <c r="C35" s="139">
        <v>55.35</v>
      </c>
      <c r="D35" s="139">
        <v>55.35</v>
      </c>
      <c r="E35" s="139">
        <v>55.35</v>
      </c>
      <c r="F35" s="139">
        <v>55.35</v>
      </c>
      <c r="G35" s="139">
        <v>55.35</v>
      </c>
      <c r="H35" s="139">
        <v>55.35</v>
      </c>
      <c r="I35" s="139">
        <v>55.35</v>
      </c>
      <c r="J35" s="139">
        <v>55.35</v>
      </c>
      <c r="K35" s="139">
        <v>55.35</v>
      </c>
      <c r="L35" s="139">
        <v>55.35</v>
      </c>
    </row>
    <row r="36" spans="1:12" ht="15" thickBot="1" x14ac:dyDescent="0.35">
      <c r="A36" s="470">
        <v>12</v>
      </c>
      <c r="B36" s="138" t="s">
        <v>232</v>
      </c>
      <c r="C36" s="139">
        <v>48.59</v>
      </c>
      <c r="D36" s="139">
        <v>50.21</v>
      </c>
      <c r="E36" s="139">
        <v>51.83</v>
      </c>
      <c r="F36" s="139">
        <v>53.45</v>
      </c>
      <c r="G36" s="139">
        <v>55.07</v>
      </c>
      <c r="H36" s="139">
        <v>56.69</v>
      </c>
      <c r="I36" s="139">
        <v>58.31</v>
      </c>
      <c r="J36" s="139">
        <v>59.93</v>
      </c>
      <c r="K36" s="139">
        <v>61.55</v>
      </c>
      <c r="L36" s="139">
        <v>63.17</v>
      </c>
    </row>
    <row r="37" spans="1:12" ht="15" thickBot="1" x14ac:dyDescent="0.35">
      <c r="A37" s="471"/>
      <c r="B37" s="138" t="s">
        <v>233</v>
      </c>
      <c r="C37" s="139">
        <v>55.35</v>
      </c>
      <c r="D37" s="139">
        <v>55.35</v>
      </c>
      <c r="E37" s="139">
        <v>55.35</v>
      </c>
      <c r="F37" s="139">
        <v>55.35</v>
      </c>
      <c r="G37" s="139">
        <v>55.35</v>
      </c>
      <c r="H37" s="139">
        <v>56.69</v>
      </c>
      <c r="I37" s="139">
        <v>58.31</v>
      </c>
      <c r="J37" s="139">
        <v>59.93</v>
      </c>
      <c r="K37" s="139">
        <v>61.55</v>
      </c>
      <c r="L37" s="139">
        <v>63.17</v>
      </c>
    </row>
    <row r="38" spans="1:12" ht="15" thickBot="1" x14ac:dyDescent="0.35">
      <c r="A38" s="470">
        <v>13</v>
      </c>
      <c r="B38" s="138" t="s">
        <v>232</v>
      </c>
      <c r="C38" s="139">
        <v>57.78</v>
      </c>
      <c r="D38" s="139">
        <v>59.7</v>
      </c>
      <c r="E38" s="139">
        <v>61.63</v>
      </c>
      <c r="F38" s="139">
        <v>63.55</v>
      </c>
      <c r="G38" s="139">
        <v>65.48</v>
      </c>
      <c r="H38" s="139">
        <v>67.41</v>
      </c>
      <c r="I38" s="139">
        <v>69.33</v>
      </c>
      <c r="J38" s="139">
        <v>71.260000000000005</v>
      </c>
      <c r="K38" s="139">
        <v>73.180000000000007</v>
      </c>
      <c r="L38" s="139">
        <v>75.11</v>
      </c>
    </row>
    <row r="39" spans="1:12" ht="15" thickBot="1" x14ac:dyDescent="0.35">
      <c r="A39" s="471"/>
      <c r="B39" s="138" t="s">
        <v>233</v>
      </c>
      <c r="C39" s="139">
        <v>57.78</v>
      </c>
      <c r="D39" s="139">
        <v>59.7</v>
      </c>
      <c r="E39" s="139">
        <v>61.63</v>
      </c>
      <c r="F39" s="139">
        <v>63.55</v>
      </c>
      <c r="G39" s="139">
        <v>65.48</v>
      </c>
      <c r="H39" s="139">
        <v>67.41</v>
      </c>
      <c r="I39" s="139">
        <v>69.33</v>
      </c>
      <c r="J39" s="139">
        <v>71.260000000000005</v>
      </c>
      <c r="K39" s="139">
        <v>73.180000000000007</v>
      </c>
      <c r="L39" s="139">
        <v>75.11</v>
      </c>
    </row>
    <row r="40" spans="1:12" ht="15" thickBot="1" x14ac:dyDescent="0.35">
      <c r="A40" s="470">
        <v>14</v>
      </c>
      <c r="B40" s="138" t="s">
        <v>232</v>
      </c>
      <c r="C40" s="139">
        <v>68.27</v>
      </c>
      <c r="D40" s="139">
        <v>70.55</v>
      </c>
      <c r="E40" s="139">
        <v>72.83</v>
      </c>
      <c r="F40" s="139">
        <v>75.099999999999994</v>
      </c>
      <c r="G40" s="139">
        <v>77.38</v>
      </c>
      <c r="H40" s="139">
        <v>79.650000000000006</v>
      </c>
      <c r="I40" s="139">
        <v>81.93</v>
      </c>
      <c r="J40" s="139">
        <v>84.2</v>
      </c>
      <c r="K40" s="139">
        <v>86.48</v>
      </c>
      <c r="L40" s="139">
        <v>88.76</v>
      </c>
    </row>
    <row r="41" spans="1:12" ht="15" thickBot="1" x14ac:dyDescent="0.35">
      <c r="A41" s="471"/>
      <c r="B41" s="138" t="s">
        <v>233</v>
      </c>
      <c r="C41" s="139">
        <v>68.27</v>
      </c>
      <c r="D41" s="139">
        <v>70.55</v>
      </c>
      <c r="E41" s="139">
        <v>72.83</v>
      </c>
      <c r="F41" s="139">
        <v>75.099999999999994</v>
      </c>
      <c r="G41" s="139">
        <v>77.38</v>
      </c>
      <c r="H41" s="139">
        <v>79.650000000000006</v>
      </c>
      <c r="I41" s="139">
        <v>81.93</v>
      </c>
      <c r="J41" s="139">
        <v>84.2</v>
      </c>
      <c r="K41" s="139">
        <v>86.48</v>
      </c>
      <c r="L41" s="139">
        <v>88.76</v>
      </c>
    </row>
    <row r="42" spans="1:12" ht="15" thickBot="1" x14ac:dyDescent="0.35">
      <c r="A42" s="470">
        <v>15</v>
      </c>
      <c r="B42" s="138" t="s">
        <v>232</v>
      </c>
      <c r="C42" s="139">
        <v>80.31</v>
      </c>
      <c r="D42" s="139">
        <v>82.99</v>
      </c>
      <c r="E42" s="139">
        <v>85.66</v>
      </c>
      <c r="F42" s="139">
        <v>88.34</v>
      </c>
      <c r="G42" s="139">
        <v>91.02</v>
      </c>
      <c r="H42" s="139">
        <v>93.53</v>
      </c>
      <c r="I42" s="139">
        <v>93.53</v>
      </c>
      <c r="J42" s="139">
        <v>93.53</v>
      </c>
      <c r="K42" s="139">
        <v>93.53</v>
      </c>
      <c r="L42" s="139">
        <v>93.53</v>
      </c>
    </row>
    <row r="43" spans="1:12" ht="15" thickBot="1" x14ac:dyDescent="0.35">
      <c r="A43" s="471"/>
      <c r="B43" s="138" t="s">
        <v>233</v>
      </c>
      <c r="C43" s="139">
        <v>80.31</v>
      </c>
      <c r="D43" s="139">
        <v>82.99</v>
      </c>
      <c r="E43" s="139">
        <v>85.66</v>
      </c>
      <c r="F43" s="139">
        <v>88.34</v>
      </c>
      <c r="G43" s="139">
        <v>91.02</v>
      </c>
      <c r="H43" s="139">
        <v>93.53</v>
      </c>
      <c r="I43" s="139">
        <v>93.53</v>
      </c>
      <c r="J43" s="139">
        <v>93.53</v>
      </c>
      <c r="K43" s="139">
        <v>93.53</v>
      </c>
      <c r="L43" s="139">
        <v>93.53</v>
      </c>
    </row>
  </sheetData>
  <mergeCells count="15">
    <mergeCell ref="A24:A25"/>
    <mergeCell ref="A14:A15"/>
    <mergeCell ref="A16:A17"/>
    <mergeCell ref="A18:A19"/>
    <mergeCell ref="A20:A21"/>
    <mergeCell ref="A22:A23"/>
    <mergeCell ref="A38:A39"/>
    <mergeCell ref="A40:A41"/>
    <mergeCell ref="A42:A43"/>
    <mergeCell ref="A26:A27"/>
    <mergeCell ref="A28:A29"/>
    <mergeCell ref="A30:A31"/>
    <mergeCell ref="A32:A33"/>
    <mergeCell ref="A34:A35"/>
    <mergeCell ref="A36:A37"/>
  </mergeCells>
  <hyperlinks>
    <hyperlink ref="A2" r:id="rId1" display="https://www.opm.gov/policy-data-oversight/pay-leave/salaries-wages/salary-tables/pdf/2025/DCB_h.pdf" xr:uid="{B2F4E23E-4F16-4EC9-8C9C-7538E8F9B4C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D229D1FA8590A3468255F3FA7D39B1DA" ma:contentTypeVersion="8" ma:contentTypeDescription="Create a new document." ma:contentTypeScope="" ma:versionID="4ecce23c3f96ea7cff5bdaa933d696ac">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ac07eb5e-720c-4c0e-afb7-3f9edc60fc7f" xmlns:ns6="369941d8-ad61-4612-8199-fa251bcdca09" targetNamespace="http://schemas.microsoft.com/office/2006/metadata/properties" ma:root="true" ma:fieldsID="292c560cb096124b334ce2d6d656d32a" ns1:_="" ns2:_="" ns3:_="" ns4:_="" ns5:_="" ns6:_="">
    <xsd:import namespace="http://schemas.microsoft.com/sharepoint/v3"/>
    <xsd:import namespace="4ffa91fb-a0ff-4ac5-b2db-65c790d184a4"/>
    <xsd:import namespace="http://schemas.microsoft.com/sharepoint.v3"/>
    <xsd:import namespace="http://schemas.microsoft.com/sharepoint/v3/fields"/>
    <xsd:import namespace="ac07eb5e-720c-4c0e-afb7-3f9edc60fc7f"/>
    <xsd:import namespace="369941d8-ad61-4612-8199-fa251bcdca09"/>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SearchPropertie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d0c00c4a-2eec-4eb5-8f29-5755ddae8d62}" ma:internalName="TaxCatchAllLabel" ma:readOnly="true" ma:showField="CatchAllDataLabel" ma:web="369941d8-ad61-4612-8199-fa251bcdca09">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d0c00c4a-2eec-4eb5-8f29-5755ddae8d62}" ma:internalName="TaxCatchAll" ma:showField="CatchAllData" ma:web="369941d8-ad61-4612-8199-fa251bcdca0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07eb5e-720c-4c0e-afb7-3f9edc60fc7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9941d8-ad61-4612-8199-fa251bcdca0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2026-03-25T15:43:12+00:00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Props1.xml><?xml version="1.0" encoding="utf-8"?>
<ds:datastoreItem xmlns:ds="http://schemas.openxmlformats.org/officeDocument/2006/customXml" ds:itemID="{350C296B-6F9D-4E1E-91EE-644479DB9A4F}">
  <ds:schemaRefs>
    <ds:schemaRef ds:uri="http://schemas.microsoft.com/sharepoint/v3/contenttype/forms"/>
  </ds:schemaRefs>
</ds:datastoreItem>
</file>

<file path=customXml/itemProps2.xml><?xml version="1.0" encoding="utf-8"?>
<ds:datastoreItem xmlns:ds="http://schemas.openxmlformats.org/officeDocument/2006/customXml" ds:itemID="{22107DCE-FB9E-45B7-88C1-37D2B0E9C81D}">
  <ds:schemaRefs>
    <ds:schemaRef ds:uri="Microsoft.SharePoint.Taxonomy.ContentTypeSync"/>
  </ds:schemaRefs>
</ds:datastoreItem>
</file>

<file path=customXml/itemProps3.xml><?xml version="1.0" encoding="utf-8"?>
<ds:datastoreItem xmlns:ds="http://schemas.openxmlformats.org/officeDocument/2006/customXml" ds:itemID="{C30C5F66-E4DB-49D8-B1BA-D55A01F6EC47}"/>
</file>

<file path=customXml/itemProps4.xml><?xml version="1.0" encoding="utf-8"?>
<ds:datastoreItem xmlns:ds="http://schemas.openxmlformats.org/officeDocument/2006/customXml" ds:itemID="{B9A0428C-E73E-48F2-8311-BBC1AABD8D36}">
  <ds:schemaRefs>
    <ds:schemaRef ds:uri="http://purl.org/dc/terms/"/>
    <ds:schemaRef ds:uri="http://schemas.openxmlformats.org/package/2006/metadata/core-properties"/>
    <ds:schemaRef ds:uri="http://schemas.microsoft.com/office/2006/documentManagement/types"/>
    <ds:schemaRef ds:uri="http://schemas.microsoft.com/sharepoint/v3"/>
    <ds:schemaRef ds:uri="http://purl.org/dc/elements/1.1/"/>
    <ds:schemaRef ds:uri="http://schemas.microsoft.com/office/2006/metadata/properties"/>
    <ds:schemaRef ds:uri="http://www.w3.org/XML/1998/namespace"/>
    <ds:schemaRef ds:uri="http://purl.org/dc/dcmitype/"/>
    <ds:schemaRef ds:uri="4ffa91fb-a0ff-4ac5-b2db-65c790d184a4"/>
    <ds:schemaRef ds:uri="0fe07e75-888f-4e86-bb9a-1c71788c08e7"/>
    <ds:schemaRef ds:uri="http://schemas.microsoft.com/office/infopath/2007/PartnerControls"/>
    <ds:schemaRef ds:uri="649ad6f3-8bc1-4de1-b381-2a4caf901313"/>
    <ds:schemaRef ds:uri="http://schemas.microsoft.com/sharepoint/v3/field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2021_v16</vt:lpstr>
      <vt:lpstr>2021_v16 Corrected Values</vt:lpstr>
      <vt:lpstr>1352.19 Renewal</vt:lpstr>
      <vt:lpstr>ICR .19 Renewal Tables</vt:lpstr>
      <vt:lpstr>BLS ECEC Dec 2025 - Private</vt:lpstr>
      <vt:lpstr>BLS ECEC Dec 2025 - Public</vt:lpstr>
      <vt:lpstr>GDP Price Deflator</vt:lpstr>
      <vt:lpstr>Agency Labor Rates</vt:lpstr>
      <vt:lpstr>'ICR .19 Renewal Tables'!_Ref221186082</vt:lpstr>
      <vt:lpstr>'BLS ECEC Dec 2025 - Public'!ect_table3.f.1</vt:lpstr>
      <vt:lpstr>'BLS ECEC Dec 2025 - Public'!ect_table3.f.2</vt:lpstr>
      <vt:lpstr>'BLS ECEC Dec 2025 - Private'!ect_table4.f.1</vt:lpstr>
      <vt:lpstr>'BLS ECEC Dec 2025 - Private'!ect_table4.f.2</vt:lpstr>
      <vt:lpstr>'BLS ECEC Dec 2025 - Private'!ect_table4.f.3</vt:lpstr>
      <vt:lpstr>'BLS ECEC Dec 2025 - Private'!ect_table4.f.4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Hoffman</dc:creator>
  <cp:keywords/>
  <dc:description/>
  <cp:lastModifiedBy>Dan Basoli</cp:lastModifiedBy>
  <cp:revision/>
  <dcterms:created xsi:type="dcterms:W3CDTF">2018-06-29T17:26:21Z</dcterms:created>
  <dcterms:modified xsi:type="dcterms:W3CDTF">2026-07-09T12:03:22Z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0x010100D229D1FA8590A3468255F3FA7D39B1DA</vt:lpwstr>
  </property>
  <property fmtid="{D5CDD505-2E9C-101B-9397-08002B2CF9AE}" pid="3" name="TaxKeyword">
    <vt:lpwstr/>
  </property>
  <property fmtid="{D5CDD505-2E9C-101B-9397-08002B2CF9AE}" pid="4" name="Document_x0020_Type">
    <vt:lpwstr/>
  </property>
  <property fmtid="{D5CDD505-2E9C-101B-9397-08002B2CF9AE}" pid="5" name="Document Type">
    <vt:lpwstr/>
  </property>
  <property fmtid="{D5CDD505-2E9C-101B-9397-08002B2CF9AE}" pid="6" name="Order">
    <vt:r8>290300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EPA Subject">
    <vt:lpwstr/>
  </property>
  <property fmtid="{D5CDD505-2E9C-101B-9397-08002B2CF9AE}" pid="12" name="e3f09c3df709400db2417a7161762d62">
    <vt:lpwstr/>
  </property>
  <property fmtid="{D5CDD505-2E9C-101B-9397-08002B2CF9AE}" pid="13" name="_ExtendedDescription">
    <vt:lpwstr/>
  </property>
  <property fmtid="{D5CDD505-2E9C-101B-9397-08002B2CF9AE}" pid="14" name="TriggerFlowInfo">
    <vt:lpwstr/>
  </property>
  <property fmtid="{D5CDD505-2E9C-101B-9397-08002B2CF9AE}" pid="15" name="MediaServiceImageTags">
    <vt:lpwstr/>
  </property>
  <property fmtid="{D5CDD505-2E9C-101B-9397-08002B2CF9AE}" pid="16" name="EPA_x0020_Subject">
    <vt:lpwstr/>
  </property>
</Properties>
</file>