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https://easternresearchgroup.sharepoint.com/sites/CAAICRRenewals/Shared Documents/General/FY25_Drafts/1730.13 NSPS for Hospital Medical Infectious Waste Incinerators/Send to EPA/"/>
    </mc:Choice>
  </mc:AlternateContent>
  <xr:revisionPtr revIDLastSave="84" documentId="8_{1F19FDA3-560B-49BD-AC89-FB532910261C}" xr6:coauthVersionLast="47" xr6:coauthVersionMax="47" xr10:uidLastSave="{539EB3E7-440F-4EB3-A15C-8F8D7B1BF624}"/>
  <bookViews>
    <workbookView xWindow="22932" yWindow="-108" windowWidth="23256" windowHeight="12456" activeTab="3" xr2:uid="{D855CF00-F869-48B3-9963-4AD001D31E8A}"/>
  </bookViews>
  <sheets>
    <sheet name="Table 1" sheetId="7" r:id="rId1"/>
    <sheet name="Table 2" sheetId="8" r:id="rId2"/>
    <sheet name="Summary" sheetId="6" r:id="rId3"/>
    <sheet name="Capital O&amp;M" sheetId="3" r:id="rId4"/>
    <sheet name="Responses" sheetId="5" r:id="rId5"/>
    <sheet name="Respondents"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8" l="1"/>
  <c r="I62" i="7"/>
  <c r="L61" i="7"/>
  <c r="G16" i="3"/>
  <c r="K6" i="3"/>
  <c r="F60" i="7" l="1"/>
  <c r="F59" i="7"/>
  <c r="E25" i="8" l="1"/>
  <c r="E29" i="8"/>
  <c r="E35" i="7"/>
  <c r="E33" i="7"/>
  <c r="E24" i="5"/>
  <c r="G57" i="7"/>
  <c r="I59" i="7"/>
  <c r="I47" i="7"/>
  <c r="I46" i="7"/>
  <c r="I32" i="7"/>
  <c r="I14" i="7"/>
  <c r="I12" i="7"/>
  <c r="I11" i="7"/>
  <c r="I8" i="7"/>
  <c r="I6" i="7"/>
  <c r="H6" i="7"/>
  <c r="E11" i="3" l="1"/>
  <c r="G11" i="3" s="1"/>
  <c r="E6" i="3" l="1"/>
  <c r="G6" i="3" s="1"/>
  <c r="E9" i="3"/>
  <c r="G9" i="3" s="1"/>
  <c r="E8" i="3"/>
  <c r="G8" i="3" s="1"/>
  <c r="B7" i="3"/>
  <c r="D7" i="3" s="1"/>
  <c r="B8" i="3"/>
  <c r="D8" i="3" s="1"/>
  <c r="B9" i="3"/>
  <c r="D9" i="3" s="1"/>
  <c r="B10" i="3"/>
  <c r="D10" i="3" s="1"/>
  <c r="B12" i="3"/>
  <c r="D12" i="3" s="1"/>
  <c r="B13" i="3"/>
  <c r="D13" i="3" s="1"/>
  <c r="E5" i="3"/>
  <c r="G5" i="3" s="1"/>
  <c r="I61" i="7" s="1"/>
  <c r="E7" i="3"/>
  <c r="G7" i="3" s="1"/>
  <c r="E13" i="3"/>
  <c r="G13" i="3" s="1"/>
  <c r="E12" i="3"/>
  <c r="G12" i="3" s="1"/>
  <c r="E15" i="3"/>
  <c r="G15" i="3" s="1"/>
  <c r="E10" i="3"/>
  <c r="G10" i="3" s="1"/>
  <c r="B5" i="3"/>
  <c r="D5" i="3" s="1"/>
  <c r="B6" i="3"/>
  <c r="D6" i="3" s="1"/>
  <c r="E14" i="3"/>
  <c r="G14" i="3" s="1"/>
  <c r="E8" i="8"/>
  <c r="F6" i="8"/>
  <c r="H6" i="8" s="1"/>
  <c r="F5" i="8"/>
  <c r="H5" i="8" s="1"/>
  <c r="E31" i="8"/>
  <c r="F31" i="8" s="1"/>
  <c r="E56" i="7"/>
  <c r="H27" i="7"/>
  <c r="H29" i="7"/>
  <c r="F28" i="7"/>
  <c r="G28" i="7" s="1"/>
  <c r="B23" i="5"/>
  <c r="B21" i="5"/>
  <c r="B19" i="5"/>
  <c r="D15" i="3"/>
  <c r="D14" i="3"/>
  <c r="D11" i="3"/>
  <c r="D3" i="8"/>
  <c r="F3" i="8" s="1"/>
  <c r="D5" i="8"/>
  <c r="D6" i="8"/>
  <c r="D8" i="8"/>
  <c r="D10" i="8"/>
  <c r="F10" i="8" s="1"/>
  <c r="D11" i="8"/>
  <c r="F11" i="8" s="1"/>
  <c r="D12" i="8"/>
  <c r="F12" i="8" s="1"/>
  <c r="D13" i="8"/>
  <c r="F13" i="8" s="1"/>
  <c r="G13" i="8" s="1"/>
  <c r="D14" i="8"/>
  <c r="F14" i="8" s="1"/>
  <c r="D15" i="8"/>
  <c r="F15" i="8"/>
  <c r="G15" i="8" s="1"/>
  <c r="D16" i="8"/>
  <c r="F16" i="8"/>
  <c r="H16" i="8" s="1"/>
  <c r="D17" i="8"/>
  <c r="F17" i="8"/>
  <c r="G17" i="8" s="1"/>
  <c r="D18" i="8"/>
  <c r="F18" i="8" s="1"/>
  <c r="D19" i="8"/>
  <c r="F19" i="8" s="1"/>
  <c r="D20" i="8"/>
  <c r="D21" i="8"/>
  <c r="F21" i="8" s="1"/>
  <c r="D24" i="8"/>
  <c r="F24" i="8"/>
  <c r="G24" i="8" s="1"/>
  <c r="D25" i="8"/>
  <c r="F25" i="8" s="1"/>
  <c r="G25" i="8" s="1"/>
  <c r="D27" i="8"/>
  <c r="F27" i="8" s="1"/>
  <c r="D28" i="8"/>
  <c r="F28" i="8" s="1"/>
  <c r="D29" i="8"/>
  <c r="D30" i="8"/>
  <c r="F30" i="8" s="1"/>
  <c r="D31" i="8"/>
  <c r="D6" i="7"/>
  <c r="F6" i="7"/>
  <c r="G6" i="7" s="1"/>
  <c r="D8" i="7"/>
  <c r="F8" i="7" s="1"/>
  <c r="H8" i="7" s="1"/>
  <c r="D9" i="7"/>
  <c r="F9" i="7"/>
  <c r="H9" i="7" s="1"/>
  <c r="G9" i="7"/>
  <c r="D10" i="7"/>
  <c r="F10" i="7" s="1"/>
  <c r="D11" i="7"/>
  <c r="F11" i="7" s="1"/>
  <c r="D12" i="7"/>
  <c r="F12" i="7" s="1"/>
  <c r="D13" i="7"/>
  <c r="F13" i="7" s="1"/>
  <c r="G13" i="7" s="1"/>
  <c r="D14" i="7"/>
  <c r="F14" i="7"/>
  <c r="G14" i="7" s="1"/>
  <c r="H14" i="7"/>
  <c r="D18" i="7"/>
  <c r="F18" i="7"/>
  <c r="G18" i="7" s="1"/>
  <c r="H18" i="7"/>
  <c r="D19" i="7"/>
  <c r="F19" i="7" s="1"/>
  <c r="H19" i="7" s="1"/>
  <c r="D20" i="7"/>
  <c r="F20" i="7"/>
  <c r="H20" i="7" s="1"/>
  <c r="D21" i="7"/>
  <c r="F21" i="7" s="1"/>
  <c r="D22" i="7"/>
  <c r="F22" i="7" s="1"/>
  <c r="D23" i="7"/>
  <c r="F23" i="7" s="1"/>
  <c r="D24" i="7"/>
  <c r="F24" i="7"/>
  <c r="G24" i="7" s="1"/>
  <c r="D25" i="7"/>
  <c r="F25" i="7"/>
  <c r="G25" i="7" s="1"/>
  <c r="H25" i="7"/>
  <c r="D26" i="7"/>
  <c r="F26" i="7" s="1"/>
  <c r="H26" i="7" s="1"/>
  <c r="D27" i="7"/>
  <c r="F27" i="7"/>
  <c r="G27" i="7" s="1"/>
  <c r="D28" i="7"/>
  <c r="D29" i="7"/>
  <c r="F29" i="7" s="1"/>
  <c r="G29" i="7" s="1"/>
  <c r="D32" i="7"/>
  <c r="F32" i="7"/>
  <c r="H32" i="7" s="1"/>
  <c r="G32" i="7"/>
  <c r="D33" i="7"/>
  <c r="D34" i="7"/>
  <c r="F34" i="7" s="1"/>
  <c r="D35" i="7"/>
  <c r="D37" i="7"/>
  <c r="D46" i="7"/>
  <c r="F46" i="7" s="1"/>
  <c r="H46" i="7" s="1"/>
  <c r="D47" i="7"/>
  <c r="F47" i="7"/>
  <c r="G47" i="7" s="1"/>
  <c r="D49" i="7"/>
  <c r="F49" i="7"/>
  <c r="H49" i="7" s="1"/>
  <c r="D50" i="7"/>
  <c r="F50" i="7" s="1"/>
  <c r="H50" i="7" s="1"/>
  <c r="D51" i="7"/>
  <c r="F51" i="7" s="1"/>
  <c r="D52" i="7"/>
  <c r="F52" i="7" s="1"/>
  <c r="D53" i="7"/>
  <c r="F53" i="7" s="1"/>
  <c r="D56" i="7"/>
  <c r="D57" i="7"/>
  <c r="F57" i="7" s="1"/>
  <c r="D16" i="3" l="1"/>
  <c r="G26" i="7"/>
  <c r="H28" i="7"/>
  <c r="I9" i="7"/>
  <c r="F33" i="7"/>
  <c r="F56" i="7"/>
  <c r="G56" i="7" s="1"/>
  <c r="H47" i="7"/>
  <c r="F35" i="7"/>
  <c r="G35" i="7" s="1"/>
  <c r="G6" i="8"/>
  <c r="G5" i="8"/>
  <c r="H31" i="8"/>
  <c r="G31" i="8"/>
  <c r="G19" i="8"/>
  <c r="I19" i="8" s="1"/>
  <c r="H19" i="8"/>
  <c r="G11" i="8"/>
  <c r="H11" i="8"/>
  <c r="I11" i="8" s="1"/>
  <c r="H28" i="8"/>
  <c r="G28" i="8"/>
  <c r="G3" i="8"/>
  <c r="H3" i="8"/>
  <c r="F20" i="8"/>
  <c r="G20" i="8" s="1"/>
  <c r="G16" i="8"/>
  <c r="I16" i="8" s="1"/>
  <c r="F8" i="8"/>
  <c r="G8" i="8" s="1"/>
  <c r="F29" i="8"/>
  <c r="G29" i="8" s="1"/>
  <c r="H24" i="8"/>
  <c r="I24" i="8" s="1"/>
  <c r="H15" i="8"/>
  <c r="I15" i="8" s="1"/>
  <c r="I28" i="8"/>
  <c r="G50" i="7"/>
  <c r="I50" i="7"/>
  <c r="G49" i="7"/>
  <c r="I28" i="7"/>
  <c r="I25" i="7"/>
  <c r="G20" i="7"/>
  <c r="I20" i="7" s="1"/>
  <c r="G19" i="7"/>
  <c r="I18" i="7"/>
  <c r="G8" i="7"/>
  <c r="E37" i="7"/>
  <c r="F37" i="7" s="1"/>
  <c r="G12" i="8"/>
  <c r="H12" i="8"/>
  <c r="G27" i="8"/>
  <c r="H27" i="8"/>
  <c r="G21" i="8"/>
  <c r="H21" i="8"/>
  <c r="G18" i="8"/>
  <c r="H18" i="8"/>
  <c r="I18" i="8" s="1"/>
  <c r="G30" i="8"/>
  <c r="H30" i="8"/>
  <c r="H14" i="8"/>
  <c r="G14" i="8"/>
  <c r="I14" i="8" s="1"/>
  <c r="G10" i="8"/>
  <c r="H10" i="8"/>
  <c r="H25" i="8"/>
  <c r="I25" i="8" s="1"/>
  <c r="H20" i="8"/>
  <c r="I20" i="8" s="1"/>
  <c r="H17" i="8"/>
  <c r="I17" i="8" s="1"/>
  <c r="E6" i="8"/>
  <c r="H13" i="8"/>
  <c r="I13" i="8" s="1"/>
  <c r="I31" i="8"/>
  <c r="H57" i="7"/>
  <c r="I57" i="7"/>
  <c r="G53" i="7"/>
  <c r="H53" i="7"/>
  <c r="H52" i="7"/>
  <c r="G52" i="7"/>
  <c r="G23" i="7"/>
  <c r="H23" i="7"/>
  <c r="I23" i="7"/>
  <c r="G51" i="7"/>
  <c r="H51" i="7"/>
  <c r="H22" i="7"/>
  <c r="G22" i="7"/>
  <c r="I22" i="7" s="1"/>
  <c r="G12" i="7"/>
  <c r="H12" i="7"/>
  <c r="I29" i="7"/>
  <c r="I26" i="7"/>
  <c r="G21" i="7"/>
  <c r="H21" i="7"/>
  <c r="H11" i="7"/>
  <c r="G11" i="7"/>
  <c r="G34" i="7"/>
  <c r="H34" i="7"/>
  <c r="I34" i="7"/>
  <c r="G10" i="7"/>
  <c r="H10" i="7"/>
  <c r="G46" i="7"/>
  <c r="I24" i="7"/>
  <c r="I13" i="7"/>
  <c r="I49" i="7"/>
  <c r="H35" i="7"/>
  <c r="I35" i="7" s="1"/>
  <c r="I27" i="7"/>
  <c r="H24" i="7"/>
  <c r="I19" i="7"/>
  <c r="H13" i="7"/>
  <c r="B6" i="6" l="1"/>
  <c r="I16" i="3"/>
  <c r="G33" i="7"/>
  <c r="H56" i="7"/>
  <c r="I56" i="7" s="1"/>
  <c r="H33" i="7"/>
  <c r="I53" i="7"/>
  <c r="I51" i="7"/>
  <c r="I10" i="8"/>
  <c r="I5" i="8"/>
  <c r="I3" i="8"/>
  <c r="H8" i="8"/>
  <c r="I12" i="8"/>
  <c r="H29" i="8"/>
  <c r="I29" i="8" s="1"/>
  <c r="I21" i="8"/>
  <c r="I27" i="8"/>
  <c r="I30" i="8"/>
  <c r="I52" i="7"/>
  <c r="I21" i="7"/>
  <c r="I10" i="7"/>
  <c r="H37" i="7"/>
  <c r="G37" i="7"/>
  <c r="F32" i="8" l="1"/>
  <c r="F38" i="7"/>
  <c r="I33" i="7"/>
  <c r="B2" i="6"/>
  <c r="I8" i="8"/>
  <c r="I37" i="7"/>
  <c r="I6" i="8"/>
  <c r="E5" i="5"/>
  <c r="E6" i="5"/>
  <c r="E7" i="5"/>
  <c r="E8" i="5"/>
  <c r="E9" i="5"/>
  <c r="E10" i="5"/>
  <c r="E11" i="5"/>
  <c r="E12" i="5"/>
  <c r="E13" i="5"/>
  <c r="E14" i="5"/>
  <c r="E15" i="5"/>
  <c r="E16" i="5"/>
  <c r="E18" i="5"/>
  <c r="E19" i="5"/>
  <c r="E20" i="5"/>
  <c r="E21" i="5"/>
  <c r="E22" i="5"/>
  <c r="E23" i="5"/>
  <c r="E4" i="5"/>
  <c r="F6" i="4"/>
  <c r="F7" i="4"/>
  <c r="F5" i="4"/>
  <c r="I38" i="7" l="1"/>
  <c r="I60" i="7" s="1"/>
  <c r="B5" i="6" s="1"/>
  <c r="L60" i="7"/>
  <c r="B4" i="6" s="1"/>
  <c r="C8" i="4"/>
  <c r="B8" i="4"/>
  <c r="F8" i="4"/>
  <c r="B3" i="6" s="1"/>
  <c r="B7" i="6" l="1"/>
</calcChain>
</file>

<file path=xl/sharedStrings.xml><?xml version="1.0" encoding="utf-8"?>
<sst xmlns="http://schemas.openxmlformats.org/spreadsheetml/2006/main" count="273" uniqueCount="238">
  <si>
    <t xml:space="preserve">Table 1: Annual Respondent Burden and Cost – NSPS for Hospital/Medical/Infectious Waste Incinerators (40 CFR Part 60, Subpart Ec) </t>
  </si>
  <si>
    <t>Burden item</t>
  </si>
  <si>
    <t>(A)
Person hours per occurrence</t>
  </si>
  <si>
    <t>(B)
No. of occurrences per respondent per year</t>
  </si>
  <si>
    <t>(C)
Person hours per respondent per year
(C=AxB)</t>
  </si>
  <si>
    <r>
      <t xml:space="preserve">(D)
Respondents per year  </t>
    </r>
    <r>
      <rPr>
        <b/>
        <vertAlign val="superscript"/>
        <sz val="12"/>
        <color theme="1"/>
        <rFont val="Times New Roman"/>
        <family val="1"/>
      </rPr>
      <t>a</t>
    </r>
  </si>
  <si>
    <t>(E)
Technical person- hours per year
(E=CxD)</t>
  </si>
  <si>
    <t>(F)
Management person hours per year
(Ex0.05)</t>
  </si>
  <si>
    <t>(G)
Clerical person hours per year
(Ex0.1)</t>
  </si>
  <si>
    <t>(H)
Total Cost
Per year b</t>
  </si>
  <si>
    <t>1.  Applications</t>
  </si>
  <si>
    <t>N/A</t>
  </si>
  <si>
    <t>Labor Rates</t>
  </si>
  <si>
    <t>2.  Survey and Studies</t>
  </si>
  <si>
    <t>Management</t>
  </si>
  <si>
    <t>3.  Reporting requirements</t>
  </si>
  <si>
    <t>Technical</t>
  </si>
  <si>
    <t xml:space="preserve">     A.  Familiarization with the regulatory requirement</t>
  </si>
  <si>
    <t>Clerical</t>
  </si>
  <si>
    <t xml:space="preserve">     B.  Required activities</t>
  </si>
  <si>
    <t xml:space="preserve">        Perf spec tests (certif) for CMS</t>
  </si>
  <si>
    <r>
      <t xml:space="preserve">        Repeat perf spec tests (certif) for CMS </t>
    </r>
    <r>
      <rPr>
        <vertAlign val="superscript"/>
        <sz val="10"/>
        <color theme="1"/>
        <rFont val="Times New Roman"/>
        <family val="1"/>
      </rPr>
      <t>c,d</t>
    </r>
  </si>
  <si>
    <r>
      <t xml:space="preserve">        Development of operating information </t>
    </r>
    <r>
      <rPr>
        <vertAlign val="superscript"/>
        <sz val="10"/>
        <color theme="1"/>
        <rFont val="Times New Roman"/>
        <family val="1"/>
      </rPr>
      <t>e</t>
    </r>
  </si>
  <si>
    <r>
      <t xml:space="preserve">       Annual update of operating information </t>
    </r>
    <r>
      <rPr>
        <vertAlign val="superscript"/>
        <sz val="10"/>
        <color theme="1"/>
        <rFont val="Times New Roman"/>
        <family val="1"/>
      </rPr>
      <t>f</t>
    </r>
  </si>
  <si>
    <r>
      <t xml:space="preserve">       Review of operating information with each operator </t>
    </r>
    <r>
      <rPr>
        <vertAlign val="superscript"/>
        <sz val="10"/>
        <color theme="1"/>
        <rFont val="Times New Roman"/>
        <family val="1"/>
      </rPr>
      <t>g,h</t>
    </r>
  </si>
  <si>
    <r>
      <t xml:space="preserve">        Initial control equipment inspection </t>
    </r>
    <r>
      <rPr>
        <vertAlign val="superscript"/>
        <sz val="10"/>
        <color theme="1"/>
        <rFont val="Times New Roman"/>
        <family val="1"/>
      </rPr>
      <t>i</t>
    </r>
  </si>
  <si>
    <r>
      <t xml:space="preserve">       Annual control equipment inspection </t>
    </r>
    <r>
      <rPr>
        <vertAlign val="superscript"/>
        <sz val="10"/>
        <color theme="1"/>
        <rFont val="Times New Roman"/>
        <family val="1"/>
      </rPr>
      <t>i</t>
    </r>
  </si>
  <si>
    <t xml:space="preserve">     C. Create information</t>
  </si>
  <si>
    <t>See 3B</t>
  </si>
  <si>
    <t xml:space="preserve">     D. Gather existing information</t>
  </si>
  <si>
    <t xml:space="preserve">     E. Write reports</t>
  </si>
  <si>
    <r>
      <t xml:space="preserve">          Notification of intent to construct </t>
    </r>
    <r>
      <rPr>
        <vertAlign val="superscript"/>
        <sz val="10"/>
        <color theme="1"/>
        <rFont val="Times New Roman"/>
        <family val="1"/>
      </rPr>
      <t>f</t>
    </r>
  </si>
  <si>
    <r>
      <t xml:space="preserve">          Notification of anticipated commencement of 
          construction </t>
    </r>
    <r>
      <rPr>
        <vertAlign val="superscript"/>
        <sz val="10"/>
        <color theme="1"/>
        <rFont val="Times New Roman"/>
        <family val="1"/>
      </rPr>
      <t>g</t>
    </r>
  </si>
  <si>
    <r>
      <t xml:space="preserve">          Notification of anticipated startup </t>
    </r>
    <r>
      <rPr>
        <vertAlign val="superscript"/>
        <sz val="10"/>
        <color theme="1"/>
        <rFont val="Times New Roman"/>
        <family val="1"/>
      </rPr>
      <t>g</t>
    </r>
  </si>
  <si>
    <r>
      <t xml:space="preserve">          Notification of actual startup </t>
    </r>
    <r>
      <rPr>
        <vertAlign val="superscript"/>
        <sz val="10"/>
        <color theme="1"/>
        <rFont val="Times New Roman"/>
        <family val="1"/>
      </rPr>
      <t>g</t>
    </r>
  </si>
  <si>
    <t xml:space="preserve">          Notification of type(s) of waste to be combusted</t>
  </si>
  <si>
    <t xml:space="preserve">          Notification of HMIWI capacity</t>
  </si>
  <si>
    <r>
      <t xml:space="preserve">          Notification of initial performance test </t>
    </r>
    <r>
      <rPr>
        <vertAlign val="superscript"/>
        <sz val="10"/>
        <color theme="1"/>
        <rFont val="Times New Roman"/>
        <family val="1"/>
      </rPr>
      <t>h</t>
    </r>
  </si>
  <si>
    <t xml:space="preserve">          Notification of initial CMS demonstration</t>
  </si>
  <si>
    <r>
      <t xml:space="preserve">          Initial report for the site selection analysis </t>
    </r>
    <r>
      <rPr>
        <vertAlign val="superscript"/>
        <sz val="10"/>
        <color theme="1"/>
        <rFont val="Times New Roman"/>
        <family val="1"/>
      </rPr>
      <t>j</t>
    </r>
  </si>
  <si>
    <r>
      <t xml:space="preserve">          Waste management plan </t>
    </r>
    <r>
      <rPr>
        <vertAlign val="superscript"/>
        <sz val="10"/>
        <color theme="1"/>
        <rFont val="Times New Roman"/>
        <family val="1"/>
      </rPr>
      <t>k</t>
    </r>
  </si>
  <si>
    <r>
      <t xml:space="preserve">        Analysis and supporting documentation 
        demonstrating conformance with EPA guidance 
        and specifications for bag leak detection systems </t>
    </r>
    <r>
      <rPr>
        <vertAlign val="superscript"/>
        <sz val="10"/>
        <color theme="1"/>
        <rFont val="Times New Roman"/>
        <family val="1"/>
      </rPr>
      <t>l</t>
    </r>
  </si>
  <si>
    <r>
      <t xml:space="preserve">         Report of initial performance test </t>
    </r>
    <r>
      <rPr>
        <vertAlign val="superscript"/>
        <sz val="10"/>
        <color theme="1"/>
        <rFont val="Times New Roman"/>
        <family val="1"/>
      </rPr>
      <t>m</t>
    </r>
  </si>
  <si>
    <r>
      <t xml:space="preserve">         Report of initial CMS demonstration </t>
    </r>
    <r>
      <rPr>
        <vertAlign val="superscript"/>
        <sz val="10"/>
        <color theme="1"/>
        <rFont val="Times New Roman"/>
        <family val="1"/>
      </rPr>
      <t>m</t>
    </r>
  </si>
  <si>
    <t xml:space="preserve">         Annual report</t>
  </si>
  <si>
    <r>
      <t xml:space="preserve">                 CMS emissions/operation parameters </t>
    </r>
    <r>
      <rPr>
        <vertAlign val="superscript"/>
        <sz val="10"/>
        <color theme="1"/>
        <rFont val="Times New Roman"/>
        <family val="1"/>
      </rPr>
      <t>n</t>
    </r>
  </si>
  <si>
    <r>
      <t xml:space="preserve">                 Exceedances/ malfunctions/periods of which 
                 data not obtained </t>
    </r>
    <r>
      <rPr>
        <vertAlign val="superscript"/>
        <sz val="10"/>
        <color theme="1"/>
        <rFont val="Times New Roman"/>
        <family val="1"/>
      </rPr>
      <t>q,p</t>
    </r>
  </si>
  <si>
    <r>
      <t xml:space="preserve">                 Results of performance tests conducted during 
                 the year </t>
    </r>
    <r>
      <rPr>
        <vertAlign val="superscript"/>
        <sz val="10"/>
        <color theme="1"/>
        <rFont val="Times New Roman"/>
        <family val="1"/>
      </rPr>
      <t>q</t>
    </r>
  </si>
  <si>
    <r>
      <t xml:space="preserve">                Report of no exceedances </t>
    </r>
    <r>
      <rPr>
        <vertAlign val="superscript"/>
        <sz val="10"/>
        <color theme="1"/>
        <rFont val="Times New Roman"/>
        <family val="1"/>
      </rPr>
      <t>q,p</t>
    </r>
  </si>
  <si>
    <t xml:space="preserve">                Report of annual control equipment inspection</t>
  </si>
  <si>
    <r>
      <t xml:space="preserve">         Semiannual report of exceedances/ 
         malfunctions/periods for which data not obtained </t>
    </r>
    <r>
      <rPr>
        <vertAlign val="superscript"/>
        <sz val="10"/>
        <color theme="1"/>
        <rFont val="Times New Roman"/>
        <family val="1"/>
      </rPr>
      <t>q,p,r</t>
    </r>
  </si>
  <si>
    <t>Subtotal  for Reporting  Requirements</t>
  </si>
  <si>
    <t>4.  Recordkeeping requirements</t>
  </si>
  <si>
    <t xml:space="preserve">     A. Familiarize with regulatory requirement</t>
  </si>
  <si>
    <t>See 3A</t>
  </si>
  <si>
    <t xml:space="preserve">     B. Plan activities</t>
  </si>
  <si>
    <t xml:space="preserve">     C. Implement activities</t>
  </si>
  <si>
    <t xml:space="preserve">     D. Develop record system</t>
  </si>
  <si>
    <t xml:space="preserve">     E. Time to enter information</t>
  </si>
  <si>
    <t xml:space="preserve">          Documentation produced as a result of sitting 
          requirements</t>
  </si>
  <si>
    <t>See 3E</t>
  </si>
  <si>
    <r>
      <t xml:space="preserve">          Records of operators completing operator training 
          requirements </t>
    </r>
    <r>
      <rPr>
        <vertAlign val="superscript"/>
        <sz val="10"/>
        <color theme="1"/>
        <rFont val="Times New Roman"/>
        <family val="1"/>
      </rPr>
      <t>h</t>
    </r>
  </si>
  <si>
    <r>
      <t xml:space="preserve">          Records of operators that have been qualified as 
          HMIWI operators </t>
    </r>
    <r>
      <rPr>
        <vertAlign val="superscript"/>
        <sz val="10"/>
        <color theme="1"/>
        <rFont val="Times New Roman"/>
        <family val="1"/>
      </rPr>
      <t>h</t>
    </r>
  </si>
  <si>
    <t xml:space="preserve">          Records of initial performance test</t>
  </si>
  <si>
    <t xml:space="preserve">          Records of startup, shutdown, or malfunction</t>
  </si>
  <si>
    <r>
      <t xml:space="preserve">          Records of persons completing review of operating 
          information </t>
    </r>
    <r>
      <rPr>
        <vertAlign val="superscript"/>
        <sz val="10"/>
        <color theme="1"/>
        <rFont val="Times New Roman"/>
        <family val="1"/>
      </rPr>
      <t>h</t>
    </r>
  </si>
  <si>
    <t xml:space="preserve">          Records of process and control device operating 
          parameters</t>
  </si>
  <si>
    <r>
      <t xml:space="preserve">          Records of CMS operation and maintenance </t>
    </r>
    <r>
      <rPr>
        <vertAlign val="superscript"/>
        <sz val="10"/>
        <color theme="1"/>
        <rFont val="Times New Roman"/>
        <family val="1"/>
      </rPr>
      <t>g</t>
    </r>
  </si>
  <si>
    <t xml:space="preserve">          Records of exceedances/malfunctions/periods for 
          which data not obtained</t>
  </si>
  <si>
    <t xml:space="preserve">          Records of annual and any subsequent compliance 
          tests</t>
  </si>
  <si>
    <t xml:space="preserve">          Records of annual control equipment inspections</t>
  </si>
  <si>
    <r>
      <t xml:space="preserve">          Records of bag leak detection system alarms </t>
    </r>
    <r>
      <rPr>
        <vertAlign val="superscript"/>
        <sz val="10"/>
        <color theme="1"/>
        <rFont val="Times New Roman"/>
        <family val="1"/>
      </rPr>
      <t>l</t>
    </r>
  </si>
  <si>
    <r>
      <t xml:space="preserve">    F. Time to train personnel </t>
    </r>
    <r>
      <rPr>
        <vertAlign val="superscript"/>
        <sz val="10"/>
        <color theme="1"/>
        <rFont val="Times New Roman"/>
        <family val="1"/>
      </rPr>
      <t>t</t>
    </r>
  </si>
  <si>
    <t xml:space="preserve">    G. Time for audits</t>
  </si>
  <si>
    <t xml:space="preserve">Subtotal  for Recordkeeping Requirements  </t>
  </si>
  <si>
    <r>
      <t xml:space="preserve">Total Labor Burden and Costs (rounded) </t>
    </r>
    <r>
      <rPr>
        <b/>
        <vertAlign val="superscript"/>
        <sz val="10"/>
        <color theme="1"/>
        <rFont val="Times New Roman"/>
        <family val="1"/>
      </rPr>
      <t>u</t>
    </r>
  </si>
  <si>
    <r>
      <t xml:space="preserve">Capital and O&amp;M Cost (rounded) </t>
    </r>
    <r>
      <rPr>
        <b/>
        <vertAlign val="superscript"/>
        <sz val="10"/>
        <rFont val="Times New Roman"/>
        <family val="1"/>
      </rPr>
      <t>u</t>
    </r>
  </si>
  <si>
    <t>Hrs/resp</t>
  </si>
  <si>
    <r>
      <t xml:space="preserve">GRAND TOTAL (rounded) </t>
    </r>
    <r>
      <rPr>
        <b/>
        <vertAlign val="superscript"/>
        <sz val="10"/>
        <rFont val="Times New Roman"/>
        <family val="1"/>
      </rPr>
      <t>u</t>
    </r>
  </si>
  <si>
    <t>Assumptions:</t>
  </si>
  <si>
    <r>
      <t xml:space="preserve">a </t>
    </r>
    <r>
      <rPr>
        <sz val="10"/>
        <rFont val="Times New Roman"/>
        <family val="1"/>
      </rPr>
      <t>We have assumed that the average number of sources that are subject to the standard will be 3, with no additional new sources projected over the next 3 years.</t>
    </r>
  </si>
  <si>
    <r>
      <t>b</t>
    </r>
    <r>
      <rPr>
        <sz val="10"/>
        <color theme="1"/>
        <rFont val="Times New Roman"/>
        <family val="1"/>
      </rPr>
      <t xml:space="preserve"> This ICR uses the following labor rates: Managerial $172.41 ($82.10+ 110%); Technical $141.75 ($67.50 + 110%); and Clerical $71.36 ($33.98 + 110%). These rates are from the United States Department of Labor, Bureau of Labor Statistics, December 2023, “Table 2. Civilian workers by occupational and industry group.” The rates are from column 1, “Total compensation.” The rates are increased by 110 percent to account for varying industry wage rates and the additional overhead business costs of employing workers beyond their wages and benefits, including business expenses associated with hiring, training, and equipping their employees.</t>
    </r>
  </si>
  <si>
    <r>
      <t xml:space="preserve">c </t>
    </r>
    <r>
      <rPr>
        <sz val="10"/>
        <color theme="1"/>
        <rFont val="Times New Roman"/>
        <family val="1"/>
      </rPr>
      <t>We assume that</t>
    </r>
    <r>
      <rPr>
        <vertAlign val="superscript"/>
        <sz val="10"/>
        <color theme="1"/>
        <rFont val="Times New Roman"/>
        <family val="1"/>
      </rPr>
      <t xml:space="preserve">  </t>
    </r>
    <r>
      <rPr>
        <sz val="10"/>
        <color theme="1"/>
        <rFont val="Times New Roman"/>
        <family val="1"/>
      </rPr>
      <t>performance specification to certify CMS is expected to take approximately 16 hours.</t>
    </r>
  </si>
  <si>
    <r>
      <t>d</t>
    </r>
    <r>
      <rPr>
        <sz val="10"/>
        <color rgb="FF000000"/>
        <rFont val="Times New Roman"/>
        <family val="1"/>
      </rPr>
      <t xml:space="preserve"> We assume no failures of the initial CMS demonstrations; includes CO CEMS.</t>
    </r>
  </si>
  <si>
    <r>
      <t xml:space="preserve">e </t>
    </r>
    <r>
      <rPr>
        <sz val="10"/>
        <color rgb="FF000000"/>
        <rFont val="Times New Roman"/>
        <family val="1"/>
      </rPr>
      <t>We assume it will take 160 hours to develop the operating information.</t>
    </r>
  </si>
  <si>
    <r>
      <t>f</t>
    </r>
    <r>
      <rPr>
        <sz val="10"/>
        <color rgb="FF000000"/>
        <rFont val="Times New Roman"/>
        <family val="1"/>
      </rPr>
      <t xml:space="preserve"> We assume that it will take 20 hours to update the operating information each year.  </t>
    </r>
  </si>
  <si>
    <r>
      <t xml:space="preserve">g </t>
    </r>
    <r>
      <rPr>
        <sz val="10"/>
        <color rgb="FF000000"/>
        <rFont val="Times New Roman"/>
        <family val="1"/>
      </rPr>
      <t>We assume that it will take 8 hours to review the operating information with each operator.</t>
    </r>
  </si>
  <si>
    <r>
      <t xml:space="preserve">h </t>
    </r>
    <r>
      <rPr>
        <sz val="10"/>
        <color rgb="FF000000"/>
        <rFont val="Times New Roman"/>
        <family val="1"/>
      </rPr>
      <t>We assume that it will take 2 operators per facility to enter information.</t>
    </r>
  </si>
  <si>
    <r>
      <t xml:space="preserve">i </t>
    </r>
    <r>
      <rPr>
        <sz val="10"/>
        <color rgb="FF000000"/>
        <rFont val="Times New Roman"/>
        <family val="1"/>
      </rPr>
      <t>We assume</t>
    </r>
    <r>
      <rPr>
        <vertAlign val="superscript"/>
        <sz val="10"/>
        <color rgb="FF000000"/>
        <rFont val="Times New Roman"/>
        <family val="1"/>
      </rPr>
      <t xml:space="preserve"> </t>
    </r>
    <r>
      <rPr>
        <sz val="10"/>
        <color rgb="FF000000"/>
        <rFont val="Times New Roman"/>
        <family val="1"/>
      </rPr>
      <t xml:space="preserve">that annual control equipment inspection will occur for all sources. </t>
    </r>
  </si>
  <si>
    <r>
      <t xml:space="preserve">j </t>
    </r>
    <r>
      <rPr>
        <sz val="10"/>
        <color rgb="FF000000"/>
        <rFont val="Times New Roman"/>
        <family val="1"/>
      </rPr>
      <t>We</t>
    </r>
    <r>
      <rPr>
        <vertAlign val="superscript"/>
        <sz val="10"/>
        <color rgb="FF000000"/>
        <rFont val="Times New Roman"/>
        <family val="1"/>
      </rPr>
      <t xml:space="preserve"> </t>
    </r>
    <r>
      <rPr>
        <sz val="10"/>
        <color rgb="FF000000"/>
        <rFont val="Times New Roman"/>
        <family val="1"/>
      </rPr>
      <t>assume that it will take 460 hours to develop the site selection analysis.</t>
    </r>
  </si>
  <si>
    <r>
      <t xml:space="preserve">k </t>
    </r>
    <r>
      <rPr>
        <sz val="10"/>
        <color rgb="FF000000"/>
        <rFont val="Times New Roman"/>
        <family val="1"/>
      </rPr>
      <t>We assume that it will take 160 hours to develop the waste management plan.</t>
    </r>
  </si>
  <si>
    <r>
      <t xml:space="preserve">l  </t>
    </r>
    <r>
      <rPr>
        <sz val="10"/>
        <rFont val="Times New Roman"/>
        <family val="1"/>
      </rPr>
      <t>We assume that it will take 40 hours to develop the bag leak detection system analysis and 1.5 hours to record bag leak detection system alarms.  We assume the total number of sources will be evenly distributed among small, medium, and large sources and only new large and medium sources (i.e. two-thirds of the affected sources) will install baghouses.</t>
    </r>
  </si>
  <si>
    <r>
      <t xml:space="preserve">m </t>
    </r>
    <r>
      <rPr>
        <sz val="10"/>
        <color rgb="FF000000"/>
        <rFont val="Times New Roman"/>
        <family val="1"/>
      </rPr>
      <t>We assume that it will take 8 hours for each facility to review the report of the initial performance test for pollutants and fugitive ash.</t>
    </r>
  </si>
  <si>
    <r>
      <t xml:space="preserve">n </t>
    </r>
    <r>
      <rPr>
        <sz val="10"/>
        <color rgb="FF000000"/>
        <rFont val="Times New Roman"/>
        <family val="1"/>
      </rPr>
      <t>Person-hours per occurrence are assumed to be 32 hours.</t>
    </r>
  </si>
  <si>
    <r>
      <t xml:space="preserve">o </t>
    </r>
    <r>
      <rPr>
        <sz val="10"/>
        <color rgb="FF000000"/>
        <rFont val="Times New Roman"/>
        <family val="1"/>
      </rPr>
      <t>We have assume that it will take 48 hours and 24 hours per report per affected facility to report monitoring exceedances and no excess emissions, respectively.  Because testing and monitoring requirements focus primarily on three pollutants (PM, CO, and HCl), assume three pollutants.</t>
    </r>
  </si>
  <si>
    <r>
      <t xml:space="preserve">p </t>
    </r>
    <r>
      <rPr>
        <sz val="10"/>
        <color rgb="FF000000"/>
        <rFont val="Times New Roman"/>
        <family val="1"/>
      </rPr>
      <t>Assume 20 percent of respondents report monitoring exceedances and 80 percent report no excess emissions.</t>
    </r>
  </si>
  <si>
    <r>
      <t xml:space="preserve">q </t>
    </r>
    <r>
      <rPr>
        <sz val="10"/>
        <color rgb="FF000000"/>
        <rFont val="Times New Roman"/>
        <family val="1"/>
      </rPr>
      <t>Assume 40 hours to review report of annual compliance test.</t>
    </r>
  </si>
  <si>
    <r>
      <t xml:space="preserve">r </t>
    </r>
    <r>
      <rPr>
        <sz val="10"/>
        <color rgb="FF000000"/>
        <rFont val="Times New Roman"/>
        <family val="1"/>
      </rPr>
      <t>Because the semiannual report coincides once each year with the annual report and both reports include information on exceedances, malfunctions, and periods for which data were not obtained, the frequency of the semiannual report</t>
    </r>
    <r>
      <rPr>
        <sz val="10"/>
        <color theme="1"/>
        <rFont val="Times New Roman"/>
        <family val="1"/>
      </rPr>
      <t xml:space="preserve"> </t>
    </r>
    <r>
      <rPr>
        <sz val="10"/>
        <color rgb="FF000000"/>
        <rFont val="Times New Roman"/>
        <family val="1"/>
      </rPr>
      <t>is shown in the table as only once per year to avoid double-counting.</t>
    </r>
  </si>
  <si>
    <r>
      <t xml:space="preserve">s </t>
    </r>
    <r>
      <rPr>
        <sz val="10"/>
        <color rgb="FF000000"/>
        <rFont val="Times New Roman"/>
        <family val="1"/>
      </rPr>
      <t>We assume that</t>
    </r>
    <r>
      <rPr>
        <vertAlign val="superscript"/>
        <sz val="10"/>
        <color rgb="FF000000"/>
        <rFont val="Times New Roman"/>
        <family val="1"/>
      </rPr>
      <t xml:space="preserve"> </t>
    </r>
    <r>
      <rPr>
        <sz val="10"/>
        <color rgb="FF000000"/>
        <rFont val="Times New Roman"/>
        <family val="1"/>
      </rPr>
      <t>this activity will be recorded daily.</t>
    </r>
  </si>
  <si>
    <r>
      <t xml:space="preserve">t </t>
    </r>
    <r>
      <rPr>
        <sz val="10"/>
        <color rgb="FF000000"/>
        <rFont val="Times New Roman"/>
        <family val="1"/>
      </rPr>
      <t>We assumed</t>
    </r>
    <r>
      <rPr>
        <vertAlign val="superscript"/>
        <sz val="10"/>
        <color rgb="FF000000"/>
        <rFont val="Times New Roman"/>
        <family val="1"/>
      </rPr>
      <t xml:space="preserve"> </t>
    </r>
    <r>
      <rPr>
        <sz val="10"/>
        <color rgb="FF000000"/>
        <rFont val="Times New Roman"/>
        <family val="1"/>
      </rPr>
      <t>that it will take 40 hours once per year to train one person to perform the Method 9 and Method 22 tests.  The labor requirements to train the personnel were estimated to be 8 hr/d for 5 d/yr.</t>
    </r>
  </si>
  <si>
    <r>
      <rPr>
        <vertAlign val="superscript"/>
        <sz val="10"/>
        <color theme="1"/>
        <rFont val="Times New Roman"/>
        <family val="1"/>
      </rPr>
      <t>u</t>
    </r>
    <r>
      <rPr>
        <sz val="10"/>
        <color theme="1"/>
        <rFont val="Times New Roman"/>
        <family val="1"/>
      </rPr>
      <t>Totals have been rounded to 3 significant figures.  Figures may not add exactly due to rounding.</t>
    </r>
  </si>
  <si>
    <t xml:space="preserve">Table 2: Average Annual EPA Burden and Cost – NSPS for Hospital/Medical/Infectious Waste Incinerators (40 CFR Part 60, Subpart Ec) </t>
  </si>
  <si>
    <t>Activity</t>
  </si>
  <si>
    <t>(A)
EPA Person hours per occurrence</t>
  </si>
  <si>
    <r>
      <t xml:space="preserve">(D)
Respondents per year </t>
    </r>
    <r>
      <rPr>
        <b/>
        <vertAlign val="superscript"/>
        <sz val="12"/>
        <color theme="1"/>
        <rFont val="Times New Roman"/>
        <family val="1"/>
      </rPr>
      <t>a</t>
    </r>
  </si>
  <si>
    <r>
      <t xml:space="preserve">(H)
Total Cost
Per year </t>
    </r>
    <r>
      <rPr>
        <b/>
        <vertAlign val="superscript"/>
        <sz val="10"/>
        <rFont val="Times New Roman"/>
        <family val="1"/>
      </rPr>
      <t>b</t>
    </r>
  </si>
  <si>
    <r>
      <t xml:space="preserve">1.      Attend initial performance test </t>
    </r>
    <r>
      <rPr>
        <vertAlign val="superscript"/>
        <sz val="10"/>
        <color theme="1"/>
        <rFont val="Times New Roman"/>
        <family val="1"/>
      </rPr>
      <t>c</t>
    </r>
  </si>
  <si>
    <t>Labor Rates:</t>
  </si>
  <si>
    <t>2.      Repeat initial performance test</t>
  </si>
  <si>
    <r>
      <t xml:space="preserve">A.     Retesting preparation </t>
    </r>
    <r>
      <rPr>
        <vertAlign val="superscript"/>
        <sz val="10"/>
        <color theme="1"/>
        <rFont val="Times New Roman"/>
        <family val="1"/>
      </rPr>
      <t>d</t>
    </r>
  </si>
  <si>
    <r>
      <t xml:space="preserve">B.    Attend retesting </t>
    </r>
    <r>
      <rPr>
        <vertAlign val="superscript"/>
        <sz val="10"/>
        <color theme="1"/>
        <rFont val="Times New Roman"/>
        <family val="1"/>
      </rPr>
      <t>e</t>
    </r>
  </si>
  <si>
    <r>
      <t xml:space="preserve">3.      Litigation </t>
    </r>
    <r>
      <rPr>
        <vertAlign val="superscript"/>
        <sz val="10"/>
        <color theme="1"/>
        <rFont val="Times New Roman"/>
        <family val="1"/>
      </rPr>
      <t>f</t>
    </r>
  </si>
  <si>
    <r>
      <t xml:space="preserve">4.      Excess emissions - enforcement 
         activities </t>
    </r>
    <r>
      <rPr>
        <vertAlign val="superscript"/>
        <sz val="10"/>
        <color theme="1"/>
        <rFont val="Times New Roman"/>
        <family val="1"/>
      </rPr>
      <t>g</t>
    </r>
  </si>
  <si>
    <t>5.      Report review</t>
  </si>
  <si>
    <r>
      <t xml:space="preserve">        Review notification of intent to construct</t>
    </r>
    <r>
      <rPr>
        <vertAlign val="superscript"/>
        <sz val="10"/>
        <color theme="1"/>
        <rFont val="Times New Roman"/>
        <family val="1"/>
      </rPr>
      <t xml:space="preserve">  </t>
    </r>
    <r>
      <rPr>
        <sz val="10"/>
        <color theme="1"/>
        <rFont val="Times New Roman"/>
        <family val="1"/>
      </rPr>
      <t xml:space="preserve">    </t>
    </r>
  </si>
  <si>
    <r>
      <t xml:space="preserve">        Review notification of anticipated 
       commencement of construction</t>
    </r>
    <r>
      <rPr>
        <vertAlign val="superscript"/>
        <sz val="10"/>
        <color theme="1"/>
        <rFont val="Times New Roman"/>
        <family val="1"/>
      </rPr>
      <t xml:space="preserve">  </t>
    </r>
    <r>
      <rPr>
        <sz val="10"/>
        <color theme="1"/>
        <rFont val="Times New Roman"/>
        <family val="1"/>
      </rPr>
      <t xml:space="preserve">    </t>
    </r>
  </si>
  <si>
    <r>
      <t xml:space="preserve">        Review notification of anticipated startup</t>
    </r>
    <r>
      <rPr>
        <vertAlign val="superscript"/>
        <sz val="10"/>
        <color theme="1"/>
        <rFont val="Times New Roman"/>
        <family val="1"/>
      </rPr>
      <t xml:space="preserve"> </t>
    </r>
    <r>
      <rPr>
        <sz val="10"/>
        <color theme="1"/>
        <rFont val="Times New Roman"/>
        <family val="1"/>
      </rPr>
      <t xml:space="preserve">    </t>
    </r>
  </si>
  <si>
    <r>
      <t xml:space="preserve">        Review notification of actual startup</t>
    </r>
    <r>
      <rPr>
        <vertAlign val="superscript"/>
        <sz val="10"/>
        <color theme="1"/>
        <rFont val="Times New Roman"/>
        <family val="1"/>
      </rPr>
      <t xml:space="preserve"> </t>
    </r>
    <r>
      <rPr>
        <sz val="10"/>
        <color theme="1"/>
        <rFont val="Times New Roman"/>
        <family val="1"/>
      </rPr>
      <t xml:space="preserve">    </t>
    </r>
  </si>
  <si>
    <r>
      <t xml:space="preserve">        Review notification of type(s) of waste 
       to be combusted</t>
    </r>
    <r>
      <rPr>
        <vertAlign val="superscript"/>
        <sz val="10"/>
        <color theme="1"/>
        <rFont val="Times New Roman"/>
        <family val="1"/>
      </rPr>
      <t xml:space="preserve">  </t>
    </r>
    <r>
      <rPr>
        <sz val="10"/>
        <color theme="1"/>
        <rFont val="Times New Roman"/>
        <family val="1"/>
      </rPr>
      <t xml:space="preserve">    </t>
    </r>
  </si>
  <si>
    <r>
      <t xml:space="preserve">        Review notification of HMIWI capacity</t>
    </r>
    <r>
      <rPr>
        <vertAlign val="superscript"/>
        <sz val="10"/>
        <color theme="1"/>
        <rFont val="Times New Roman"/>
        <family val="1"/>
      </rPr>
      <t xml:space="preserve"> </t>
    </r>
    <r>
      <rPr>
        <sz val="10"/>
        <color theme="1"/>
        <rFont val="Times New Roman"/>
        <family val="1"/>
      </rPr>
      <t xml:space="preserve">    </t>
    </r>
  </si>
  <si>
    <r>
      <t xml:space="preserve">        Review notification of initial performance test</t>
    </r>
    <r>
      <rPr>
        <vertAlign val="superscript"/>
        <sz val="10"/>
        <color theme="1"/>
        <rFont val="Times New Roman"/>
        <family val="1"/>
      </rPr>
      <t xml:space="preserve"> </t>
    </r>
    <r>
      <rPr>
        <sz val="10"/>
        <color theme="1"/>
        <rFont val="Times New Roman"/>
        <family val="1"/>
      </rPr>
      <t xml:space="preserve">    </t>
    </r>
  </si>
  <si>
    <r>
      <t xml:space="preserve">        Review notification of initial CMS 
       demonstration</t>
    </r>
    <r>
      <rPr>
        <vertAlign val="superscript"/>
        <sz val="10"/>
        <color theme="1"/>
        <rFont val="Times New Roman"/>
        <family val="1"/>
      </rPr>
      <t xml:space="preserve">  </t>
    </r>
    <r>
      <rPr>
        <sz val="10"/>
        <color theme="1"/>
        <rFont val="Times New Roman"/>
        <family val="1"/>
      </rPr>
      <t xml:space="preserve">    </t>
    </r>
  </si>
  <si>
    <r>
      <t xml:space="preserve">        Review notification addressing sitting requirements</t>
    </r>
    <r>
      <rPr>
        <vertAlign val="superscript"/>
        <sz val="10"/>
        <color theme="1"/>
        <rFont val="Times New Roman"/>
        <family val="1"/>
      </rPr>
      <t xml:space="preserve"> </t>
    </r>
    <r>
      <rPr>
        <sz val="10"/>
        <color theme="1"/>
        <rFont val="Times New Roman"/>
        <family val="1"/>
      </rPr>
      <t xml:space="preserve">    </t>
    </r>
  </si>
  <si>
    <t xml:space="preserve">        Review waste management plan  </t>
  </si>
  <si>
    <r>
      <t xml:space="preserve">        Review analysis for bag leak detection systems </t>
    </r>
    <r>
      <rPr>
        <vertAlign val="superscript"/>
        <sz val="10"/>
        <color theme="1"/>
        <rFont val="Times New Roman"/>
        <family val="1"/>
      </rPr>
      <t>h</t>
    </r>
    <r>
      <rPr>
        <sz val="10"/>
        <color theme="1"/>
        <rFont val="Times New Roman"/>
        <family val="1"/>
      </rPr>
      <t xml:space="preserve">  </t>
    </r>
  </si>
  <si>
    <r>
      <t xml:space="preserve">        Review report of initial performance test </t>
    </r>
    <r>
      <rPr>
        <vertAlign val="superscript"/>
        <sz val="10"/>
        <color theme="1"/>
        <rFont val="Times New Roman"/>
        <family val="1"/>
      </rPr>
      <t>i</t>
    </r>
    <r>
      <rPr>
        <sz val="10"/>
        <color theme="1"/>
        <rFont val="Times New Roman"/>
        <family val="1"/>
      </rPr>
      <t xml:space="preserve">  </t>
    </r>
  </si>
  <si>
    <t xml:space="preserve">        Review report of initial CMS demonstration</t>
  </si>
  <si>
    <t xml:space="preserve">        Review annual report</t>
  </si>
  <si>
    <r>
      <t xml:space="preserve">              CMS emissions/operating parameters </t>
    </r>
    <r>
      <rPr>
        <vertAlign val="superscript"/>
        <sz val="10"/>
        <color theme="1"/>
        <rFont val="Times New Roman"/>
        <family val="1"/>
      </rPr>
      <t>j</t>
    </r>
  </si>
  <si>
    <r>
      <t xml:space="preserve">              Exceedances/malfunctions/periods for which data 
              not obtained </t>
    </r>
    <r>
      <rPr>
        <vertAlign val="superscript"/>
        <sz val="10"/>
        <rFont val="Times New Roman"/>
        <family val="1"/>
      </rPr>
      <t>k</t>
    </r>
  </si>
  <si>
    <r>
      <t xml:space="preserve">             Results of performance test conducted 
             during the year </t>
    </r>
    <r>
      <rPr>
        <vertAlign val="superscript"/>
        <sz val="10"/>
        <rFont val="Times New Roman"/>
        <family val="1"/>
      </rPr>
      <t>l</t>
    </r>
  </si>
  <si>
    <t xml:space="preserve">                     PM, CO, HCl</t>
  </si>
  <si>
    <t xml:space="preserve">                     Fugitive ash emissions</t>
  </si>
  <si>
    <r>
      <t xml:space="preserve">              Report of no exceedances </t>
    </r>
    <r>
      <rPr>
        <vertAlign val="superscript"/>
        <sz val="10"/>
        <rFont val="Times New Roman"/>
        <family val="1"/>
      </rPr>
      <t>m</t>
    </r>
  </si>
  <si>
    <r>
      <t xml:space="preserve">              Report of annual control equipment
              inspection </t>
    </r>
    <r>
      <rPr>
        <vertAlign val="superscript"/>
        <sz val="10"/>
        <rFont val="Times New Roman"/>
        <family val="1"/>
      </rPr>
      <t>n</t>
    </r>
  </si>
  <si>
    <r>
      <t xml:space="preserve">        Review semiannual report of exceedances/
        malfunctions/periods for which data not obtained </t>
    </r>
    <r>
      <rPr>
        <vertAlign val="superscript"/>
        <sz val="10"/>
        <color theme="1"/>
        <rFont val="Times New Roman"/>
        <family val="1"/>
      </rPr>
      <t>k,o</t>
    </r>
  </si>
  <si>
    <r>
      <t xml:space="preserve">TOTAL (rounded) </t>
    </r>
    <r>
      <rPr>
        <b/>
        <vertAlign val="superscript"/>
        <sz val="10"/>
        <color theme="1"/>
        <rFont val="Times New Roman"/>
        <family val="1"/>
      </rPr>
      <t>p</t>
    </r>
  </si>
  <si>
    <r>
      <t xml:space="preserve">a </t>
    </r>
    <r>
      <rPr>
        <sz val="10"/>
        <color rgb="FF000000"/>
        <rFont val="Times New Roman"/>
        <family val="1"/>
      </rPr>
      <t xml:space="preserve">We have assumed that the average number of sources that will be subject to the standard is 3.  </t>
    </r>
  </si>
  <si>
    <r>
      <t xml:space="preserve">b </t>
    </r>
    <r>
      <rPr>
        <sz val="10"/>
        <color rgb="FF000000"/>
        <rFont val="Times New Roman"/>
        <family val="1"/>
      </rPr>
      <t>This cost is based on the average hourly labor rate as follows: Managerial $76.91 (GS-13, Step 5, $48.07 + 60%); Technical $57.07 (GS-12, Step 1, $35.67 + 60%); and Clerical $30.88 (GS-6, Step 3, $19.30+ 60%). This ICR assumes that Managerial hours are 5 percent of Technical hours, and Clerical hours are 10 percent of Technical hours. These rates are from the Office of Personnel Management (OPM), 2024 General Schedule, which excludes locality, rates of pay. The rates have been increased by 60 percent to account for the benefit packages available to government employees.</t>
    </r>
  </si>
  <si>
    <r>
      <t xml:space="preserve">c </t>
    </r>
    <r>
      <rPr>
        <sz val="10"/>
        <color theme="1"/>
        <rFont val="Times New Roman"/>
        <family val="1"/>
      </rPr>
      <t>We assume EPA personnel attend 8 percent of the initial performance tests.</t>
    </r>
  </si>
  <si>
    <r>
      <t>d</t>
    </r>
    <r>
      <rPr>
        <sz val="10"/>
        <color rgb="FF000000"/>
        <rFont val="Times New Roman"/>
        <family val="1"/>
      </rPr>
      <t xml:space="preserve"> We assume that 20 percent will fail the initial performance test, and will have to repeat the performance test. </t>
    </r>
  </si>
  <si>
    <r>
      <t xml:space="preserve">e </t>
    </r>
    <r>
      <rPr>
        <sz val="10"/>
        <color rgb="FF000000"/>
        <rFont val="Times New Roman"/>
        <family val="1"/>
      </rPr>
      <t xml:space="preserve">We assume 10 percent of initial performance re-tests are attended by EPA personnel. </t>
    </r>
  </si>
  <si>
    <r>
      <t>f</t>
    </r>
    <r>
      <rPr>
        <sz val="10"/>
        <color rgb="FF000000"/>
        <rFont val="Times New Roman"/>
        <family val="1"/>
      </rPr>
      <t xml:space="preserve"> This ICR does not account for litigation costs.   </t>
    </r>
  </si>
  <si>
    <r>
      <t xml:space="preserve">g </t>
    </r>
    <r>
      <rPr>
        <sz val="10"/>
        <color rgb="FF000000"/>
        <rFont val="Times New Roman"/>
        <family val="1"/>
      </rPr>
      <t xml:space="preserve">We assume 10 percent of the affected facilities are required to re-test as a result of excess emissions, and that EPA personnel attend 10 percent of these tests. </t>
    </r>
  </si>
  <si>
    <r>
      <t xml:space="preserve">h </t>
    </r>
    <r>
      <rPr>
        <sz val="10"/>
        <rFont val="Times New Roman"/>
        <family val="1"/>
      </rPr>
      <t xml:space="preserve">We assume only new large and medium sources (i.e. two-thirds of the effected sources) will install baghouses. </t>
    </r>
  </si>
  <si>
    <r>
      <t xml:space="preserve">i </t>
    </r>
    <r>
      <rPr>
        <sz val="10"/>
        <rFont val="Times New Roman"/>
        <family val="1"/>
      </rPr>
      <t xml:space="preserve">We assume 6 person-hours per report per pollutant. For the three new HMIWI in the three-year period, nine pollutants are required to be tested. </t>
    </r>
  </si>
  <si>
    <r>
      <t xml:space="preserve">j </t>
    </r>
    <r>
      <rPr>
        <sz val="10"/>
        <color rgb="FF000000"/>
        <rFont val="Times New Roman"/>
        <family val="1"/>
      </rPr>
      <t xml:space="preserve">We assume 1 person-hour per report per CMS. For HMIWI, assume each uses six CMS (flue gas temperature, secondary chamber temperature, charge weight, scrubber liquor pH, scrubber liquor flow, and scrubber energy input). </t>
    </r>
  </si>
  <si>
    <r>
      <t xml:space="preserve">k </t>
    </r>
    <r>
      <rPr>
        <sz val="10"/>
        <color rgb="FF000000"/>
        <rFont val="Times New Roman"/>
        <family val="1"/>
      </rPr>
      <t xml:space="preserve">We assume 20 percent of the affected facilities with recurrent burden will report monitoring exceedances. </t>
    </r>
  </si>
  <si>
    <r>
      <t xml:space="preserve">l </t>
    </r>
    <r>
      <rPr>
        <sz val="10"/>
        <color rgb="FF000000"/>
        <rFont val="Times New Roman"/>
        <family val="1"/>
      </rPr>
      <t xml:space="preserve">We assume 6 person-hours per report per pollutant.  For annual tests, there are three pollutants (PM, CO, and HCl) for all HMIWI. </t>
    </r>
  </si>
  <si>
    <r>
      <t xml:space="preserve">m </t>
    </r>
    <r>
      <rPr>
        <sz val="10"/>
        <color rgb="FF000000"/>
        <rFont val="Times New Roman"/>
        <family val="1"/>
      </rPr>
      <t xml:space="preserve">We assume 80 percent of the affected facilities with recurrent burden will report no excess emissions. </t>
    </r>
  </si>
  <si>
    <r>
      <t xml:space="preserve">n </t>
    </r>
    <r>
      <rPr>
        <sz val="10"/>
        <color rgb="FF000000"/>
        <rFont val="Times New Roman"/>
        <family val="1"/>
      </rPr>
      <t xml:space="preserve">We assume it will take 4 hours to review the annual control equipment inspection report. </t>
    </r>
  </si>
  <si>
    <r>
      <t xml:space="preserve">o </t>
    </r>
    <r>
      <rPr>
        <sz val="10"/>
        <color rgb="FF000000"/>
        <rFont val="Times New Roman"/>
        <family val="1"/>
      </rPr>
      <t xml:space="preserve">Because the semiannual report coincides once each year with the annual report and both reports include information on exceedances, malfunctions, and periods for which data were not obtained, the frequency of semiannual report is shown in the table as only once per year to avoid double-counting. </t>
    </r>
  </si>
  <si>
    <r>
      <rPr>
        <vertAlign val="superscript"/>
        <sz val="10"/>
        <color theme="1"/>
        <rFont val="Times New Roman"/>
        <family val="1"/>
      </rPr>
      <t xml:space="preserve">p </t>
    </r>
    <r>
      <rPr>
        <sz val="10"/>
        <color theme="1"/>
        <rFont val="Times New Roman"/>
        <family val="1"/>
      </rPr>
      <t>Totals have been rounded to 3 significant figures.  Figures may not add exactly due to rounding.</t>
    </r>
  </si>
  <si>
    <t>ICR Summary Information</t>
  </si>
  <si>
    <t>Hours per Response</t>
  </si>
  <si>
    <t>Number of Respondents</t>
  </si>
  <si>
    <t>Total Estimated Burden Hours</t>
  </si>
  <si>
    <t>Total Estimated Costs</t>
  </si>
  <si>
    <t>Annualized Capital O&amp;M</t>
  </si>
  <si>
    <t>Total Annual Responses</t>
  </si>
  <si>
    <t>Form Number</t>
  </si>
  <si>
    <t>Not Applicable</t>
  </si>
  <si>
    <r>
      <t>Capital/Startup vs. Operation and Maintenance (O&amp;M) Costs</t>
    </r>
    <r>
      <rPr>
        <sz val="10"/>
        <color theme="1"/>
        <rFont val="Times New Roman"/>
        <family val="1"/>
      </rPr>
      <t> </t>
    </r>
  </si>
  <si>
    <t>(A)</t>
  </si>
  <si>
    <t>(B)</t>
  </si>
  <si>
    <t>(C)</t>
  </si>
  <si>
    <t>(D)</t>
  </si>
  <si>
    <t>(E)</t>
  </si>
  <si>
    <t>(F)</t>
  </si>
  <si>
    <t>(G)</t>
  </si>
  <si>
    <t>2024 CEPCI CE Index</t>
  </si>
  <si>
    <t>Continuous Monitoring Device</t>
  </si>
  <si>
    <r>
      <t xml:space="preserve">Capital/Startup Cost for One Respondent </t>
    </r>
    <r>
      <rPr>
        <b/>
        <vertAlign val="superscript"/>
        <sz val="10"/>
        <color theme="1"/>
        <rFont val="Times New Roman"/>
        <family val="1"/>
      </rPr>
      <t>1</t>
    </r>
  </si>
  <si>
    <t>Number of New  Respondents</t>
  </si>
  <si>
    <t>Total Capital/Startup Cost,  (B X C)</t>
  </si>
  <si>
    <r>
      <t>Annual O&amp;M Costs for One Respondent</t>
    </r>
    <r>
      <rPr>
        <b/>
        <vertAlign val="superscript"/>
        <sz val="10"/>
        <color theme="1"/>
        <rFont val="Times New Roman"/>
        <family val="1"/>
      </rPr>
      <t xml:space="preserve"> 1</t>
    </r>
  </si>
  <si>
    <t>Number of Respondents with O&amp;M</t>
  </si>
  <si>
    <t>Total O&amp;M, 
(E X F)</t>
  </si>
  <si>
    <t xml:space="preserve">2007 CEPCI CE Index </t>
  </si>
  <si>
    <r>
      <t>DIFF/WS</t>
    </r>
    <r>
      <rPr>
        <vertAlign val="superscript"/>
        <sz val="10"/>
        <color rgb="FF000000"/>
        <rFont val="Times New Roman"/>
        <family val="1"/>
      </rPr>
      <t>2</t>
    </r>
  </si>
  <si>
    <r>
      <t>DIFF</t>
    </r>
    <r>
      <rPr>
        <vertAlign val="superscript"/>
        <sz val="10"/>
        <color rgb="FF000000"/>
        <rFont val="Times New Roman"/>
        <family val="1"/>
      </rPr>
      <t>2</t>
    </r>
  </si>
  <si>
    <t>CEPCI CE Adjustment factor</t>
  </si>
  <si>
    <r>
      <t>WS</t>
    </r>
    <r>
      <rPr>
        <vertAlign val="superscript"/>
        <sz val="10"/>
        <color rgb="FF000000"/>
        <rFont val="Times New Roman"/>
        <family val="1"/>
      </rPr>
      <t>2</t>
    </r>
  </si>
  <si>
    <r>
      <t>SNCR</t>
    </r>
    <r>
      <rPr>
        <vertAlign val="superscript"/>
        <sz val="10"/>
        <color rgb="FF000000"/>
        <rFont val="Times New Roman"/>
        <family val="1"/>
      </rPr>
      <t>3</t>
    </r>
  </si>
  <si>
    <r>
      <t>CO CEMS</t>
    </r>
    <r>
      <rPr>
        <vertAlign val="superscript"/>
        <sz val="10"/>
        <color rgb="FF000000"/>
        <rFont val="Times New Roman"/>
        <family val="1"/>
      </rPr>
      <t>4</t>
    </r>
  </si>
  <si>
    <r>
      <t>BLD</t>
    </r>
    <r>
      <rPr>
        <vertAlign val="superscript"/>
        <sz val="10"/>
        <color rgb="FF000000"/>
        <rFont val="Times New Roman"/>
        <family val="1"/>
      </rPr>
      <t>5</t>
    </r>
  </si>
  <si>
    <r>
      <t>ACI</t>
    </r>
    <r>
      <rPr>
        <vertAlign val="superscript"/>
        <sz val="10"/>
        <color rgb="FF000000"/>
        <rFont val="Times New Roman"/>
        <family val="1"/>
      </rPr>
      <t>6</t>
    </r>
  </si>
  <si>
    <r>
      <t>Testing</t>
    </r>
    <r>
      <rPr>
        <vertAlign val="superscript"/>
        <sz val="10"/>
        <color rgb="FF000000"/>
        <rFont val="Times New Roman"/>
        <family val="1"/>
      </rPr>
      <t>7</t>
    </r>
  </si>
  <si>
    <r>
      <t>Filing Cabinets</t>
    </r>
    <r>
      <rPr>
        <vertAlign val="superscript"/>
        <sz val="10"/>
        <color rgb="FF000000"/>
        <rFont val="Times New Roman"/>
        <family val="1"/>
      </rPr>
      <t>8</t>
    </r>
  </si>
  <si>
    <r>
      <t>Photocopying</t>
    </r>
    <r>
      <rPr>
        <vertAlign val="superscript"/>
        <sz val="10"/>
        <color rgb="FF000000"/>
        <rFont val="Times New Roman"/>
        <family val="1"/>
      </rPr>
      <t>8</t>
    </r>
  </si>
  <si>
    <r>
      <t>Postage</t>
    </r>
    <r>
      <rPr>
        <vertAlign val="superscript"/>
        <sz val="10"/>
        <color rgb="FF000000"/>
        <rFont val="Times New Roman"/>
        <family val="1"/>
      </rPr>
      <t>8</t>
    </r>
  </si>
  <si>
    <r>
      <t xml:space="preserve">Totals (rounded) </t>
    </r>
    <r>
      <rPr>
        <b/>
        <vertAlign val="superscript"/>
        <sz val="10"/>
        <color theme="1"/>
        <rFont val="Times New Roman"/>
        <family val="1"/>
      </rPr>
      <t>9</t>
    </r>
  </si>
  <si>
    <r>
      <t>1</t>
    </r>
    <r>
      <rPr>
        <sz val="10"/>
        <rFont val="Times New Roman"/>
        <family val="1"/>
      </rPr>
      <t xml:space="preserve"> Costs have been updated to 2024 dollars using the annual Chemical Engineering Plant Cost Index (CEPCI) values for 2024 and 2007. (Costs = Costs from 2009 final rule x 796.2/525.4).</t>
    </r>
  </si>
  <si>
    <r>
      <t>2</t>
    </r>
    <r>
      <rPr>
        <sz val="10"/>
        <color theme="1"/>
        <rFont val="Times New Roman"/>
        <family val="1"/>
      </rPr>
      <t xml:space="preserve"> Per the October 6, 2009 final rule (74 FR 51378), assume capital/startup costs of $1,233 and annual operation and maintenance costs of $4,733 per facility for each wet scrubber or dry scrubber with fabric filter followed by wet scrubber, and capital/startup costs of $967 and $2,733 per dry scrubber with fabric filter.</t>
    </r>
  </si>
  <si>
    <r>
      <t xml:space="preserve">3 </t>
    </r>
    <r>
      <rPr>
        <sz val="10"/>
        <color theme="1"/>
        <rFont val="Times New Roman"/>
        <family val="1"/>
      </rPr>
      <t>Per the October 6, 2009 final rule, assume capital/startup costs of $1,400 and annual operation and maintenance costs of $300 per facility using SCNR for control.</t>
    </r>
  </si>
  <si>
    <r>
      <t xml:space="preserve">4 </t>
    </r>
    <r>
      <rPr>
        <sz val="10"/>
        <color theme="1"/>
        <rFont val="Times New Roman"/>
        <family val="1"/>
      </rPr>
      <t>Per the October 6, 2009 final rule, assume capital/startup costs of $17,500 and annual operation and maintenance costs of $25,100 per facility using CO CEMS, including daily activities, RATA, CGA, and annual QA and review.</t>
    </r>
  </si>
  <si>
    <r>
      <t xml:space="preserve">5 </t>
    </r>
    <r>
      <rPr>
        <sz val="10"/>
        <color theme="1"/>
        <rFont val="Times New Roman"/>
        <family val="1"/>
      </rPr>
      <t>Per the October 6, 2009 final rule, assume capital/startup costs of $1,033 and annual operation and maintenance costs of $1,267 per facility using a bag leak detection system.</t>
    </r>
  </si>
  <si>
    <r>
      <t xml:space="preserve">6 </t>
    </r>
    <r>
      <rPr>
        <sz val="10"/>
        <color theme="1"/>
        <rFont val="Times New Roman"/>
        <family val="1"/>
      </rPr>
      <t>Per the October 6, 2009 final rule, assume annual operation and maintenance costs of $3,367 per facility for lime/carbon flow monitoring.</t>
    </r>
  </si>
  <si>
    <r>
      <t xml:space="preserve">7 </t>
    </r>
    <r>
      <rPr>
        <sz val="10"/>
        <color theme="1"/>
        <rFont val="Times New Roman"/>
        <family val="1"/>
      </rPr>
      <t>Per the October 6, 2009 final rule, assumes combined initial testing costs of $67,458 per facility.</t>
    </r>
  </si>
  <si>
    <r>
      <t xml:space="preserve">8 </t>
    </r>
    <r>
      <rPr>
        <sz val="10"/>
        <color theme="1"/>
        <rFont val="Times New Roman"/>
        <family val="1"/>
      </rPr>
      <t>Assumes an initial purchase cost of $100 for filing cabinets, and annual facility costs of $199 for photocopying and $93 for postage.</t>
    </r>
  </si>
  <si>
    <r>
      <t xml:space="preserve">9 </t>
    </r>
    <r>
      <rPr>
        <sz val="10"/>
        <color theme="1"/>
        <rFont val="Times New Roman"/>
        <family val="1"/>
      </rPr>
      <t>Totals have been rounded to 3 significant figures. Figures may not add exactly due to rounding.</t>
    </r>
  </si>
  <si>
    <t>Information Collection Activity</t>
  </si>
  <si>
    <t>Number of Responses</t>
  </si>
  <si>
    <t>Number of Existing Respondents That Keep Records But Do Not Submit Reports</t>
  </si>
  <si>
    <t>Total Annual Responses E=(BxC)+D</t>
  </si>
  <si>
    <t xml:space="preserve">Notification of intent to construct </t>
  </si>
  <si>
    <t xml:space="preserve">Notification of anticipated commencement of construction </t>
  </si>
  <si>
    <t xml:space="preserve">Notification of anticipated startup </t>
  </si>
  <si>
    <t xml:space="preserve">Notification of actual startup </t>
  </si>
  <si>
    <t xml:space="preserve">Notification of type(s) of waste to be combusted </t>
  </si>
  <si>
    <t xml:space="preserve">Notification of HMIWI capacity </t>
  </si>
  <si>
    <t xml:space="preserve">Notification of initial performance test </t>
  </si>
  <si>
    <t xml:space="preserve">Notification of initial CMS demonstration </t>
  </si>
  <si>
    <t xml:space="preserve">Initial report for the site selection analysis </t>
  </si>
  <si>
    <t xml:space="preserve">Waste management plan </t>
  </si>
  <si>
    <r>
      <t>Analysis and supporting documentation demonstrating conformance with EPA guidance and specifications for bag leak detection systems</t>
    </r>
    <r>
      <rPr>
        <vertAlign val="superscript"/>
        <sz val="9"/>
        <color theme="1"/>
        <rFont val="Times New Roman"/>
        <family val="1"/>
      </rPr>
      <t>1</t>
    </r>
    <r>
      <rPr>
        <sz val="9"/>
        <color theme="1"/>
        <rFont val="Times New Roman"/>
        <family val="1"/>
      </rPr>
      <t xml:space="preserve"> </t>
    </r>
  </si>
  <si>
    <t xml:space="preserve">Report of initial performance test </t>
  </si>
  <si>
    <t xml:space="preserve">Report of initial CMS demonstration </t>
  </si>
  <si>
    <t xml:space="preserve">Annual reports </t>
  </si>
  <si>
    <t xml:space="preserve">CMS emissions and operating parameters </t>
  </si>
  <si>
    <r>
      <t>Exceedances, malfunctions, and periods for which data not obtained</t>
    </r>
    <r>
      <rPr>
        <vertAlign val="superscript"/>
        <sz val="9"/>
        <color theme="1"/>
        <rFont val="Times New Roman"/>
        <family val="1"/>
      </rPr>
      <t>2</t>
    </r>
    <r>
      <rPr>
        <sz val="9"/>
        <color theme="1"/>
        <rFont val="Times New Roman"/>
        <family val="1"/>
      </rPr>
      <t xml:space="preserve"> </t>
    </r>
  </si>
  <si>
    <t xml:space="preserve">Results of performance tests conducted during the year </t>
  </si>
  <si>
    <r>
      <t>Report of no exceedances</t>
    </r>
    <r>
      <rPr>
        <vertAlign val="superscript"/>
        <sz val="9"/>
        <color theme="1"/>
        <rFont val="Times New Roman"/>
        <family val="1"/>
      </rPr>
      <t xml:space="preserve">2 </t>
    </r>
  </si>
  <si>
    <t xml:space="preserve">Report of annual control equipment inspection </t>
  </si>
  <si>
    <r>
      <t>Semiannual report of exceedances, malfunctions, and periods for which data not obtained</t>
    </r>
    <r>
      <rPr>
        <vertAlign val="superscript"/>
        <sz val="9"/>
        <color theme="1"/>
        <rFont val="Times New Roman"/>
        <family val="1"/>
      </rPr>
      <t>2</t>
    </r>
    <r>
      <rPr>
        <sz val="9"/>
        <color theme="1"/>
        <rFont val="Times New Roman"/>
        <family val="1"/>
      </rPr>
      <t xml:space="preserve"> </t>
    </r>
  </si>
  <si>
    <t>Total</t>
  </si>
  <si>
    <r>
      <rPr>
        <vertAlign val="superscript"/>
        <sz val="9"/>
        <color theme="1"/>
        <rFont val="Times New Roman"/>
        <family val="1"/>
      </rPr>
      <t>1</t>
    </r>
    <r>
      <rPr>
        <sz val="9"/>
        <color theme="1"/>
        <rFont val="Times New Roman"/>
        <family val="1"/>
      </rPr>
      <t xml:space="preserve"> Assume the total number of sources will be evenly distributed among small, medium, and large sources and only new large and medium sources (i.e. two-thirds of the affected sources) will install baghouses.</t>
    </r>
  </si>
  <si>
    <r>
      <rPr>
        <vertAlign val="superscript"/>
        <sz val="9"/>
        <color theme="1"/>
        <rFont val="Times New Roman"/>
        <family val="1"/>
      </rPr>
      <t>2</t>
    </r>
    <r>
      <rPr>
        <sz val="9"/>
        <color theme="1"/>
        <rFont val="Times New Roman"/>
        <family val="1"/>
      </rPr>
      <t xml:space="preserve"> Assume 20 percent of respondents report monitoring exceedances and 80 percent report no excess emissions.</t>
    </r>
  </si>
  <si>
    <t>Respondents That Submit Reports</t>
  </si>
  <si>
    <t>Respondents That Do Not Submit Any Reports</t>
  </si>
  <si>
    <t>Year</t>
  </si>
  <si>
    <r>
      <t xml:space="preserve">Number of New Respondents </t>
    </r>
    <r>
      <rPr>
        <b/>
        <vertAlign val="superscript"/>
        <sz val="10"/>
        <color rgb="FF000000"/>
        <rFont val="Times New Roman"/>
        <family val="1"/>
      </rPr>
      <t>a</t>
    </r>
  </si>
  <si>
    <t>Number of Existing Respondents</t>
  </si>
  <si>
    <t>Number of Existing Respondents that keep records but do not submit reports</t>
  </si>
  <si>
    <t>Number of Existing Respondents That Are Also New Respondents</t>
  </si>
  <si>
    <t>Number of Respondents (E=A+B+C-D)</t>
  </si>
  <si>
    <t>Average</t>
  </si>
  <si>
    <r>
      <t xml:space="preserve">a </t>
    </r>
    <r>
      <rPr>
        <sz val="10"/>
        <color rgb="FF000000"/>
        <rFont val="Times New Roman"/>
        <family val="1"/>
      </rPr>
      <t xml:space="preserve">  New respondents include sources with constructed and reconstructed affected facilities.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</si>
</sst>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164" formatCode="General_)"/>
    <numFmt numFmtId="165" formatCode="&quot;$&quot;#,##0.00"/>
    <numFmt numFmtId="166" formatCode="&quot;$&quot;#,##0"/>
    <numFmt numFmtId="167" formatCode="0.0"/>
  </numFmts>
  <fonts count="32">
    <font>
      <sz val="11"/>
      <color theme="1"/>
      <name val="Calibri"/>
      <family val="2"/>
      <scheme val="minor"/>
    </font>
    <font>
      <b/>
      <sz val="12"/>
      <color theme="1"/>
      <name val="Times New Roman"/>
      <family val="1"/>
    </font>
    <font>
      <sz val="10"/>
      <color theme="1"/>
      <name val="Times New Roman"/>
      <family val="1"/>
    </font>
    <font>
      <b/>
      <sz val="10"/>
      <color theme="1"/>
      <name val="Times New Roman"/>
      <family val="1"/>
    </font>
    <font>
      <b/>
      <vertAlign val="superscript"/>
      <sz val="10"/>
      <color theme="1"/>
      <name val="Times New Roman"/>
      <family val="1"/>
    </font>
    <font>
      <vertAlign val="superscript"/>
      <sz val="10"/>
      <color theme="1"/>
      <name val="Times New Roman"/>
      <family val="1"/>
    </font>
    <font>
      <b/>
      <i/>
      <sz val="10"/>
      <color theme="1"/>
      <name val="Times New Roman"/>
      <family val="1"/>
    </font>
    <font>
      <sz val="10"/>
      <color rgb="FFFF0000"/>
      <name val="Times New Roman"/>
      <family val="1"/>
    </font>
    <font>
      <sz val="10"/>
      <name val="Times New Roman"/>
      <family val="1"/>
    </font>
    <font>
      <sz val="8"/>
      <name val="Helv"/>
    </font>
    <font>
      <b/>
      <sz val="10"/>
      <name val="Times New Roman"/>
      <family val="1"/>
    </font>
    <font>
      <b/>
      <sz val="12"/>
      <color rgb="FF000000"/>
      <name val="Times New Roman"/>
      <family val="1"/>
    </font>
    <font>
      <sz val="10"/>
      <color rgb="FF000000"/>
      <name val="Times New Roman"/>
      <family val="1"/>
    </font>
    <font>
      <b/>
      <sz val="10"/>
      <color rgb="FF000000"/>
      <name val="Times New Roman"/>
      <family val="1"/>
    </font>
    <font>
      <b/>
      <vertAlign val="superscript"/>
      <sz val="10"/>
      <color rgb="FF000000"/>
      <name val="Times New Roman"/>
      <family val="1"/>
    </font>
    <font>
      <vertAlign val="superscript"/>
      <sz val="10"/>
      <name val="Times New Roman"/>
      <family val="1"/>
    </font>
    <font>
      <b/>
      <vertAlign val="superscript"/>
      <sz val="10"/>
      <name val="Times New Roman"/>
      <family val="1"/>
    </font>
    <font>
      <vertAlign val="superscript"/>
      <sz val="10"/>
      <color rgb="FF000000"/>
      <name val="Times New Roman"/>
      <family val="1"/>
    </font>
    <font>
      <sz val="10"/>
      <color theme="1"/>
      <name val="Calibri"/>
      <family val="2"/>
      <scheme val="minor"/>
    </font>
    <font>
      <sz val="12"/>
      <color theme="1"/>
      <name val="Times New Roman"/>
      <family val="1"/>
    </font>
    <font>
      <sz val="11"/>
      <color rgb="FFFF0000"/>
      <name val="Calibri"/>
      <family val="2"/>
      <scheme val="minor"/>
    </font>
    <font>
      <sz val="9"/>
      <color theme="1"/>
      <name val="Times New Roman"/>
      <family val="1"/>
    </font>
    <font>
      <sz val="9"/>
      <color rgb="FF000000"/>
      <name val="Times New Roman"/>
      <family val="1"/>
    </font>
    <font>
      <vertAlign val="superscript"/>
      <sz val="9"/>
      <color theme="1"/>
      <name val="Times New Roman"/>
      <family val="1"/>
    </font>
    <font>
      <b/>
      <sz val="9"/>
      <name val="Times New Roman"/>
      <family val="1"/>
    </font>
    <font>
      <b/>
      <sz val="9"/>
      <color theme="1"/>
      <name val="Times New Roman"/>
      <family val="1"/>
    </font>
    <font>
      <sz val="9"/>
      <color theme="1"/>
      <name val="Calibri"/>
      <family val="2"/>
      <scheme val="minor"/>
    </font>
    <font>
      <b/>
      <i/>
      <sz val="11"/>
      <color theme="1"/>
      <name val="Calibri"/>
      <family val="2"/>
      <scheme val="minor"/>
    </font>
    <font>
      <b/>
      <vertAlign val="superscript"/>
      <sz val="12"/>
      <color theme="1"/>
      <name val="Times New Roman"/>
      <family val="1"/>
    </font>
    <font>
      <sz val="10"/>
      <color rgb="FF7030A0"/>
      <name val="Times New Roman"/>
      <family val="1"/>
    </font>
    <font>
      <sz val="10"/>
      <color rgb="FF7030A0"/>
      <name val="Calibri"/>
      <family val="2"/>
      <scheme val="minor"/>
    </font>
    <font>
      <b/>
      <i/>
      <sz val="1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9" fillId="0" borderId="0"/>
  </cellStyleXfs>
  <cellXfs count="93">
    <xf numFmtId="0" fontId="0" fillId="0" borderId="0" xfId="0"/>
    <xf numFmtId="0" fontId="7" fillId="0" borderId="0" xfId="0" applyFont="1"/>
    <xf numFmtId="164" fontId="8" fillId="0" borderId="0" xfId="1" applyFont="1" applyAlignment="1">
      <alignment horizontal="center" vertical="center" wrapText="1"/>
    </xf>
    <xf numFmtId="165" fontId="8" fillId="0" borderId="0" xfId="1" applyNumberFormat="1" applyFont="1" applyAlignment="1">
      <alignment horizontal="right" wrapText="1"/>
    </xf>
    <xf numFmtId="0" fontId="8" fillId="0" borderId="0" xfId="0" applyFont="1"/>
    <xf numFmtId="0" fontId="12" fillId="0" borderId="1" xfId="0" applyFont="1" applyBorder="1"/>
    <xf numFmtId="0" fontId="18" fillId="0" borderId="0" xfId="0" applyFont="1"/>
    <xf numFmtId="0" fontId="1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7" fillId="0" borderId="0" xfId="0" applyFont="1" applyAlignment="1">
      <alignment vertical="center"/>
    </xf>
    <xf numFmtId="0" fontId="3" fillId="0" borderId="1" xfId="0" applyFont="1" applyBorder="1" applyAlignment="1">
      <alignment vertical="center" wrapText="1"/>
    </xf>
    <xf numFmtId="0" fontId="3" fillId="0" borderId="0" xfId="0" applyFont="1" applyAlignment="1">
      <alignment horizontal="center" vertical="center" wrapText="1"/>
    </xf>
    <xf numFmtId="6" fontId="3" fillId="0" borderId="0" xfId="0" applyNumberFormat="1" applyFont="1" applyAlignment="1">
      <alignment horizontal="center" vertical="center" wrapText="1"/>
    </xf>
    <xf numFmtId="0" fontId="13" fillId="0" borderId="1" xfId="0" applyFont="1" applyBorder="1" applyAlignment="1">
      <alignment horizontal="center" vertical="center" wrapText="1"/>
    </xf>
    <xf numFmtId="165" fontId="8" fillId="0" borderId="1" xfId="0" applyNumberFormat="1" applyFont="1" applyBorder="1"/>
    <xf numFmtId="0" fontId="2" fillId="0" borderId="1" xfId="0" applyFont="1" applyBorder="1" applyAlignment="1">
      <alignment horizontal="left" vertical="center" wrapText="1"/>
    </xf>
    <xf numFmtId="0" fontId="1" fillId="0" borderId="0" xfId="0" applyFont="1"/>
    <xf numFmtId="0" fontId="2" fillId="0" borderId="1" xfId="0" applyFont="1" applyBorder="1" applyAlignment="1">
      <alignment horizontal="left" vertical="center" wrapText="1" indent="1"/>
    </xf>
    <xf numFmtId="8"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1"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center" wrapText="1"/>
    </xf>
    <xf numFmtId="6" fontId="18" fillId="0" borderId="0" xfId="0" applyNumberFormat="1" applyFont="1"/>
    <xf numFmtId="3" fontId="0" fillId="0" borderId="0" xfId="0" applyNumberFormat="1"/>
    <xf numFmtId="6" fontId="0" fillId="0" borderId="0" xfId="0" applyNumberFormat="1"/>
    <xf numFmtId="1" fontId="0" fillId="0" borderId="0" xfId="0" applyNumberFormat="1"/>
    <xf numFmtId="0" fontId="2" fillId="0" borderId="0" xfId="0" applyFont="1" applyAlignment="1">
      <alignment vertical="center" wrapText="1"/>
    </xf>
    <xf numFmtId="0" fontId="22"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25" fillId="0" borderId="1" xfId="0" applyFont="1" applyBorder="1" applyAlignment="1">
      <alignment horizontal="center" vertical="center" wrapText="1"/>
    </xf>
    <xf numFmtId="0" fontId="26" fillId="0" borderId="0" xfId="0" applyFont="1"/>
    <xf numFmtId="0" fontId="13" fillId="0" borderId="0" xfId="0" applyFont="1" applyAlignment="1">
      <alignment vertical="center"/>
    </xf>
    <xf numFmtId="6" fontId="3" fillId="0" borderId="1" xfId="0" applyNumberFormat="1" applyFont="1" applyBorder="1" applyAlignment="1">
      <alignment vertical="center" wrapText="1"/>
    </xf>
    <xf numFmtId="0" fontId="0" fillId="0" borderId="1" xfId="0" applyBorder="1"/>
    <xf numFmtId="0" fontId="10" fillId="0" borderId="1" xfId="0" applyFont="1" applyBorder="1" applyAlignment="1">
      <alignment vertical="center"/>
    </xf>
    <xf numFmtId="166"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2"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6" fontId="19" fillId="0" borderId="0" xfId="0" applyNumberFormat="1" applyFont="1"/>
    <xf numFmtId="6" fontId="2" fillId="0" borderId="0" xfId="0" applyNumberFormat="1" applyFont="1" applyAlignment="1">
      <alignment vertical="center" wrapText="1"/>
    </xf>
    <xf numFmtId="0" fontId="27" fillId="0" borderId="0" xfId="0" applyFont="1"/>
    <xf numFmtId="166" fontId="6" fillId="0" borderId="1" xfId="0" applyNumberFormat="1" applyFont="1" applyBorder="1" applyAlignment="1">
      <alignment horizontal="right" vertical="center" wrapText="1"/>
    </xf>
    <xf numFmtId="0" fontId="20" fillId="0" borderId="0" xfId="0" applyFont="1"/>
    <xf numFmtId="6" fontId="8" fillId="0" borderId="1" xfId="0" applyNumberFormat="1" applyFont="1" applyBorder="1" applyAlignment="1">
      <alignment horizontal="right" vertical="center" wrapText="1"/>
    </xf>
    <xf numFmtId="0" fontId="2" fillId="0" borderId="1" xfId="0" applyFont="1" applyBorder="1"/>
    <xf numFmtId="0" fontId="8" fillId="0" borderId="1" xfId="0" applyFont="1" applyBorder="1"/>
    <xf numFmtId="0" fontId="3" fillId="0" borderId="1" xfId="0" applyFont="1" applyBorder="1" applyAlignment="1">
      <alignment horizontal="center" vertical="top" wrapText="1"/>
    </xf>
    <xf numFmtId="0" fontId="3" fillId="0" borderId="1" xfId="0" applyFont="1" applyBorder="1" applyAlignment="1">
      <alignment horizontal="left" vertical="center" wrapText="1"/>
    </xf>
    <xf numFmtId="0" fontId="22" fillId="0" borderId="0" xfId="0" applyFont="1" applyAlignment="1">
      <alignment horizontal="center" vertical="center" wrapText="1"/>
    </xf>
    <xf numFmtId="0" fontId="8" fillId="0" borderId="1" xfId="0" applyFont="1" applyBorder="1" applyAlignment="1">
      <alignment horizontal="left" vertical="center" wrapText="1" indent="1"/>
    </xf>
    <xf numFmtId="0" fontId="2" fillId="0" borderId="1" xfId="0" applyFont="1" applyBorder="1" applyAlignment="1">
      <alignment horizontal="left" vertical="center" wrapText="1" indent="3"/>
    </xf>
    <xf numFmtId="6" fontId="2" fillId="0" borderId="1" xfId="0" applyNumberFormat="1" applyFont="1" applyBorder="1" applyAlignment="1">
      <alignment horizontal="right" vertical="center" wrapText="1"/>
    </xf>
    <xf numFmtId="0" fontId="10" fillId="0" borderId="1" xfId="0" applyFont="1" applyBorder="1" applyAlignment="1">
      <alignment horizontal="center" vertical="top" wrapText="1"/>
    </xf>
    <xf numFmtId="0" fontId="12" fillId="0" borderId="1" xfId="0" applyFont="1" applyBorder="1" applyAlignment="1">
      <alignment vertical="center" wrapText="1"/>
    </xf>
    <xf numFmtId="6" fontId="12" fillId="0" borderId="1" xfId="0" applyNumberFormat="1" applyFont="1" applyBorder="1" applyAlignment="1">
      <alignment vertical="center" wrapText="1"/>
    </xf>
    <xf numFmtId="167" fontId="25" fillId="0" borderId="1" xfId="0" applyNumberFormat="1" applyFont="1" applyBorder="1" applyAlignment="1">
      <alignment horizontal="center" vertical="center" wrapText="1"/>
    </xf>
    <xf numFmtId="0" fontId="29" fillId="0" borderId="0" xfId="0" applyFont="1"/>
    <xf numFmtId="0" fontId="30" fillId="0" borderId="0" xfId="0" applyFont="1"/>
    <xf numFmtId="2" fontId="30" fillId="0" borderId="0" xfId="0" applyNumberFormat="1" applyFont="1"/>
    <xf numFmtId="0" fontId="8" fillId="0" borderId="1" xfId="0" applyFont="1" applyBorder="1" applyAlignment="1">
      <alignment horizontal="center" vertical="center" wrapText="1"/>
    </xf>
    <xf numFmtId="1" fontId="8"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21" fillId="0" borderId="0" xfId="0" applyFont="1"/>
    <xf numFmtId="6" fontId="3" fillId="0" borderId="1" xfId="0" applyNumberFormat="1" applyFont="1" applyBorder="1" applyAlignment="1">
      <alignment horizontal="right" vertical="center" wrapText="1"/>
    </xf>
    <xf numFmtId="166" fontId="0" fillId="0" borderId="0" xfId="0" applyNumberFormat="1"/>
    <xf numFmtId="0" fontId="0" fillId="0" borderId="0" xfId="0" applyAlignment="1">
      <alignment horizontal="right"/>
    </xf>
    <xf numFmtId="0" fontId="3" fillId="0" borderId="1" xfId="0" applyFont="1" applyBorder="1" applyAlignment="1">
      <alignment horizontal="center" vertical="center" wrapText="1"/>
    </xf>
    <xf numFmtId="0" fontId="13" fillId="0" borderId="1" xfId="0" applyFont="1" applyBorder="1" applyAlignment="1">
      <alignment vertical="center" wrapText="1"/>
    </xf>
    <xf numFmtId="0" fontId="0" fillId="0" borderId="0" xfId="0" applyAlignment="1">
      <alignment horizontal="center"/>
    </xf>
    <xf numFmtId="0" fontId="5" fillId="0" borderId="0" xfId="0" applyFont="1" applyAlignment="1">
      <alignment horizontal="left" vertical="top" wrapText="1"/>
    </xf>
    <xf numFmtId="3" fontId="6"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12" fillId="0" borderId="1" xfId="0" applyFont="1" applyBorder="1" applyAlignment="1">
      <alignment horizontal="center"/>
    </xf>
    <xf numFmtId="0" fontId="15" fillId="0" borderId="0" xfId="0" applyFont="1" applyAlignment="1">
      <alignment horizontal="left" vertical="top" wrapText="1"/>
    </xf>
    <xf numFmtId="0" fontId="17" fillId="0" borderId="0" xfId="0" applyFont="1" applyAlignment="1">
      <alignment horizontal="left" vertical="top"/>
    </xf>
    <xf numFmtId="0" fontId="5" fillId="0" borderId="0" xfId="0" applyFont="1" applyAlignment="1">
      <alignment horizontal="left" vertical="top"/>
    </xf>
    <xf numFmtId="0" fontId="2" fillId="0" borderId="0" xfId="0" applyFont="1" applyAlignment="1">
      <alignment horizontal="left" vertical="top"/>
    </xf>
    <xf numFmtId="0" fontId="17" fillId="0" borderId="0" xfId="0" applyFont="1" applyAlignment="1">
      <alignment horizontal="left" vertical="top" wrapText="1"/>
    </xf>
    <xf numFmtId="1" fontId="3" fillId="0" borderId="1" xfId="0" applyNumberFormat="1" applyFont="1" applyBorder="1" applyAlignment="1">
      <alignment horizontal="center" vertical="center" wrapText="1"/>
    </xf>
    <xf numFmtId="0" fontId="8" fillId="0" borderId="1" xfId="0" applyFont="1" applyBorder="1" applyAlignment="1">
      <alignment horizontal="center" vertical="top"/>
    </xf>
    <xf numFmtId="0" fontId="15" fillId="0" borderId="0" xfId="0" applyFont="1" applyAlignment="1">
      <alignment horizontal="left" vertical="top"/>
    </xf>
    <xf numFmtId="0" fontId="5"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5" fillId="0" borderId="0" xfId="0" applyFont="1" applyAlignment="1">
      <alignment horizontal="left" vertical="center" wrapText="1"/>
    </xf>
    <xf numFmtId="0" fontId="11" fillId="0" borderId="1" xfId="0" applyFont="1" applyBorder="1" applyAlignment="1">
      <alignment horizontal="center" vertical="center" wrapText="1"/>
    </xf>
    <xf numFmtId="0" fontId="24" fillId="0" borderId="1" xfId="0" applyFont="1" applyBorder="1" applyAlignment="1">
      <alignment horizontal="left" vertical="center" wrapText="1"/>
    </xf>
    <xf numFmtId="0" fontId="13" fillId="0" borderId="1" xfId="0" applyFont="1" applyBorder="1" applyAlignment="1">
      <alignment vertical="center" wrapText="1"/>
    </xf>
  </cellXfs>
  <cellStyles count="2">
    <cellStyle name="Normal" xfId="0" builtinId="0"/>
    <cellStyle name="Normal_SSI Burden Estimate BML 060710" xfId="1" xr:uid="{A07D4530-980E-478C-AD05-99F0F1CD297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A7EB7-65C4-4130-9D77-8CE86F89F2FE}">
  <dimension ref="A1:N85"/>
  <sheetViews>
    <sheetView topLeftCell="A42" zoomScale="70" zoomScaleNormal="70" workbookViewId="0">
      <selection activeCell="M46" sqref="M46"/>
    </sheetView>
  </sheetViews>
  <sheetFormatPr defaultColWidth="9.140625" defaultRowHeight="15"/>
  <cols>
    <col min="1" max="1" width="48" customWidth="1"/>
    <col min="2" max="2" width="10.5703125" customWidth="1"/>
    <col min="3" max="3" width="11.28515625" customWidth="1"/>
    <col min="4" max="4" width="10.42578125" customWidth="1"/>
    <col min="5" max="5" width="11.5703125" customWidth="1"/>
    <col min="6" max="6" width="11.28515625" customWidth="1"/>
    <col min="7" max="7" width="11.42578125" customWidth="1"/>
    <col min="9" max="9" width="14.42578125" customWidth="1"/>
    <col min="11" max="11" width="12.5703125" customWidth="1"/>
    <col min="14" max="14" width="10.28515625" bestFit="1" customWidth="1"/>
  </cols>
  <sheetData>
    <row r="1" spans="1:13" ht="15.75">
      <c r="A1" s="16" t="s">
        <v>0</v>
      </c>
    </row>
    <row r="2" spans="1:13" ht="87.6" customHeight="1">
      <c r="A2" s="71" t="s">
        <v>1</v>
      </c>
      <c r="B2" s="51" t="s">
        <v>2</v>
      </c>
      <c r="C2" s="51" t="s">
        <v>3</v>
      </c>
      <c r="D2" s="51" t="s">
        <v>4</v>
      </c>
      <c r="E2" s="51" t="s">
        <v>5</v>
      </c>
      <c r="F2" s="51" t="s">
        <v>6</v>
      </c>
      <c r="G2" s="51" t="s">
        <v>7</v>
      </c>
      <c r="H2" s="51" t="s">
        <v>8</v>
      </c>
      <c r="I2" s="51" t="s">
        <v>9</v>
      </c>
    </row>
    <row r="3" spans="1:13">
      <c r="A3" s="15" t="s">
        <v>10</v>
      </c>
      <c r="B3" s="8" t="s">
        <v>11</v>
      </c>
      <c r="C3" s="15"/>
      <c r="D3" s="8"/>
      <c r="E3" s="8"/>
      <c r="F3" s="8"/>
      <c r="G3" s="8"/>
      <c r="H3" s="8"/>
      <c r="I3" s="19"/>
      <c r="K3" s="77" t="s">
        <v>12</v>
      </c>
      <c r="L3" s="77"/>
    </row>
    <row r="4" spans="1:13">
      <c r="A4" s="15" t="s">
        <v>13</v>
      </c>
      <c r="B4" s="8" t="s">
        <v>11</v>
      </c>
      <c r="C4" s="15"/>
      <c r="D4" s="8"/>
      <c r="E4" s="64"/>
      <c r="F4" s="8"/>
      <c r="G4" s="8"/>
      <c r="H4" s="8"/>
      <c r="I4" s="19"/>
      <c r="K4" s="5" t="s">
        <v>14</v>
      </c>
      <c r="L4" s="14">
        <v>172.41</v>
      </c>
      <c r="M4" s="1"/>
    </row>
    <row r="5" spans="1:13">
      <c r="A5" s="15" t="s">
        <v>15</v>
      </c>
      <c r="B5" s="8"/>
      <c r="C5" s="8"/>
      <c r="D5" s="8"/>
      <c r="E5" s="64"/>
      <c r="F5" s="8"/>
      <c r="G5" s="8"/>
      <c r="H5" s="8"/>
      <c r="I5" s="19"/>
      <c r="K5" s="5" t="s">
        <v>16</v>
      </c>
      <c r="L5" s="14">
        <v>141.75</v>
      </c>
      <c r="M5" s="1"/>
    </row>
    <row r="6" spans="1:13">
      <c r="A6" s="15" t="s">
        <v>17</v>
      </c>
      <c r="B6" s="8">
        <v>1</v>
      </c>
      <c r="C6" s="8">
        <v>1</v>
      </c>
      <c r="D6" s="8">
        <f>B6*C6</f>
        <v>1</v>
      </c>
      <c r="E6" s="64">
        <v>3</v>
      </c>
      <c r="F6" s="8">
        <f>D6*E6</f>
        <v>3</v>
      </c>
      <c r="G6" s="8">
        <f>F6*0.05</f>
        <v>0.15000000000000002</v>
      </c>
      <c r="H6" s="41">
        <f>F6*0.1</f>
        <v>0.30000000000000004</v>
      </c>
      <c r="I6" s="18">
        <f>F6*$L$5+G6*$L$4+H6*$L$6</f>
        <v>472.51949999999999</v>
      </c>
      <c r="K6" s="5" t="s">
        <v>18</v>
      </c>
      <c r="L6" s="14">
        <v>71.36</v>
      </c>
      <c r="M6" s="1"/>
    </row>
    <row r="7" spans="1:13">
      <c r="A7" s="15" t="s">
        <v>19</v>
      </c>
      <c r="B7" s="8"/>
      <c r="C7" s="8"/>
      <c r="D7" s="8"/>
      <c r="E7" s="64"/>
      <c r="F7" s="8"/>
      <c r="G7" s="8"/>
      <c r="H7" s="8"/>
      <c r="I7" s="19"/>
      <c r="M7" s="1"/>
    </row>
    <row r="8" spans="1:13">
      <c r="A8" s="15" t="s">
        <v>20</v>
      </c>
      <c r="B8" s="8">
        <v>16</v>
      </c>
      <c r="C8" s="8">
        <v>1</v>
      </c>
      <c r="D8" s="8">
        <f t="shared" ref="D8:D14" si="0">B8*C8</f>
        <v>16</v>
      </c>
      <c r="E8" s="64">
        <v>0</v>
      </c>
      <c r="F8" s="8">
        <f t="shared" ref="F8:F14" si="1">D8*E8</f>
        <v>0</v>
      </c>
      <c r="G8" s="41">
        <f t="shared" ref="G8:G14" si="2">F8*0.05</f>
        <v>0</v>
      </c>
      <c r="H8" s="41">
        <f t="shared" ref="H8:H14" si="3">F8*0.1</f>
        <v>0</v>
      </c>
      <c r="I8" s="18">
        <f>F8*$L$5+G8*$L$4+H8*$L$6</f>
        <v>0</v>
      </c>
      <c r="M8" s="1"/>
    </row>
    <row r="9" spans="1:13" ht="15.75">
      <c r="A9" s="15" t="s">
        <v>21</v>
      </c>
      <c r="B9" s="8">
        <v>16</v>
      </c>
      <c r="C9" s="8">
        <v>1</v>
      </c>
      <c r="D9" s="8">
        <f t="shared" si="0"/>
        <v>16</v>
      </c>
      <c r="E9" s="64">
        <v>0</v>
      </c>
      <c r="F9" s="8">
        <f t="shared" si="1"/>
        <v>0</v>
      </c>
      <c r="G9" s="8">
        <f t="shared" si="2"/>
        <v>0</v>
      </c>
      <c r="H9" s="8">
        <f t="shared" si="3"/>
        <v>0</v>
      </c>
      <c r="I9" s="48">
        <f t="shared" ref="I9:I13" si="4">F9*$L$5+G9*$L$4+H9*$L$6</f>
        <v>0</v>
      </c>
      <c r="J9" s="47"/>
      <c r="M9" s="1"/>
    </row>
    <row r="10" spans="1:13" ht="15.75">
      <c r="A10" s="15" t="s">
        <v>22</v>
      </c>
      <c r="B10" s="8">
        <v>160</v>
      </c>
      <c r="C10" s="8">
        <v>1</v>
      </c>
      <c r="D10" s="8">
        <f t="shared" si="0"/>
        <v>160</v>
      </c>
      <c r="E10" s="64">
        <v>0</v>
      </c>
      <c r="F10" s="8">
        <f t="shared" si="1"/>
        <v>0</v>
      </c>
      <c r="G10" s="8">
        <f t="shared" si="2"/>
        <v>0</v>
      </c>
      <c r="H10" s="8">
        <f t="shared" si="3"/>
        <v>0</v>
      </c>
      <c r="I10" s="18">
        <f t="shared" si="4"/>
        <v>0</v>
      </c>
      <c r="M10" s="1"/>
    </row>
    <row r="11" spans="1:13" ht="15.75">
      <c r="A11" s="15" t="s">
        <v>23</v>
      </c>
      <c r="B11" s="8">
        <v>20</v>
      </c>
      <c r="C11" s="8">
        <v>1</v>
      </c>
      <c r="D11" s="8">
        <f t="shared" si="0"/>
        <v>20</v>
      </c>
      <c r="E11" s="64">
        <v>3</v>
      </c>
      <c r="F11" s="8">
        <f t="shared" si="1"/>
        <v>60</v>
      </c>
      <c r="G11" s="8">
        <f t="shared" si="2"/>
        <v>3</v>
      </c>
      <c r="H11" s="8">
        <f t="shared" si="3"/>
        <v>6</v>
      </c>
      <c r="I11" s="18">
        <f>F11*$L$5+G11*$L$4+H11*$L$6</f>
        <v>9450.39</v>
      </c>
    </row>
    <row r="12" spans="1:13" ht="15.75">
      <c r="A12" s="15" t="s">
        <v>24</v>
      </c>
      <c r="B12" s="8">
        <v>8</v>
      </c>
      <c r="C12" s="8">
        <v>2</v>
      </c>
      <c r="D12" s="8">
        <f t="shared" si="0"/>
        <v>16</v>
      </c>
      <c r="E12" s="64">
        <v>3</v>
      </c>
      <c r="F12" s="8">
        <f t="shared" si="1"/>
        <v>48</v>
      </c>
      <c r="G12" s="8">
        <f t="shared" si="2"/>
        <v>2.4000000000000004</v>
      </c>
      <c r="H12" s="8">
        <f t="shared" si="3"/>
        <v>4.8000000000000007</v>
      </c>
      <c r="I12" s="18">
        <f>F12*$L$5+G12*$L$4+H12*$L$6</f>
        <v>7560.3119999999999</v>
      </c>
    </row>
    <row r="13" spans="1:13" ht="15.75">
      <c r="A13" s="15" t="s">
        <v>25</v>
      </c>
      <c r="B13" s="8">
        <v>20</v>
      </c>
      <c r="C13" s="8">
        <v>1</v>
      </c>
      <c r="D13" s="8">
        <f t="shared" si="0"/>
        <v>20</v>
      </c>
      <c r="E13" s="64">
        <v>0</v>
      </c>
      <c r="F13" s="8">
        <f t="shared" si="1"/>
        <v>0</v>
      </c>
      <c r="G13" s="8">
        <f t="shared" si="2"/>
        <v>0</v>
      </c>
      <c r="H13" s="8">
        <f t="shared" si="3"/>
        <v>0</v>
      </c>
      <c r="I13" s="18">
        <f t="shared" si="4"/>
        <v>0</v>
      </c>
    </row>
    <row r="14" spans="1:13" ht="15.75">
      <c r="A14" s="15" t="s">
        <v>26</v>
      </c>
      <c r="B14" s="8">
        <v>20</v>
      </c>
      <c r="C14" s="8">
        <v>1</v>
      </c>
      <c r="D14" s="8">
        <f t="shared" si="0"/>
        <v>20</v>
      </c>
      <c r="E14" s="64">
        <v>3</v>
      </c>
      <c r="F14" s="8">
        <f t="shared" si="1"/>
        <v>60</v>
      </c>
      <c r="G14" s="8">
        <f t="shared" si="2"/>
        <v>3</v>
      </c>
      <c r="H14" s="8">
        <f t="shared" si="3"/>
        <v>6</v>
      </c>
      <c r="I14" s="18">
        <f>F14*$L$5+G14*$L$4+H14*$L$6</f>
        <v>9450.39</v>
      </c>
    </row>
    <row r="15" spans="1:13">
      <c r="A15" s="15" t="s">
        <v>27</v>
      </c>
      <c r="B15" s="8" t="s">
        <v>28</v>
      </c>
      <c r="C15" s="8"/>
      <c r="D15" s="8"/>
      <c r="E15" s="64"/>
      <c r="F15" s="8"/>
      <c r="G15" s="8"/>
      <c r="H15" s="8"/>
      <c r="I15" s="19"/>
    </row>
    <row r="16" spans="1:13">
      <c r="A16" s="15" t="s">
        <v>29</v>
      </c>
      <c r="B16" s="8" t="s">
        <v>28</v>
      </c>
      <c r="C16" s="8"/>
      <c r="D16" s="8"/>
      <c r="E16" s="64"/>
      <c r="F16" s="8"/>
      <c r="G16" s="8"/>
      <c r="H16" s="8"/>
      <c r="I16" s="19"/>
    </row>
    <row r="17" spans="1:9">
      <c r="A17" s="15" t="s">
        <v>30</v>
      </c>
      <c r="B17" s="8"/>
      <c r="C17" s="8"/>
      <c r="D17" s="8"/>
      <c r="E17" s="64"/>
      <c r="F17" s="8"/>
      <c r="G17" s="8"/>
      <c r="H17" s="8"/>
      <c r="I17" s="19"/>
    </row>
    <row r="18" spans="1:9" ht="15.75">
      <c r="A18" s="15" t="s">
        <v>31</v>
      </c>
      <c r="B18" s="8">
        <v>2</v>
      </c>
      <c r="C18" s="8">
        <v>1</v>
      </c>
      <c r="D18" s="8">
        <f t="shared" ref="D18:D29" si="5">B18*C18</f>
        <v>2</v>
      </c>
      <c r="E18" s="64">
        <v>0</v>
      </c>
      <c r="F18" s="8">
        <f t="shared" ref="F18:F29" si="6">D18*E18</f>
        <v>0</v>
      </c>
      <c r="G18" s="20">
        <f t="shared" ref="G18:G25" si="7">F18*0.05</f>
        <v>0</v>
      </c>
      <c r="H18" s="20">
        <f t="shared" ref="H18:H25" si="8">F18*0.1</f>
        <v>0</v>
      </c>
      <c r="I18" s="18">
        <f t="shared" ref="I18:I29" si="9">F18*$L$5+G18*$L$4+H18*$L$6</f>
        <v>0</v>
      </c>
    </row>
    <row r="19" spans="1:9" ht="28.5">
      <c r="A19" s="15" t="s">
        <v>32</v>
      </c>
      <c r="B19" s="8">
        <v>2</v>
      </c>
      <c r="C19" s="8">
        <v>1</v>
      </c>
      <c r="D19" s="8">
        <f t="shared" si="5"/>
        <v>2</v>
      </c>
      <c r="E19" s="64">
        <v>0</v>
      </c>
      <c r="F19" s="8">
        <f t="shared" si="6"/>
        <v>0</v>
      </c>
      <c r="G19" s="20">
        <f t="shared" si="7"/>
        <v>0</v>
      </c>
      <c r="H19" s="20">
        <f t="shared" si="8"/>
        <v>0</v>
      </c>
      <c r="I19" s="18">
        <f t="shared" si="9"/>
        <v>0</v>
      </c>
    </row>
    <row r="20" spans="1:9" ht="15.75">
      <c r="A20" s="15" t="s">
        <v>33</v>
      </c>
      <c r="B20" s="8">
        <v>2</v>
      </c>
      <c r="C20" s="8">
        <v>1</v>
      </c>
      <c r="D20" s="8">
        <f t="shared" si="5"/>
        <v>2</v>
      </c>
      <c r="E20" s="64">
        <v>0</v>
      </c>
      <c r="F20" s="8">
        <f t="shared" si="6"/>
        <v>0</v>
      </c>
      <c r="G20" s="20">
        <f t="shared" si="7"/>
        <v>0</v>
      </c>
      <c r="H20" s="20">
        <f t="shared" si="8"/>
        <v>0</v>
      </c>
      <c r="I20" s="18">
        <f t="shared" si="9"/>
        <v>0</v>
      </c>
    </row>
    <row r="21" spans="1:9" ht="15.75">
      <c r="A21" s="15" t="s">
        <v>34</v>
      </c>
      <c r="B21" s="8">
        <v>2</v>
      </c>
      <c r="C21" s="8">
        <v>1</v>
      </c>
      <c r="D21" s="8">
        <f t="shared" si="5"/>
        <v>2</v>
      </c>
      <c r="E21" s="64">
        <v>0</v>
      </c>
      <c r="F21" s="8">
        <f t="shared" si="6"/>
        <v>0</v>
      </c>
      <c r="G21" s="20">
        <f t="shared" si="7"/>
        <v>0</v>
      </c>
      <c r="H21" s="20">
        <f t="shared" si="8"/>
        <v>0</v>
      </c>
      <c r="I21" s="18">
        <f t="shared" si="9"/>
        <v>0</v>
      </c>
    </row>
    <row r="22" spans="1:9">
      <c r="A22" s="15" t="s">
        <v>35</v>
      </c>
      <c r="B22" s="8">
        <v>2</v>
      </c>
      <c r="C22" s="8">
        <v>1</v>
      </c>
      <c r="D22" s="8">
        <f t="shared" si="5"/>
        <v>2</v>
      </c>
      <c r="E22" s="64">
        <v>0</v>
      </c>
      <c r="F22" s="8">
        <f t="shared" si="6"/>
        <v>0</v>
      </c>
      <c r="G22" s="20">
        <f t="shared" si="7"/>
        <v>0</v>
      </c>
      <c r="H22" s="20">
        <f t="shared" si="8"/>
        <v>0</v>
      </c>
      <c r="I22" s="18">
        <f t="shared" si="9"/>
        <v>0</v>
      </c>
    </row>
    <row r="23" spans="1:9">
      <c r="A23" s="15" t="s">
        <v>36</v>
      </c>
      <c r="B23" s="8">
        <v>2</v>
      </c>
      <c r="C23" s="8">
        <v>1</v>
      </c>
      <c r="D23" s="8">
        <f t="shared" si="5"/>
        <v>2</v>
      </c>
      <c r="E23" s="64">
        <v>0</v>
      </c>
      <c r="F23" s="8">
        <f t="shared" si="6"/>
        <v>0</v>
      </c>
      <c r="G23" s="20">
        <f t="shared" si="7"/>
        <v>0</v>
      </c>
      <c r="H23" s="20">
        <f t="shared" si="8"/>
        <v>0</v>
      </c>
      <c r="I23" s="18">
        <f t="shared" si="9"/>
        <v>0</v>
      </c>
    </row>
    <row r="24" spans="1:9" ht="15.75">
      <c r="A24" s="15" t="s">
        <v>37</v>
      </c>
      <c r="B24" s="8">
        <v>2</v>
      </c>
      <c r="C24" s="8">
        <v>1</v>
      </c>
      <c r="D24" s="8">
        <f t="shared" si="5"/>
        <v>2</v>
      </c>
      <c r="E24" s="64">
        <v>0</v>
      </c>
      <c r="F24" s="21">
        <f t="shared" si="6"/>
        <v>0</v>
      </c>
      <c r="G24" s="20">
        <f t="shared" si="7"/>
        <v>0</v>
      </c>
      <c r="H24" s="20">
        <f t="shared" si="8"/>
        <v>0</v>
      </c>
      <c r="I24" s="18">
        <f t="shared" si="9"/>
        <v>0</v>
      </c>
    </row>
    <row r="25" spans="1:9">
      <c r="A25" s="15" t="s">
        <v>38</v>
      </c>
      <c r="B25" s="8">
        <v>2</v>
      </c>
      <c r="C25" s="8">
        <v>1</v>
      </c>
      <c r="D25" s="8">
        <f t="shared" si="5"/>
        <v>2</v>
      </c>
      <c r="E25" s="64">
        <v>0</v>
      </c>
      <c r="F25" s="8">
        <f t="shared" si="6"/>
        <v>0</v>
      </c>
      <c r="G25" s="20">
        <f t="shared" si="7"/>
        <v>0</v>
      </c>
      <c r="H25" s="20">
        <f t="shared" si="8"/>
        <v>0</v>
      </c>
      <c r="I25" s="18">
        <f t="shared" si="9"/>
        <v>0</v>
      </c>
    </row>
    <row r="26" spans="1:9" ht="15.75">
      <c r="A26" s="15" t="s">
        <v>39</v>
      </c>
      <c r="B26" s="8">
        <v>460</v>
      </c>
      <c r="C26" s="8">
        <v>1</v>
      </c>
      <c r="D26" s="8">
        <f t="shared" si="5"/>
        <v>460</v>
      </c>
      <c r="E26" s="64">
        <v>0</v>
      </c>
      <c r="F26" s="8">
        <f t="shared" si="6"/>
        <v>0</v>
      </c>
      <c r="G26" s="20">
        <f t="shared" ref="G26:G29" si="10">F26*0.05</f>
        <v>0</v>
      </c>
      <c r="H26" s="20">
        <f t="shared" ref="H26:H29" si="11">F26*0.1</f>
        <v>0</v>
      </c>
      <c r="I26" s="18">
        <f t="shared" si="9"/>
        <v>0</v>
      </c>
    </row>
    <row r="27" spans="1:9" ht="15.75">
      <c r="A27" s="15" t="s">
        <v>40</v>
      </c>
      <c r="B27" s="8">
        <v>160</v>
      </c>
      <c r="C27" s="8">
        <v>1</v>
      </c>
      <c r="D27" s="8">
        <f t="shared" si="5"/>
        <v>160</v>
      </c>
      <c r="E27" s="64">
        <v>0</v>
      </c>
      <c r="F27" s="8">
        <f t="shared" si="6"/>
        <v>0</v>
      </c>
      <c r="G27" s="20">
        <f t="shared" si="10"/>
        <v>0</v>
      </c>
      <c r="H27" s="20">
        <f t="shared" si="11"/>
        <v>0</v>
      </c>
      <c r="I27" s="18">
        <f t="shared" si="9"/>
        <v>0</v>
      </c>
    </row>
    <row r="28" spans="1:9" ht="41.25">
      <c r="A28" s="15" t="s">
        <v>41</v>
      </c>
      <c r="B28" s="8">
        <v>40</v>
      </c>
      <c r="C28" s="8">
        <v>1</v>
      </c>
      <c r="D28" s="8">
        <f t="shared" si="5"/>
        <v>40</v>
      </c>
      <c r="E28" s="64">
        <v>0</v>
      </c>
      <c r="F28" s="8">
        <f t="shared" si="6"/>
        <v>0</v>
      </c>
      <c r="G28" s="20">
        <f t="shared" si="10"/>
        <v>0</v>
      </c>
      <c r="H28" s="20">
        <f t="shared" si="11"/>
        <v>0</v>
      </c>
      <c r="I28" s="18">
        <f t="shared" si="9"/>
        <v>0</v>
      </c>
    </row>
    <row r="29" spans="1:9" ht="15.75">
      <c r="A29" s="15" t="s">
        <v>42</v>
      </c>
      <c r="B29" s="8">
        <v>8</v>
      </c>
      <c r="C29" s="8">
        <v>1</v>
      </c>
      <c r="D29" s="8">
        <f t="shared" si="5"/>
        <v>8</v>
      </c>
      <c r="E29" s="64">
        <v>0</v>
      </c>
      <c r="F29" s="8">
        <f t="shared" si="6"/>
        <v>0</v>
      </c>
      <c r="G29" s="20">
        <f t="shared" si="10"/>
        <v>0</v>
      </c>
      <c r="H29" s="20">
        <f t="shared" si="11"/>
        <v>0</v>
      </c>
      <c r="I29" s="18">
        <f t="shared" si="9"/>
        <v>0</v>
      </c>
    </row>
    <row r="30" spans="1:9" ht="15.75">
      <c r="A30" s="15" t="s">
        <v>43</v>
      </c>
      <c r="B30" s="8" t="s">
        <v>28</v>
      </c>
      <c r="C30" s="8"/>
      <c r="D30" s="8"/>
      <c r="E30" s="64"/>
      <c r="F30" s="8"/>
      <c r="G30" s="8"/>
      <c r="H30" s="8"/>
      <c r="I30" s="18"/>
    </row>
    <row r="31" spans="1:9">
      <c r="A31" s="15" t="s">
        <v>44</v>
      </c>
      <c r="B31" s="8"/>
      <c r="C31" s="8"/>
      <c r="D31" s="8"/>
      <c r="E31" s="64"/>
      <c r="F31" s="8"/>
      <c r="G31" s="8"/>
      <c r="H31" s="8"/>
      <c r="I31" s="18"/>
    </row>
    <row r="32" spans="1:9" ht="15.75">
      <c r="A32" s="15" t="s">
        <v>45</v>
      </c>
      <c r="B32" s="8">
        <v>32</v>
      </c>
      <c r="C32" s="8">
        <v>1</v>
      </c>
      <c r="D32" s="8">
        <f>B32*C32</f>
        <v>32</v>
      </c>
      <c r="E32" s="64">
        <v>3</v>
      </c>
      <c r="F32" s="8">
        <f>D32*E32</f>
        <v>96</v>
      </c>
      <c r="G32" s="8">
        <f>F32*0.05</f>
        <v>4.8000000000000007</v>
      </c>
      <c r="H32" s="8">
        <f>F32*0.1</f>
        <v>9.6000000000000014</v>
      </c>
      <c r="I32" s="18">
        <f>F32*$L$5+G32*$L$4+H32*$L$6</f>
        <v>15120.624</v>
      </c>
    </row>
    <row r="33" spans="1:14" ht="28.5">
      <c r="A33" s="15" t="s">
        <v>46</v>
      </c>
      <c r="B33" s="8">
        <v>48</v>
      </c>
      <c r="C33" s="8">
        <v>1</v>
      </c>
      <c r="D33" s="8">
        <f>B33*C33</f>
        <v>48</v>
      </c>
      <c r="E33" s="64">
        <f>E32*0.2</f>
        <v>0.60000000000000009</v>
      </c>
      <c r="F33" s="8">
        <f>D33*E33</f>
        <v>28.800000000000004</v>
      </c>
      <c r="G33" s="41">
        <f>F33*0.05</f>
        <v>1.4400000000000004</v>
      </c>
      <c r="H33" s="41">
        <f>F33*0.1</f>
        <v>2.8800000000000008</v>
      </c>
      <c r="I33" s="18">
        <f>F33*$L$5+G33*$L$4+H33*$L$6</f>
        <v>4536.1872000000012</v>
      </c>
    </row>
    <row r="34" spans="1:14" ht="28.5">
      <c r="A34" s="15" t="s">
        <v>47</v>
      </c>
      <c r="B34" s="8">
        <v>40</v>
      </c>
      <c r="C34" s="8">
        <v>1</v>
      </c>
      <c r="D34" s="8">
        <f>B34*C34</f>
        <v>40</v>
      </c>
      <c r="E34" s="64">
        <v>3</v>
      </c>
      <c r="F34" s="8">
        <f>D34*E34</f>
        <v>120</v>
      </c>
      <c r="G34" s="8">
        <f>F34*0.05</f>
        <v>6</v>
      </c>
      <c r="H34" s="8">
        <f>F34*0.1</f>
        <v>12</v>
      </c>
      <c r="I34" s="18">
        <f>F34*$L$5+G34*$L$4+H34*$L$6</f>
        <v>18900.78</v>
      </c>
    </row>
    <row r="35" spans="1:14" ht="15.75">
      <c r="A35" s="15" t="s">
        <v>48</v>
      </c>
      <c r="B35" s="8">
        <v>24</v>
      </c>
      <c r="C35" s="8">
        <v>1</v>
      </c>
      <c r="D35" s="8">
        <f>B35*C35</f>
        <v>24</v>
      </c>
      <c r="E35" s="64">
        <f>E34*0.8</f>
        <v>2.4000000000000004</v>
      </c>
      <c r="F35" s="8">
        <f>D35*E35</f>
        <v>57.600000000000009</v>
      </c>
      <c r="G35" s="41">
        <f>F35*0.05</f>
        <v>2.8800000000000008</v>
      </c>
      <c r="H35" s="41">
        <f>F35*0.1</f>
        <v>5.7600000000000016</v>
      </c>
      <c r="I35" s="18">
        <f>F35*$L$5+G35*$L$4+H35*$L$6</f>
        <v>9072.3744000000024</v>
      </c>
    </row>
    <row r="36" spans="1:14">
      <c r="A36" s="15" t="s">
        <v>49</v>
      </c>
      <c r="B36" s="8" t="s">
        <v>28</v>
      </c>
      <c r="C36" s="8"/>
      <c r="D36" s="8"/>
      <c r="E36" s="64"/>
      <c r="F36" s="8"/>
      <c r="G36" s="8"/>
      <c r="H36" s="8"/>
      <c r="I36" s="18"/>
      <c r="L36" s="45"/>
    </row>
    <row r="37" spans="1:14" ht="28.5">
      <c r="A37" s="15" t="s">
        <v>50</v>
      </c>
      <c r="B37" s="8">
        <v>48</v>
      </c>
      <c r="C37" s="8">
        <v>1</v>
      </c>
      <c r="D37" s="8">
        <f>B37*C37</f>
        <v>48</v>
      </c>
      <c r="E37" s="64">
        <f>E33</f>
        <v>0.60000000000000009</v>
      </c>
      <c r="F37" s="8">
        <f>D37*E37</f>
        <v>28.800000000000004</v>
      </c>
      <c r="G37" s="41">
        <f>F37*0.05</f>
        <v>1.4400000000000004</v>
      </c>
      <c r="H37" s="41">
        <f>F37*0.1</f>
        <v>2.8800000000000008</v>
      </c>
      <c r="I37" s="18">
        <f>F37*$L$5+G37*$L$4+H37*$L$6</f>
        <v>4536.1872000000012</v>
      </c>
      <c r="L37" s="44"/>
      <c r="M37" s="28"/>
      <c r="N37" s="43"/>
    </row>
    <row r="38" spans="1:14" s="45" customFormat="1" ht="15.75">
      <c r="A38" s="40" t="s">
        <v>51</v>
      </c>
      <c r="B38" s="39"/>
      <c r="C38" s="39"/>
      <c r="D38" s="39"/>
      <c r="E38" s="66"/>
      <c r="F38" s="75">
        <f>SUM(F3:H37)</f>
        <v>577.53</v>
      </c>
      <c r="G38" s="75"/>
      <c r="H38" s="75"/>
      <c r="I38" s="46">
        <f>SUM(I3:I37)</f>
        <v>79099.764299999995</v>
      </c>
      <c r="K38"/>
      <c r="L38" s="44"/>
      <c r="M38" s="28"/>
      <c r="N38" s="43"/>
    </row>
    <row r="39" spans="1:14" ht="15.75">
      <c r="A39" s="15" t="s">
        <v>52</v>
      </c>
      <c r="B39" s="8"/>
      <c r="C39" s="8"/>
      <c r="D39" s="8"/>
      <c r="E39" s="64"/>
      <c r="F39" s="8"/>
      <c r="G39" s="8"/>
      <c r="H39" s="8"/>
      <c r="I39" s="19"/>
      <c r="K39" s="45"/>
      <c r="L39" s="44"/>
      <c r="M39" s="28"/>
      <c r="N39" s="43"/>
    </row>
    <row r="40" spans="1:14" ht="15.75">
      <c r="A40" s="15" t="s">
        <v>53</v>
      </c>
      <c r="B40" s="8" t="s">
        <v>54</v>
      </c>
      <c r="C40" s="8"/>
      <c r="D40" s="8"/>
      <c r="E40" s="64"/>
      <c r="F40" s="8"/>
      <c r="G40" s="8"/>
      <c r="H40" s="8"/>
      <c r="I40" s="19"/>
      <c r="L40" s="44"/>
      <c r="M40" s="28"/>
      <c r="N40" s="43"/>
    </row>
    <row r="41" spans="1:14" ht="15.75">
      <c r="A41" s="15" t="s">
        <v>55</v>
      </c>
      <c r="B41" s="8" t="s">
        <v>11</v>
      </c>
      <c r="C41" s="8"/>
      <c r="D41" s="8"/>
      <c r="E41" s="64"/>
      <c r="F41" s="8"/>
      <c r="G41" s="8"/>
      <c r="H41" s="8"/>
      <c r="I41" s="19"/>
      <c r="L41" s="44"/>
      <c r="M41" s="28"/>
      <c r="N41" s="43"/>
    </row>
    <row r="42" spans="1:14" ht="15.75">
      <c r="A42" s="15" t="s">
        <v>56</v>
      </c>
      <c r="B42" s="8" t="s">
        <v>11</v>
      </c>
      <c r="C42" s="8"/>
      <c r="D42" s="8"/>
      <c r="E42" s="64"/>
      <c r="F42" s="8"/>
      <c r="G42" s="8"/>
      <c r="H42" s="8"/>
      <c r="I42" s="19"/>
      <c r="L42" s="44"/>
      <c r="M42" s="28"/>
      <c r="N42" s="43"/>
    </row>
    <row r="43" spans="1:14" ht="15.75">
      <c r="A43" s="15" t="s">
        <v>57</v>
      </c>
      <c r="B43" s="8" t="s">
        <v>11</v>
      </c>
      <c r="C43" s="8"/>
      <c r="D43" s="8"/>
      <c r="E43" s="64"/>
      <c r="F43" s="8"/>
      <c r="G43" s="8"/>
      <c r="H43" s="8"/>
      <c r="I43" s="19"/>
      <c r="L43" s="44"/>
      <c r="M43" s="28"/>
      <c r="N43" s="43"/>
    </row>
    <row r="44" spans="1:14" ht="15.75">
      <c r="A44" s="15" t="s">
        <v>58</v>
      </c>
      <c r="B44" s="8"/>
      <c r="C44" s="8"/>
      <c r="D44" s="8"/>
      <c r="E44" s="64"/>
      <c r="F44" s="8"/>
      <c r="G44" s="8"/>
      <c r="H44" s="8"/>
      <c r="I44" s="19"/>
      <c r="L44" s="44"/>
      <c r="M44" s="28"/>
      <c r="N44" s="43"/>
    </row>
    <row r="45" spans="1:14" ht="25.5">
      <c r="A45" s="15" t="s">
        <v>59</v>
      </c>
      <c r="B45" s="8" t="s">
        <v>60</v>
      </c>
      <c r="C45" s="8"/>
      <c r="D45" s="8"/>
      <c r="E45" s="64"/>
      <c r="F45" s="8"/>
      <c r="G45" s="8"/>
      <c r="H45" s="8"/>
      <c r="I45" s="18"/>
      <c r="L45" s="44"/>
      <c r="M45" s="28"/>
      <c r="N45" s="43"/>
    </row>
    <row r="46" spans="1:14" ht="28.5">
      <c r="A46" s="15" t="s">
        <v>61</v>
      </c>
      <c r="B46" s="8">
        <v>2</v>
      </c>
      <c r="C46" s="8">
        <v>2</v>
      </c>
      <c r="D46" s="8">
        <f>B46*C46</f>
        <v>4</v>
      </c>
      <c r="E46" s="64">
        <v>3</v>
      </c>
      <c r="F46" s="8">
        <f>D46*E46</f>
        <v>12</v>
      </c>
      <c r="G46" s="41">
        <f>F46*0.05</f>
        <v>0.60000000000000009</v>
      </c>
      <c r="H46" s="41">
        <f>F46*0.1</f>
        <v>1.2000000000000002</v>
      </c>
      <c r="I46" s="18">
        <f>F46*$L$5+G46*$L$4+H46*$L$6</f>
        <v>1890.078</v>
      </c>
      <c r="L46" s="44"/>
      <c r="M46" s="28"/>
      <c r="N46" s="43"/>
    </row>
    <row r="47" spans="1:14" ht="28.5">
      <c r="A47" s="15" t="s">
        <v>62</v>
      </c>
      <c r="B47" s="8">
        <v>2</v>
      </c>
      <c r="C47" s="8">
        <v>2</v>
      </c>
      <c r="D47" s="8">
        <f>B47*C47</f>
        <v>4</v>
      </c>
      <c r="E47" s="64">
        <v>3</v>
      </c>
      <c r="F47" s="8">
        <f>D47*E47</f>
        <v>12</v>
      </c>
      <c r="G47" s="41">
        <f>F47*0.05</f>
        <v>0.60000000000000009</v>
      </c>
      <c r="H47" s="41">
        <f>F47*0.1</f>
        <v>1.2000000000000002</v>
      </c>
      <c r="I47" s="18">
        <f>F47*$L$5+G47*$L$4+H47*$L$6</f>
        <v>1890.078</v>
      </c>
      <c r="L47" s="44"/>
      <c r="M47" s="28"/>
      <c r="N47" s="43"/>
    </row>
    <row r="48" spans="1:14">
      <c r="A48" s="15" t="s">
        <v>63</v>
      </c>
      <c r="B48" s="8" t="s">
        <v>60</v>
      </c>
      <c r="C48" s="8"/>
      <c r="D48" s="8"/>
      <c r="E48" s="64"/>
      <c r="F48" s="8"/>
      <c r="G48" s="8"/>
      <c r="H48" s="8"/>
      <c r="I48" s="18"/>
      <c r="N48" s="26"/>
    </row>
    <row r="49" spans="1:14">
      <c r="A49" s="15" t="s">
        <v>64</v>
      </c>
      <c r="B49" s="8">
        <v>1.5</v>
      </c>
      <c r="C49" s="8">
        <v>52</v>
      </c>
      <c r="D49" s="8">
        <f>B49*C49</f>
        <v>78</v>
      </c>
      <c r="E49" s="64">
        <v>3</v>
      </c>
      <c r="F49" s="8">
        <f>D49*E49</f>
        <v>234</v>
      </c>
      <c r="G49" s="8">
        <f>F49*0.05</f>
        <v>11.700000000000001</v>
      </c>
      <c r="H49" s="8">
        <f>F49*0.1</f>
        <v>23.400000000000002</v>
      </c>
      <c r="I49" s="18">
        <f>F49*$L$5+G49*$L$4+H49*$L$6</f>
        <v>36856.521000000001</v>
      </c>
    </row>
    <row r="50" spans="1:14" ht="28.5">
      <c r="A50" s="15" t="s">
        <v>65</v>
      </c>
      <c r="B50" s="8">
        <v>2</v>
      </c>
      <c r="C50" s="8">
        <v>2</v>
      </c>
      <c r="D50" s="8">
        <f>B50*C50</f>
        <v>4</v>
      </c>
      <c r="E50" s="64">
        <v>3</v>
      </c>
      <c r="F50" s="8">
        <f>D50*E50</f>
        <v>12</v>
      </c>
      <c r="G50" s="8">
        <f>F50*0.05</f>
        <v>0.60000000000000009</v>
      </c>
      <c r="H50" s="8">
        <f>F50*0.1</f>
        <v>1.2000000000000002</v>
      </c>
      <c r="I50" s="18">
        <f>F50*$L$5+G50*$L$4+H50*$L$6</f>
        <v>1890.078</v>
      </c>
      <c r="N50" s="26"/>
    </row>
    <row r="51" spans="1:14" ht="25.5">
      <c r="A51" s="15" t="s">
        <v>66</v>
      </c>
      <c r="B51" s="8">
        <v>1.5</v>
      </c>
      <c r="C51" s="8">
        <v>52</v>
      </c>
      <c r="D51" s="8">
        <f>B51*C51</f>
        <v>78</v>
      </c>
      <c r="E51" s="64">
        <v>3</v>
      </c>
      <c r="F51" s="8">
        <f>D51*E51</f>
        <v>234</v>
      </c>
      <c r="G51" s="41">
        <f>F51*0.05</f>
        <v>11.700000000000001</v>
      </c>
      <c r="H51" s="8">
        <f>F51*0.1</f>
        <v>23.400000000000002</v>
      </c>
      <c r="I51" s="18">
        <f>F51*$L$5+G51*$L$4+H51*$L$6</f>
        <v>36856.521000000001</v>
      </c>
    </row>
    <row r="52" spans="1:14" ht="15.75">
      <c r="A52" s="15" t="s">
        <v>67</v>
      </c>
      <c r="B52" s="41">
        <v>2.5000000000000001E-2</v>
      </c>
      <c r="C52" s="8">
        <v>365</v>
      </c>
      <c r="D52" s="41">
        <f>B52*C52</f>
        <v>9.125</v>
      </c>
      <c r="E52" s="64">
        <v>3</v>
      </c>
      <c r="F52" s="41">
        <f>D52*E52</f>
        <v>27.375</v>
      </c>
      <c r="G52" s="41">
        <f>F52*0.05</f>
        <v>1.3687500000000001</v>
      </c>
      <c r="H52" s="41">
        <f>F52*0.1</f>
        <v>2.7375000000000003</v>
      </c>
      <c r="I52" s="18">
        <f>F52*$L$5+G52*$L$4+H52*$L$6</f>
        <v>4311.7404374999996</v>
      </c>
    </row>
    <row r="53" spans="1:14" ht="25.5">
      <c r="A53" s="15" t="s">
        <v>68</v>
      </c>
      <c r="B53" s="8">
        <v>1.5</v>
      </c>
      <c r="C53" s="8">
        <v>52</v>
      </c>
      <c r="D53" s="8">
        <f>B53*C53</f>
        <v>78</v>
      </c>
      <c r="E53" s="64">
        <v>3</v>
      </c>
      <c r="F53" s="20">
        <f>D53*E53</f>
        <v>234</v>
      </c>
      <c r="G53" s="8">
        <f>F53*0.05</f>
        <v>11.700000000000001</v>
      </c>
      <c r="H53" s="8">
        <f>F53*0.1</f>
        <v>23.400000000000002</v>
      </c>
      <c r="I53" s="18">
        <f>F53*$L$5+G53*$L$4+H53*$L$6</f>
        <v>36856.521000000001</v>
      </c>
    </row>
    <row r="54" spans="1:14" ht="25.5">
      <c r="A54" s="15" t="s">
        <v>69</v>
      </c>
      <c r="B54" s="8" t="s">
        <v>60</v>
      </c>
      <c r="C54" s="8"/>
      <c r="D54" s="8"/>
      <c r="E54" s="64"/>
      <c r="F54" s="42"/>
      <c r="G54" s="41"/>
      <c r="H54" s="41"/>
      <c r="I54" s="18"/>
    </row>
    <row r="55" spans="1:14">
      <c r="A55" s="15" t="s">
        <v>70</v>
      </c>
      <c r="B55" s="8" t="s">
        <v>28</v>
      </c>
      <c r="C55" s="8"/>
      <c r="D55" s="8"/>
      <c r="E55" s="8"/>
      <c r="F55" s="42"/>
      <c r="G55" s="41"/>
      <c r="H55" s="41"/>
      <c r="I55" s="18"/>
    </row>
    <row r="56" spans="1:14" ht="15.75">
      <c r="A56" s="15" t="s">
        <v>71</v>
      </c>
      <c r="B56" s="8">
        <v>1.5</v>
      </c>
      <c r="C56" s="8">
        <v>52</v>
      </c>
      <c r="D56" s="8">
        <f>B56*C56</f>
        <v>78</v>
      </c>
      <c r="E56" s="20">
        <f>E53*(2/3)</f>
        <v>2</v>
      </c>
      <c r="F56" s="8">
        <f>D56*E56</f>
        <v>156</v>
      </c>
      <c r="G56" s="41">
        <f>F56*0.05</f>
        <v>7.8000000000000007</v>
      </c>
      <c r="H56" s="41">
        <f>F56*0.1</f>
        <v>15.600000000000001</v>
      </c>
      <c r="I56" s="18">
        <f>F56*$L$5+G56*$L$4+H56*$L$6</f>
        <v>24571.013999999999</v>
      </c>
    </row>
    <row r="57" spans="1:14" ht="15.75">
      <c r="A57" s="15" t="s">
        <v>72</v>
      </c>
      <c r="B57" s="8">
        <v>40</v>
      </c>
      <c r="C57" s="8">
        <v>1</v>
      </c>
      <c r="D57" s="8">
        <f>B57*C57</f>
        <v>40</v>
      </c>
      <c r="E57" s="8">
        <v>3</v>
      </c>
      <c r="F57" s="8">
        <f>D57*E57</f>
        <v>120</v>
      </c>
      <c r="G57" s="8">
        <f>F57*0.05</f>
        <v>6</v>
      </c>
      <c r="H57" s="8">
        <f>F57*0.1</f>
        <v>12</v>
      </c>
      <c r="I57" s="18">
        <f>F57*$L$5+G57*$L$4+H57*$L$6</f>
        <v>18900.78</v>
      </c>
    </row>
    <row r="58" spans="1:14">
      <c r="A58" s="15" t="s">
        <v>73</v>
      </c>
      <c r="B58" s="8" t="s">
        <v>11</v>
      </c>
      <c r="C58" s="8"/>
      <c r="D58" s="8"/>
      <c r="E58" s="8"/>
      <c r="F58" s="42"/>
      <c r="G58" s="41"/>
      <c r="H58" s="41"/>
      <c r="I58" s="19"/>
    </row>
    <row r="59" spans="1:14">
      <c r="A59" s="40" t="s">
        <v>74</v>
      </c>
      <c r="B59" s="39"/>
      <c r="C59" s="39"/>
      <c r="D59" s="39"/>
      <c r="E59" s="39"/>
      <c r="F59" s="75">
        <f>SUM(F39:H58)</f>
        <v>1197.58125</v>
      </c>
      <c r="G59" s="75"/>
      <c r="H59" s="75"/>
      <c r="I59" s="38">
        <f>SUM(I39:I58)</f>
        <v>164023.33143750002</v>
      </c>
    </row>
    <row r="60" spans="1:14" ht="15.75">
      <c r="A60" s="10" t="s">
        <v>75</v>
      </c>
      <c r="B60" s="15"/>
      <c r="C60" s="15"/>
      <c r="D60" s="15"/>
      <c r="E60" s="15"/>
      <c r="F60" s="76">
        <f>ROUND(SUM(F38,F59),-1)</f>
        <v>1780</v>
      </c>
      <c r="G60" s="76"/>
      <c r="H60" s="76"/>
      <c r="I60" s="35">
        <f>ROUND(SUM(I38,I59),-3)</f>
        <v>243000</v>
      </c>
      <c r="L60" s="25">
        <f>F60</f>
        <v>1780</v>
      </c>
    </row>
    <row r="61" spans="1:14" ht="15.75">
      <c r="A61" s="37" t="s">
        <v>76</v>
      </c>
      <c r="B61" s="36"/>
      <c r="C61" s="36"/>
      <c r="D61" s="36"/>
      <c r="E61" s="36"/>
      <c r="F61" s="36"/>
      <c r="G61" s="36"/>
      <c r="H61" s="36"/>
      <c r="I61" s="35">
        <f>'Capital O&amp;M'!G16</f>
        <v>177000</v>
      </c>
      <c r="K61" t="s">
        <v>77</v>
      </c>
      <c r="L61" s="27">
        <f>F60/Responses!E24</f>
        <v>105.95238095238095</v>
      </c>
    </row>
    <row r="62" spans="1:14" ht="15.75">
      <c r="A62" s="37" t="s">
        <v>78</v>
      </c>
      <c r="B62" s="36"/>
      <c r="C62" s="36"/>
      <c r="D62" s="36"/>
      <c r="E62" s="36"/>
      <c r="F62" s="36"/>
      <c r="G62" s="36"/>
      <c r="H62" s="36"/>
      <c r="I62" s="35">
        <f>ROUND(I61+I60,-3)</f>
        <v>420000</v>
      </c>
    </row>
    <row r="64" spans="1:14">
      <c r="A64" s="34" t="s">
        <v>79</v>
      </c>
    </row>
    <row r="65" spans="1:9" ht="15.75">
      <c r="A65" s="78" t="s">
        <v>80</v>
      </c>
      <c r="B65" s="78"/>
      <c r="C65" s="78"/>
      <c r="D65" s="78"/>
      <c r="E65" s="78"/>
      <c r="F65" s="78"/>
      <c r="G65" s="78"/>
      <c r="H65" s="78"/>
      <c r="I65" s="78"/>
    </row>
    <row r="66" spans="1:9" ht="54.75" customHeight="1">
      <c r="A66" s="74" t="s">
        <v>81</v>
      </c>
      <c r="B66" s="74"/>
      <c r="C66" s="74"/>
      <c r="D66" s="74"/>
      <c r="E66" s="74"/>
      <c r="F66" s="74"/>
      <c r="G66" s="74"/>
      <c r="H66" s="74"/>
      <c r="I66" s="74"/>
    </row>
    <row r="67" spans="1:9" ht="15.75">
      <c r="A67" s="80" t="s">
        <v>82</v>
      </c>
      <c r="B67" s="80"/>
      <c r="C67" s="80"/>
      <c r="D67" s="80"/>
      <c r="E67" s="80"/>
      <c r="F67" s="80"/>
      <c r="G67" s="80"/>
      <c r="H67" s="80"/>
      <c r="I67" s="80"/>
    </row>
    <row r="68" spans="1:9" ht="15.75">
      <c r="A68" s="80" t="s">
        <v>83</v>
      </c>
      <c r="B68" s="80"/>
      <c r="C68" s="80"/>
      <c r="D68" s="80"/>
      <c r="E68" s="80"/>
      <c r="F68" s="80"/>
      <c r="G68" s="80"/>
      <c r="H68" s="80"/>
      <c r="I68" s="80"/>
    </row>
    <row r="69" spans="1:9" ht="15.75">
      <c r="A69" s="79" t="s">
        <v>84</v>
      </c>
      <c r="B69" s="79"/>
      <c r="C69" s="79"/>
      <c r="D69" s="79"/>
      <c r="E69" s="79"/>
      <c r="F69" s="79"/>
      <c r="G69" s="79"/>
      <c r="H69" s="79"/>
      <c r="I69" s="79"/>
    </row>
    <row r="70" spans="1:9" ht="15.75">
      <c r="A70" s="79" t="s">
        <v>85</v>
      </c>
      <c r="B70" s="79"/>
      <c r="C70" s="79"/>
      <c r="D70" s="79"/>
      <c r="E70" s="79"/>
      <c r="F70" s="79"/>
      <c r="G70" s="79"/>
      <c r="H70" s="79"/>
      <c r="I70" s="79"/>
    </row>
    <row r="71" spans="1:9" ht="15.75">
      <c r="A71" s="79" t="s">
        <v>86</v>
      </c>
      <c r="B71" s="79"/>
      <c r="C71" s="79"/>
      <c r="D71" s="79"/>
      <c r="E71" s="79"/>
      <c r="F71" s="79"/>
      <c r="G71" s="79"/>
      <c r="H71" s="79"/>
      <c r="I71" s="79"/>
    </row>
    <row r="72" spans="1:9" ht="15.75">
      <c r="A72" s="79" t="s">
        <v>87</v>
      </c>
      <c r="B72" s="79"/>
      <c r="C72" s="79"/>
      <c r="D72" s="79"/>
      <c r="E72" s="79"/>
      <c r="F72" s="79"/>
      <c r="G72" s="79"/>
      <c r="H72" s="79"/>
      <c r="I72" s="79"/>
    </row>
    <row r="73" spans="1:9" ht="15.75">
      <c r="A73" s="79" t="s">
        <v>88</v>
      </c>
      <c r="B73" s="79"/>
      <c r="C73" s="79"/>
      <c r="D73" s="79"/>
      <c r="E73" s="79"/>
      <c r="F73" s="79"/>
      <c r="G73" s="79"/>
      <c r="H73" s="79"/>
      <c r="I73" s="79"/>
    </row>
    <row r="74" spans="1:9" ht="15.75">
      <c r="A74" s="79" t="s">
        <v>89</v>
      </c>
      <c r="B74" s="79"/>
      <c r="C74" s="79"/>
      <c r="D74" s="79"/>
      <c r="E74" s="79"/>
      <c r="F74" s="79"/>
      <c r="G74" s="79"/>
      <c r="H74" s="79"/>
      <c r="I74" s="79"/>
    </row>
    <row r="75" spans="1:9" ht="15.75">
      <c r="A75" s="79" t="s">
        <v>90</v>
      </c>
      <c r="B75" s="79"/>
      <c r="C75" s="79"/>
      <c r="D75" s="79"/>
      <c r="E75" s="79"/>
      <c r="F75" s="79"/>
      <c r="G75" s="79"/>
      <c r="H75" s="79"/>
      <c r="I75" s="79"/>
    </row>
    <row r="76" spans="1:9" ht="30.75" customHeight="1">
      <c r="A76" s="78" t="s">
        <v>91</v>
      </c>
      <c r="B76" s="78"/>
      <c r="C76" s="78"/>
      <c r="D76" s="78"/>
      <c r="E76" s="78"/>
      <c r="F76" s="78"/>
      <c r="G76" s="78"/>
      <c r="H76" s="78"/>
      <c r="I76" s="78"/>
    </row>
    <row r="77" spans="1:9" ht="15.75">
      <c r="A77" s="79" t="s">
        <v>92</v>
      </c>
      <c r="B77" s="79"/>
      <c r="C77" s="79"/>
      <c r="D77" s="79"/>
      <c r="E77" s="79"/>
      <c r="F77" s="79"/>
      <c r="G77" s="79"/>
      <c r="H77" s="79"/>
      <c r="I77" s="79"/>
    </row>
    <row r="78" spans="1:9" ht="15.75">
      <c r="A78" s="79" t="s">
        <v>93</v>
      </c>
      <c r="B78" s="79"/>
      <c r="C78" s="79"/>
      <c r="D78" s="79"/>
      <c r="E78" s="79"/>
      <c r="F78" s="79"/>
      <c r="G78" s="79"/>
      <c r="H78" s="79"/>
      <c r="I78" s="79"/>
    </row>
    <row r="79" spans="1:9" ht="30.75" customHeight="1">
      <c r="A79" s="82" t="s">
        <v>94</v>
      </c>
      <c r="B79" s="82"/>
      <c r="C79" s="82"/>
      <c r="D79" s="82"/>
      <c r="E79" s="82"/>
      <c r="F79" s="82"/>
      <c r="G79" s="82"/>
      <c r="H79" s="82"/>
      <c r="I79" s="82"/>
    </row>
    <row r="80" spans="1:9" ht="15.75">
      <c r="A80" s="79" t="s">
        <v>95</v>
      </c>
      <c r="B80" s="79"/>
      <c r="C80" s="79"/>
      <c r="D80" s="79"/>
      <c r="E80" s="79"/>
      <c r="F80" s="79"/>
      <c r="G80" s="79"/>
      <c r="H80" s="79"/>
      <c r="I80" s="79"/>
    </row>
    <row r="81" spans="1:9" ht="15.75">
      <c r="A81" s="79" t="s">
        <v>96</v>
      </c>
      <c r="B81" s="79"/>
      <c r="C81" s="79"/>
      <c r="D81" s="79"/>
      <c r="E81" s="79"/>
      <c r="F81" s="79"/>
      <c r="G81" s="79"/>
      <c r="H81" s="79"/>
      <c r="I81" s="79"/>
    </row>
    <row r="82" spans="1:9" ht="33" customHeight="1">
      <c r="A82" s="82" t="s">
        <v>97</v>
      </c>
      <c r="B82" s="82"/>
      <c r="C82" s="82"/>
      <c r="D82" s="82"/>
      <c r="E82" s="82"/>
      <c r="F82" s="82"/>
      <c r="G82" s="82"/>
      <c r="H82" s="82"/>
      <c r="I82" s="82"/>
    </row>
    <row r="83" spans="1:9" ht="15.75">
      <c r="A83" s="79" t="s">
        <v>98</v>
      </c>
      <c r="B83" s="79"/>
      <c r="C83" s="79"/>
      <c r="D83" s="79"/>
      <c r="E83" s="79"/>
      <c r="F83" s="79"/>
      <c r="G83" s="79"/>
      <c r="H83" s="79"/>
      <c r="I83" s="79"/>
    </row>
    <row r="84" spans="1:9" ht="32.25" customHeight="1">
      <c r="A84" s="82" t="s">
        <v>99</v>
      </c>
      <c r="B84" s="82"/>
      <c r="C84" s="82"/>
      <c r="D84" s="82"/>
      <c r="E84" s="82"/>
      <c r="F84" s="82"/>
      <c r="G84" s="82"/>
      <c r="H84" s="82"/>
      <c r="I84" s="82"/>
    </row>
    <row r="85" spans="1:9" ht="15.75">
      <c r="A85" s="81" t="s">
        <v>100</v>
      </c>
      <c r="B85" s="81"/>
      <c r="C85" s="81"/>
      <c r="D85" s="81"/>
      <c r="E85" s="81"/>
      <c r="F85" s="81"/>
      <c r="G85" s="81"/>
      <c r="H85" s="81"/>
      <c r="I85" s="81"/>
    </row>
  </sheetData>
  <mergeCells count="25">
    <mergeCell ref="A85:I85"/>
    <mergeCell ref="A79:I79"/>
    <mergeCell ref="A80:I80"/>
    <mergeCell ref="A81:I81"/>
    <mergeCell ref="A82:I82"/>
    <mergeCell ref="A83:I83"/>
    <mergeCell ref="A84:I84"/>
    <mergeCell ref="A78:I78"/>
    <mergeCell ref="A67:I67"/>
    <mergeCell ref="A68:I68"/>
    <mergeCell ref="A69:I69"/>
    <mergeCell ref="A70:I70"/>
    <mergeCell ref="A71:I71"/>
    <mergeCell ref="A72:I72"/>
    <mergeCell ref="A73:I73"/>
    <mergeCell ref="A74:I74"/>
    <mergeCell ref="A75:I75"/>
    <mergeCell ref="A76:I76"/>
    <mergeCell ref="A77:I77"/>
    <mergeCell ref="A66:I66"/>
    <mergeCell ref="F38:H38"/>
    <mergeCell ref="F59:H59"/>
    <mergeCell ref="F60:H60"/>
    <mergeCell ref="K3:L3"/>
    <mergeCell ref="A65:I65"/>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FC4B6-DB03-442C-85A8-043ADFE61F34}">
  <dimension ref="A1:M50"/>
  <sheetViews>
    <sheetView topLeftCell="A25" zoomScale="70" zoomScaleNormal="70" workbookViewId="0">
      <selection activeCell="A35" sqref="A35:I35"/>
    </sheetView>
  </sheetViews>
  <sheetFormatPr defaultRowHeight="15"/>
  <cols>
    <col min="1" max="1" width="47.28515625" customWidth="1"/>
    <col min="2" max="2" width="10.85546875" customWidth="1"/>
    <col min="3" max="3" width="11.7109375" customWidth="1"/>
    <col min="4" max="4" width="9.85546875" customWidth="1"/>
    <col min="5" max="5" width="12" customWidth="1"/>
    <col min="6" max="6" width="11.28515625" customWidth="1"/>
    <col min="7" max="7" width="11" customWidth="1"/>
    <col min="8" max="8" width="10.5703125" customWidth="1"/>
    <col min="9" max="9" width="14" customWidth="1"/>
    <col min="11" max="11" width="12" customWidth="1"/>
  </cols>
  <sheetData>
    <row r="1" spans="1:13" ht="15.75">
      <c r="A1" s="16" t="s">
        <v>101</v>
      </c>
    </row>
    <row r="2" spans="1:13" ht="76.5">
      <c r="A2" s="71" t="s">
        <v>102</v>
      </c>
      <c r="B2" s="51" t="s">
        <v>103</v>
      </c>
      <c r="C2" s="51" t="s">
        <v>3</v>
      </c>
      <c r="D2" s="51" t="s">
        <v>4</v>
      </c>
      <c r="E2" s="51" t="s">
        <v>104</v>
      </c>
      <c r="F2" s="51" t="s">
        <v>6</v>
      </c>
      <c r="G2" s="51" t="s">
        <v>7</v>
      </c>
      <c r="H2" s="51" t="s">
        <v>8</v>
      </c>
      <c r="I2" s="57" t="s">
        <v>105</v>
      </c>
    </row>
    <row r="3" spans="1:13" ht="15.75">
      <c r="A3" s="15" t="s">
        <v>106</v>
      </c>
      <c r="B3" s="8">
        <v>32</v>
      </c>
      <c r="C3" s="8">
        <v>1</v>
      </c>
      <c r="D3" s="8">
        <f>B3*C3</f>
        <v>32</v>
      </c>
      <c r="E3" s="64">
        <v>0</v>
      </c>
      <c r="F3" s="41">
        <f>SUM(D3*E3)</f>
        <v>0</v>
      </c>
      <c r="G3" s="41">
        <f>F3*0.05</f>
        <v>0</v>
      </c>
      <c r="H3" s="41">
        <f>F3*0.1</f>
        <v>0</v>
      </c>
      <c r="I3" s="18">
        <f>F3*$L$5+G3*$L$4+H3*$L$6</f>
        <v>0</v>
      </c>
      <c r="K3" s="84" t="s">
        <v>107</v>
      </c>
      <c r="L3" s="84"/>
    </row>
    <row r="4" spans="1:13">
      <c r="A4" s="15" t="s">
        <v>108</v>
      </c>
      <c r="B4" s="8"/>
      <c r="C4" s="8"/>
      <c r="D4" s="8"/>
      <c r="E4" s="64"/>
      <c r="F4" s="8"/>
      <c r="G4" s="8"/>
      <c r="H4" s="8"/>
      <c r="I4" s="56"/>
      <c r="K4" s="50" t="s">
        <v>14</v>
      </c>
      <c r="L4" s="49">
        <v>76.91</v>
      </c>
      <c r="M4" s="1"/>
    </row>
    <row r="5" spans="1:13" ht="15.75">
      <c r="A5" s="55" t="s">
        <v>109</v>
      </c>
      <c r="B5" s="8">
        <v>12</v>
      </c>
      <c r="C5" s="8">
        <v>1</v>
      </c>
      <c r="D5" s="8">
        <f>B5*C5</f>
        <v>12</v>
      </c>
      <c r="E5" s="64">
        <v>0</v>
      </c>
      <c r="F5" s="41">
        <f>SUM(D5*E5)</f>
        <v>0</v>
      </c>
      <c r="G5" s="41">
        <f>F5*0.05</f>
        <v>0</v>
      </c>
      <c r="H5" s="41">
        <f>F5*0.1</f>
        <v>0</v>
      </c>
      <c r="I5" s="18">
        <f>F5*$L$5+G5*$L$4+H5*$L$6</f>
        <v>0</v>
      </c>
      <c r="K5" s="50" t="s">
        <v>16</v>
      </c>
      <c r="L5" s="49">
        <v>57.07</v>
      </c>
      <c r="M5" s="61"/>
    </row>
    <row r="6" spans="1:13" ht="15.75">
      <c r="A6" s="55" t="s">
        <v>110</v>
      </c>
      <c r="B6" s="8">
        <v>32</v>
      </c>
      <c r="C6" s="8">
        <v>1</v>
      </c>
      <c r="D6" s="8">
        <f>B6*C6</f>
        <v>32</v>
      </c>
      <c r="E6" s="64">
        <f>0.1*E5</f>
        <v>0</v>
      </c>
      <c r="F6" s="41">
        <f>SUM(D6*E6)</f>
        <v>0</v>
      </c>
      <c r="G6" s="41">
        <f>F6*0.05</f>
        <v>0</v>
      </c>
      <c r="H6" s="41">
        <f>F6*0.1</f>
        <v>0</v>
      </c>
      <c r="I6" s="18">
        <f>F6*$L$5+G6*$L$4+H6*$L$6</f>
        <v>0</v>
      </c>
      <c r="K6" s="50" t="s">
        <v>18</v>
      </c>
      <c r="L6" s="49">
        <v>30.88</v>
      </c>
      <c r="M6" s="1"/>
    </row>
    <row r="7" spans="1:13" ht="15.75">
      <c r="A7" s="15" t="s">
        <v>111</v>
      </c>
      <c r="B7" s="21" t="s">
        <v>11</v>
      </c>
      <c r="C7" s="8"/>
      <c r="D7" s="21"/>
      <c r="E7" s="64"/>
      <c r="F7" s="8"/>
      <c r="G7" s="8"/>
      <c r="H7" s="8"/>
      <c r="I7" s="18"/>
      <c r="M7" s="1"/>
    </row>
    <row r="8" spans="1:13" ht="28.5">
      <c r="A8" s="15" t="s">
        <v>112</v>
      </c>
      <c r="B8" s="8">
        <v>32</v>
      </c>
      <c r="C8" s="8">
        <v>1</v>
      </c>
      <c r="D8" s="8">
        <f>B8*C8</f>
        <v>32</v>
      </c>
      <c r="E8" s="64">
        <f>0.1*(3*0.1)</f>
        <v>3.0000000000000006E-2</v>
      </c>
      <c r="F8" s="8">
        <f>SUM(D8*E8)</f>
        <v>0.96000000000000019</v>
      </c>
      <c r="G8" s="8">
        <f>F8*0.05</f>
        <v>4.8000000000000015E-2</v>
      </c>
      <c r="H8" s="8">
        <f>F8*0.1</f>
        <v>9.600000000000003E-2</v>
      </c>
      <c r="I8" s="18">
        <f>F8*$L$5+G8*$L$4+H8*$L$6</f>
        <v>61.443360000000013</v>
      </c>
      <c r="M8" s="1"/>
    </row>
    <row r="9" spans="1:13">
      <c r="A9" s="15" t="s">
        <v>113</v>
      </c>
      <c r="B9" s="8"/>
      <c r="C9" s="8"/>
      <c r="D9" s="8"/>
      <c r="E9" s="64"/>
      <c r="F9" s="8"/>
      <c r="G9" s="8"/>
      <c r="H9" s="8"/>
      <c r="I9" s="19"/>
      <c r="M9" s="1"/>
    </row>
    <row r="10" spans="1:13">
      <c r="A10" s="17" t="s">
        <v>114</v>
      </c>
      <c r="B10" s="8">
        <v>2</v>
      </c>
      <c r="C10" s="8">
        <v>1</v>
      </c>
      <c r="D10" s="8">
        <f t="shared" ref="D10:D21" si="0">B10*C10</f>
        <v>2</v>
      </c>
      <c r="E10" s="64">
        <v>0</v>
      </c>
      <c r="F10" s="8">
        <f t="shared" ref="F10:F21" si="1">SUM(D10*E10)</f>
        <v>0</v>
      </c>
      <c r="G10" s="8">
        <f t="shared" ref="G10:G21" si="2">F10*0.05</f>
        <v>0</v>
      </c>
      <c r="H10" s="8">
        <f t="shared" ref="H10:H21" si="3">F10*0.1</f>
        <v>0</v>
      </c>
      <c r="I10" s="18">
        <f t="shared" ref="I10:I21" si="4">F10*$L$5+G10*$L$4+H10*$L$6</f>
        <v>0</v>
      </c>
      <c r="M10" s="1"/>
    </row>
    <row r="11" spans="1:13" ht="25.5">
      <c r="A11" s="17" t="s">
        <v>115</v>
      </c>
      <c r="B11" s="8">
        <v>2</v>
      </c>
      <c r="C11" s="8">
        <v>1</v>
      </c>
      <c r="D11" s="8">
        <f t="shared" si="0"/>
        <v>2</v>
      </c>
      <c r="E11" s="64">
        <v>0</v>
      </c>
      <c r="F11" s="8">
        <f t="shared" si="1"/>
        <v>0</v>
      </c>
      <c r="G11" s="8">
        <f t="shared" si="2"/>
        <v>0</v>
      </c>
      <c r="H11" s="8">
        <f t="shared" si="3"/>
        <v>0</v>
      </c>
      <c r="I11" s="18">
        <f t="shared" si="4"/>
        <v>0</v>
      </c>
      <c r="M11" s="1"/>
    </row>
    <row r="12" spans="1:13">
      <c r="A12" s="17" t="s">
        <v>116</v>
      </c>
      <c r="B12" s="8">
        <v>2</v>
      </c>
      <c r="C12" s="8">
        <v>1</v>
      </c>
      <c r="D12" s="8">
        <f t="shared" si="0"/>
        <v>2</v>
      </c>
      <c r="E12" s="64">
        <v>0</v>
      </c>
      <c r="F12" s="8">
        <f t="shared" si="1"/>
        <v>0</v>
      </c>
      <c r="G12" s="8">
        <f t="shared" si="2"/>
        <v>0</v>
      </c>
      <c r="H12" s="8">
        <f t="shared" si="3"/>
        <v>0</v>
      </c>
      <c r="I12" s="18">
        <f t="shared" si="4"/>
        <v>0</v>
      </c>
      <c r="M12" s="1"/>
    </row>
    <row r="13" spans="1:13">
      <c r="A13" s="17" t="s">
        <v>117</v>
      </c>
      <c r="B13" s="8">
        <v>2</v>
      </c>
      <c r="C13" s="8">
        <v>1</v>
      </c>
      <c r="D13" s="8">
        <f t="shared" si="0"/>
        <v>2</v>
      </c>
      <c r="E13" s="64">
        <v>0</v>
      </c>
      <c r="F13" s="8">
        <f t="shared" si="1"/>
        <v>0</v>
      </c>
      <c r="G13" s="8">
        <f t="shared" si="2"/>
        <v>0</v>
      </c>
      <c r="H13" s="8">
        <f t="shared" si="3"/>
        <v>0</v>
      </c>
      <c r="I13" s="18">
        <f t="shared" si="4"/>
        <v>0</v>
      </c>
      <c r="L13" s="1"/>
    </row>
    <row r="14" spans="1:13" ht="25.5">
      <c r="A14" s="17" t="s">
        <v>118</v>
      </c>
      <c r="B14" s="8">
        <v>2</v>
      </c>
      <c r="C14" s="8">
        <v>1</v>
      </c>
      <c r="D14" s="8">
        <f t="shared" si="0"/>
        <v>2</v>
      </c>
      <c r="E14" s="64">
        <v>0</v>
      </c>
      <c r="F14" s="8">
        <f t="shared" si="1"/>
        <v>0</v>
      </c>
      <c r="G14" s="8">
        <f t="shared" si="2"/>
        <v>0</v>
      </c>
      <c r="H14" s="8">
        <f t="shared" si="3"/>
        <v>0</v>
      </c>
      <c r="I14" s="18">
        <f t="shared" si="4"/>
        <v>0</v>
      </c>
      <c r="L14" s="4"/>
    </row>
    <row r="15" spans="1:13">
      <c r="A15" s="17" t="s">
        <v>119</v>
      </c>
      <c r="B15" s="8">
        <v>2</v>
      </c>
      <c r="C15" s="8">
        <v>1</v>
      </c>
      <c r="D15" s="8">
        <f t="shared" si="0"/>
        <v>2</v>
      </c>
      <c r="E15" s="64">
        <v>0</v>
      </c>
      <c r="F15" s="8">
        <f t="shared" si="1"/>
        <v>0</v>
      </c>
      <c r="G15" s="8">
        <f t="shared" si="2"/>
        <v>0</v>
      </c>
      <c r="H15" s="8">
        <f t="shared" si="3"/>
        <v>0</v>
      </c>
      <c r="I15" s="18">
        <f t="shared" si="4"/>
        <v>0</v>
      </c>
      <c r="L15" s="4"/>
    </row>
    <row r="16" spans="1:13">
      <c r="A16" s="17" t="s">
        <v>120</v>
      </c>
      <c r="B16" s="8">
        <v>2</v>
      </c>
      <c r="C16" s="8">
        <v>1</v>
      </c>
      <c r="D16" s="8">
        <f t="shared" si="0"/>
        <v>2</v>
      </c>
      <c r="E16" s="64">
        <v>0</v>
      </c>
      <c r="F16" s="8">
        <f t="shared" si="1"/>
        <v>0</v>
      </c>
      <c r="G16" s="8">
        <f t="shared" si="2"/>
        <v>0</v>
      </c>
      <c r="H16" s="8">
        <f t="shared" si="3"/>
        <v>0</v>
      </c>
      <c r="I16" s="18">
        <f t="shared" si="4"/>
        <v>0</v>
      </c>
    </row>
    <row r="17" spans="1:11" ht="25.5">
      <c r="A17" s="17" t="s">
        <v>121</v>
      </c>
      <c r="B17" s="8">
        <v>2</v>
      </c>
      <c r="C17" s="8">
        <v>1</v>
      </c>
      <c r="D17" s="8">
        <f t="shared" si="0"/>
        <v>2</v>
      </c>
      <c r="E17" s="64">
        <v>0</v>
      </c>
      <c r="F17" s="8">
        <f t="shared" si="1"/>
        <v>0</v>
      </c>
      <c r="G17" s="8">
        <f t="shared" si="2"/>
        <v>0</v>
      </c>
      <c r="H17" s="8">
        <f t="shared" si="3"/>
        <v>0</v>
      </c>
      <c r="I17" s="18">
        <f t="shared" si="4"/>
        <v>0</v>
      </c>
    </row>
    <row r="18" spans="1:11">
      <c r="A18" s="17" t="s">
        <v>122</v>
      </c>
      <c r="B18" s="8">
        <v>24</v>
      </c>
      <c r="C18" s="8">
        <v>1</v>
      </c>
      <c r="D18" s="8">
        <f t="shared" si="0"/>
        <v>24</v>
      </c>
      <c r="E18" s="64">
        <v>0</v>
      </c>
      <c r="F18" s="8">
        <f t="shared" si="1"/>
        <v>0</v>
      </c>
      <c r="G18" s="8">
        <f t="shared" si="2"/>
        <v>0</v>
      </c>
      <c r="H18" s="8">
        <f t="shared" si="3"/>
        <v>0</v>
      </c>
      <c r="I18" s="18">
        <f t="shared" si="4"/>
        <v>0</v>
      </c>
      <c r="K18" s="23"/>
    </row>
    <row r="19" spans="1:11">
      <c r="A19" s="17" t="s">
        <v>123</v>
      </c>
      <c r="B19" s="8">
        <v>8</v>
      </c>
      <c r="C19" s="8">
        <v>1</v>
      </c>
      <c r="D19" s="8">
        <f t="shared" si="0"/>
        <v>8</v>
      </c>
      <c r="E19" s="64">
        <v>0</v>
      </c>
      <c r="F19" s="8">
        <f t="shared" si="1"/>
        <v>0</v>
      </c>
      <c r="G19" s="8">
        <f t="shared" si="2"/>
        <v>0</v>
      </c>
      <c r="H19" s="8">
        <f t="shared" si="3"/>
        <v>0</v>
      </c>
      <c r="I19" s="18">
        <f t="shared" si="4"/>
        <v>0</v>
      </c>
      <c r="K19" s="23"/>
    </row>
    <row r="20" spans="1:11" ht="15.75">
      <c r="A20" s="17" t="s">
        <v>124</v>
      </c>
      <c r="B20" s="8">
        <v>8</v>
      </c>
      <c r="C20" s="8">
        <v>1</v>
      </c>
      <c r="D20" s="8">
        <f t="shared" si="0"/>
        <v>8</v>
      </c>
      <c r="E20" s="65">
        <v>0</v>
      </c>
      <c r="F20" s="20">
        <f t="shared" si="1"/>
        <v>0</v>
      </c>
      <c r="G20" s="20">
        <f t="shared" si="2"/>
        <v>0</v>
      </c>
      <c r="H20" s="20">
        <f t="shared" si="3"/>
        <v>0</v>
      </c>
      <c r="I20" s="18">
        <f t="shared" si="4"/>
        <v>0</v>
      </c>
      <c r="K20" s="23"/>
    </row>
    <row r="21" spans="1:11" ht="15.75">
      <c r="A21" s="17" t="s">
        <v>125</v>
      </c>
      <c r="B21" s="8">
        <v>54</v>
      </c>
      <c r="C21" s="8">
        <v>1</v>
      </c>
      <c r="D21" s="8">
        <f t="shared" si="0"/>
        <v>54</v>
      </c>
      <c r="E21" s="64">
        <v>0</v>
      </c>
      <c r="F21" s="8">
        <f t="shared" si="1"/>
        <v>0</v>
      </c>
      <c r="G21" s="8">
        <f t="shared" si="2"/>
        <v>0</v>
      </c>
      <c r="H21" s="8">
        <f t="shared" si="3"/>
        <v>0</v>
      </c>
      <c r="I21" s="18">
        <f t="shared" si="4"/>
        <v>0</v>
      </c>
      <c r="K21" s="23"/>
    </row>
    <row r="22" spans="1:11">
      <c r="A22" s="17" t="s">
        <v>126</v>
      </c>
      <c r="B22" s="8" t="s">
        <v>11</v>
      </c>
      <c r="C22" s="8"/>
      <c r="D22" s="8"/>
      <c r="E22" s="64"/>
      <c r="F22" s="8"/>
      <c r="G22" s="8"/>
      <c r="H22" s="8"/>
      <c r="I22" s="18"/>
      <c r="K22" s="23"/>
    </row>
    <row r="23" spans="1:11">
      <c r="A23" s="17" t="s">
        <v>127</v>
      </c>
      <c r="B23" s="8"/>
      <c r="C23" s="8"/>
      <c r="D23" s="8"/>
      <c r="E23" s="64"/>
      <c r="F23" s="8"/>
      <c r="G23" s="8"/>
      <c r="H23" s="8"/>
      <c r="I23" s="18"/>
      <c r="K23" s="23"/>
    </row>
    <row r="24" spans="1:11" ht="15.75">
      <c r="A24" s="17" t="s">
        <v>128</v>
      </c>
      <c r="B24" s="8">
        <v>6</v>
      </c>
      <c r="C24" s="8">
        <v>1</v>
      </c>
      <c r="D24" s="8">
        <f>B24*C24</f>
        <v>6</v>
      </c>
      <c r="E24" s="64">
        <v>3</v>
      </c>
      <c r="F24" s="8">
        <f>SUM(D24*E24)</f>
        <v>18</v>
      </c>
      <c r="G24" s="8">
        <f>F24*0.05</f>
        <v>0.9</v>
      </c>
      <c r="H24" s="8">
        <f>F24*0.1</f>
        <v>1.8</v>
      </c>
      <c r="I24" s="18">
        <f>F24*$L$5+G24*$L$4+H24*$L$6</f>
        <v>1152.0630000000001</v>
      </c>
      <c r="K24" s="23"/>
    </row>
    <row r="25" spans="1:11" ht="28.5">
      <c r="A25" s="54" t="s">
        <v>129</v>
      </c>
      <c r="B25" s="8">
        <v>8</v>
      </c>
      <c r="C25" s="8">
        <v>1</v>
      </c>
      <c r="D25" s="8">
        <f>B25*C25</f>
        <v>8</v>
      </c>
      <c r="E25" s="64">
        <f>E24*0.2</f>
        <v>0.60000000000000009</v>
      </c>
      <c r="F25" s="8">
        <f>SUM(D25*E25)</f>
        <v>4.8000000000000007</v>
      </c>
      <c r="G25" s="8">
        <f>F25*0.05</f>
        <v>0.24000000000000005</v>
      </c>
      <c r="H25" s="8">
        <f>F25*0.1</f>
        <v>0.48000000000000009</v>
      </c>
      <c r="I25" s="18">
        <f>F25*$L$5+G25*$L$4+H25*$L$6</f>
        <v>307.21680000000003</v>
      </c>
      <c r="J25" s="47"/>
      <c r="K25" s="23"/>
    </row>
    <row r="26" spans="1:11" ht="28.5">
      <c r="A26" s="54" t="s">
        <v>130</v>
      </c>
      <c r="B26" s="8"/>
      <c r="C26" s="8"/>
      <c r="D26" s="8"/>
      <c r="E26" s="64"/>
      <c r="F26" s="8"/>
      <c r="G26" s="8"/>
      <c r="H26" s="8"/>
      <c r="I26" s="18"/>
      <c r="K26" s="23"/>
    </row>
    <row r="27" spans="1:11">
      <c r="A27" s="54" t="s">
        <v>131</v>
      </c>
      <c r="B27" s="8">
        <v>18</v>
      </c>
      <c r="C27" s="8">
        <v>1</v>
      </c>
      <c r="D27" s="8">
        <f>B27*C27</f>
        <v>18</v>
      </c>
      <c r="E27" s="64">
        <v>3</v>
      </c>
      <c r="F27" s="8">
        <f>SUM(D27*E27)</f>
        <v>54</v>
      </c>
      <c r="G27" s="8">
        <f>F27*0.05</f>
        <v>2.7</v>
      </c>
      <c r="H27" s="8">
        <f>F27*0.1</f>
        <v>5.4</v>
      </c>
      <c r="I27" s="18">
        <f>F27*$L$5+G27*$L$4+H27*$L$6</f>
        <v>3456.1890000000003</v>
      </c>
      <c r="K27" s="23"/>
    </row>
    <row r="28" spans="1:11">
      <c r="A28" s="54" t="s">
        <v>132</v>
      </c>
      <c r="B28" s="8">
        <v>6</v>
      </c>
      <c r="C28" s="8">
        <v>1</v>
      </c>
      <c r="D28" s="8">
        <f>B28*C28</f>
        <v>6</v>
      </c>
      <c r="E28" s="64">
        <v>3</v>
      </c>
      <c r="F28" s="8">
        <f>SUM(D28*E28)</f>
        <v>18</v>
      </c>
      <c r="G28" s="8">
        <f>F28*0.05</f>
        <v>0.9</v>
      </c>
      <c r="H28" s="8">
        <f>F28*0.1</f>
        <v>1.8</v>
      </c>
      <c r="I28" s="18">
        <f>F28*$L$5+G28*$L$4+H28*$L$6</f>
        <v>1152.0630000000001</v>
      </c>
      <c r="K28" s="23"/>
    </row>
    <row r="29" spans="1:11" ht="15.75">
      <c r="A29" s="54" t="s">
        <v>133</v>
      </c>
      <c r="B29" s="8">
        <v>2</v>
      </c>
      <c r="C29" s="8">
        <v>1</v>
      </c>
      <c r="D29" s="8">
        <f>B29*C29</f>
        <v>2</v>
      </c>
      <c r="E29" s="64">
        <f>E28*0.8</f>
        <v>2.4000000000000004</v>
      </c>
      <c r="F29" s="8">
        <f>SUM(D29*E29)</f>
        <v>4.8000000000000007</v>
      </c>
      <c r="G29" s="8">
        <f>F29*0.05</f>
        <v>0.24000000000000005</v>
      </c>
      <c r="H29" s="8">
        <f>F29*0.1</f>
        <v>0.48000000000000009</v>
      </c>
      <c r="I29" s="18">
        <f>F29*$L$5+G29*$L$4+H29*$L$6</f>
        <v>307.21680000000003</v>
      </c>
      <c r="K29" s="23"/>
    </row>
    <row r="30" spans="1:11" ht="28.5">
      <c r="A30" s="54" t="s">
        <v>134</v>
      </c>
      <c r="B30" s="8">
        <v>4</v>
      </c>
      <c r="C30" s="8">
        <v>1</v>
      </c>
      <c r="D30" s="8">
        <f>B30*C30</f>
        <v>4</v>
      </c>
      <c r="E30" s="64">
        <v>3</v>
      </c>
      <c r="F30" s="8">
        <f>SUM(D30*E30)</f>
        <v>12</v>
      </c>
      <c r="G30" s="8">
        <f>F30*0.05</f>
        <v>0.60000000000000009</v>
      </c>
      <c r="H30" s="8">
        <f>F30*0.1</f>
        <v>1.2000000000000002</v>
      </c>
      <c r="I30" s="18">
        <f>F30*$L$5+G30*$L$4+H30*$L$6</f>
        <v>768.04200000000003</v>
      </c>
      <c r="J30" s="47"/>
      <c r="K30" s="23"/>
    </row>
    <row r="31" spans="1:11" ht="28.5">
      <c r="A31" s="17" t="s">
        <v>135</v>
      </c>
      <c r="B31" s="8">
        <v>8</v>
      </c>
      <c r="C31" s="8">
        <v>1</v>
      </c>
      <c r="D31" s="8">
        <f>B31*C31</f>
        <v>8</v>
      </c>
      <c r="E31" s="64">
        <f>+E28*0.2</f>
        <v>0.60000000000000009</v>
      </c>
      <c r="F31" s="8">
        <f>SUM(D31*E31)</f>
        <v>4.8000000000000007</v>
      </c>
      <c r="G31" s="8">
        <f>F31*0.05</f>
        <v>0.24000000000000005</v>
      </c>
      <c r="H31" s="8">
        <f>F31*0.1</f>
        <v>0.48000000000000009</v>
      </c>
      <c r="I31" s="18">
        <f>F31*$L$5+G31*$L$4+H31*$L$6</f>
        <v>307.21680000000003</v>
      </c>
      <c r="K31" s="53"/>
    </row>
    <row r="32" spans="1:11" ht="15.75">
      <c r="A32" s="52" t="s">
        <v>136</v>
      </c>
      <c r="B32" s="15"/>
      <c r="C32" s="15"/>
      <c r="D32" s="15"/>
      <c r="E32" s="15"/>
      <c r="F32" s="83">
        <f>SUM(F3:H31)</f>
        <v>134.964</v>
      </c>
      <c r="G32" s="83"/>
      <c r="H32" s="83"/>
      <c r="I32" s="35">
        <f>ROUND(SUM(I3:I31),-1)</f>
        <v>7510</v>
      </c>
      <c r="K32" s="23"/>
    </row>
    <row r="33" spans="1:11">
      <c r="K33" s="23"/>
    </row>
    <row r="34" spans="1:11">
      <c r="A34" s="34" t="s">
        <v>79</v>
      </c>
      <c r="K34" s="23"/>
    </row>
    <row r="35" spans="1:11" ht="31.5" customHeight="1">
      <c r="A35" s="82" t="s">
        <v>137</v>
      </c>
      <c r="B35" s="82"/>
      <c r="C35" s="82"/>
      <c r="D35" s="82"/>
      <c r="E35" s="82"/>
      <c r="F35" s="82"/>
      <c r="G35" s="82"/>
      <c r="H35" s="82"/>
      <c r="I35" s="82"/>
      <c r="K35" s="23"/>
    </row>
    <row r="36" spans="1:11" ht="57" customHeight="1">
      <c r="A36" s="82" t="s">
        <v>138</v>
      </c>
      <c r="B36" s="82"/>
      <c r="C36" s="82"/>
      <c r="D36" s="82"/>
      <c r="E36" s="82"/>
      <c r="F36" s="82"/>
      <c r="G36" s="82"/>
      <c r="H36" s="82"/>
      <c r="I36" s="82"/>
      <c r="K36" s="23"/>
    </row>
    <row r="37" spans="1:11" ht="15.75">
      <c r="A37" s="80" t="s">
        <v>139</v>
      </c>
      <c r="B37" s="80"/>
      <c r="C37" s="80"/>
      <c r="D37" s="80"/>
      <c r="E37" s="80"/>
      <c r="F37" s="80"/>
      <c r="G37" s="80"/>
      <c r="H37" s="80"/>
      <c r="I37" s="80"/>
    </row>
    <row r="38" spans="1:11" ht="15.75">
      <c r="A38" s="80" t="s">
        <v>140</v>
      </c>
      <c r="B38" s="80"/>
      <c r="C38" s="80"/>
      <c r="D38" s="80"/>
      <c r="E38" s="80"/>
      <c r="F38" s="80"/>
      <c r="G38" s="80"/>
      <c r="H38" s="80"/>
      <c r="I38" s="80"/>
    </row>
    <row r="39" spans="1:11" ht="15.75">
      <c r="A39" s="79" t="s">
        <v>141</v>
      </c>
      <c r="B39" s="79"/>
      <c r="C39" s="79"/>
      <c r="D39" s="79"/>
      <c r="E39" s="79"/>
      <c r="F39" s="79"/>
      <c r="G39" s="79"/>
      <c r="H39" s="79"/>
      <c r="I39" s="79"/>
    </row>
    <row r="40" spans="1:11" ht="15.75" customHeight="1">
      <c r="A40" s="79" t="s">
        <v>142</v>
      </c>
      <c r="B40" s="79"/>
      <c r="C40" s="79"/>
      <c r="D40" s="79"/>
      <c r="E40" s="79"/>
      <c r="F40" s="79"/>
      <c r="G40" s="79"/>
      <c r="H40" s="79"/>
      <c r="I40" s="79"/>
    </row>
    <row r="41" spans="1:11" ht="15.75" customHeight="1">
      <c r="A41" s="79" t="s">
        <v>143</v>
      </c>
      <c r="B41" s="79"/>
      <c r="C41" s="79"/>
      <c r="D41" s="79"/>
      <c r="E41" s="79"/>
      <c r="F41" s="79"/>
      <c r="G41" s="79"/>
      <c r="H41" s="79"/>
      <c r="I41" s="79"/>
    </row>
    <row r="42" spans="1:11" ht="15.75">
      <c r="A42" s="85" t="s">
        <v>144</v>
      </c>
      <c r="B42" s="85"/>
      <c r="C42" s="85"/>
      <c r="D42" s="85"/>
      <c r="E42" s="85"/>
      <c r="F42" s="85"/>
      <c r="G42" s="85"/>
      <c r="H42" s="85"/>
      <c r="I42" s="85"/>
    </row>
    <row r="43" spans="1:11" ht="15.75">
      <c r="A43" s="85" t="s">
        <v>145</v>
      </c>
      <c r="B43" s="85"/>
      <c r="C43" s="85"/>
      <c r="D43" s="85"/>
      <c r="E43" s="85"/>
      <c r="F43" s="85"/>
      <c r="G43" s="85"/>
      <c r="H43" s="85"/>
      <c r="I43" s="85"/>
    </row>
    <row r="44" spans="1:11" ht="30" customHeight="1">
      <c r="A44" s="82" t="s">
        <v>146</v>
      </c>
      <c r="B44" s="82"/>
      <c r="C44" s="82"/>
      <c r="D44" s="82"/>
      <c r="E44" s="82"/>
      <c r="F44" s="82"/>
      <c r="G44" s="82"/>
      <c r="H44" s="82"/>
      <c r="I44" s="82"/>
    </row>
    <row r="45" spans="1:11" ht="15.75">
      <c r="A45" s="79" t="s">
        <v>147</v>
      </c>
      <c r="B45" s="79"/>
      <c r="C45" s="79"/>
      <c r="D45" s="79"/>
      <c r="E45" s="79"/>
      <c r="F45" s="79"/>
      <c r="G45" s="79"/>
      <c r="H45" s="79"/>
      <c r="I45" s="79"/>
    </row>
    <row r="46" spans="1:11" ht="15.75">
      <c r="A46" s="79" t="s">
        <v>148</v>
      </c>
      <c r="B46" s="79"/>
      <c r="C46" s="79"/>
      <c r="D46" s="79"/>
      <c r="E46" s="79"/>
      <c r="F46" s="79"/>
      <c r="G46" s="79"/>
      <c r="H46" s="79"/>
      <c r="I46" s="79"/>
    </row>
    <row r="47" spans="1:11" ht="15.75">
      <c r="A47" s="79" t="s">
        <v>149</v>
      </c>
      <c r="B47" s="79"/>
      <c r="C47" s="79"/>
      <c r="D47" s="79"/>
      <c r="E47" s="79"/>
      <c r="F47" s="79"/>
      <c r="G47" s="79"/>
      <c r="H47" s="79"/>
      <c r="I47" s="79"/>
    </row>
    <row r="48" spans="1:11" ht="15.75">
      <c r="A48" s="79" t="s">
        <v>150</v>
      </c>
      <c r="B48" s="79"/>
      <c r="C48" s="79"/>
      <c r="D48" s="79"/>
      <c r="E48" s="79"/>
      <c r="F48" s="79"/>
      <c r="G48" s="79"/>
      <c r="H48" s="79"/>
      <c r="I48" s="79"/>
    </row>
    <row r="49" spans="1:9" ht="30.75" customHeight="1">
      <c r="A49" s="82" t="s">
        <v>151</v>
      </c>
      <c r="B49" s="82"/>
      <c r="C49" s="82"/>
      <c r="D49" s="82"/>
      <c r="E49" s="82"/>
      <c r="F49" s="82"/>
      <c r="G49" s="82"/>
      <c r="H49" s="82"/>
      <c r="I49" s="82"/>
    </row>
    <row r="50" spans="1:9" ht="15.75">
      <c r="A50" s="81" t="s">
        <v>152</v>
      </c>
      <c r="B50" s="81"/>
      <c r="C50" s="81"/>
      <c r="D50" s="81"/>
      <c r="E50" s="81"/>
      <c r="F50" s="81"/>
      <c r="G50" s="81"/>
      <c r="H50" s="81"/>
      <c r="I50" s="81"/>
    </row>
  </sheetData>
  <mergeCells count="18">
    <mergeCell ref="A50:I50"/>
    <mergeCell ref="A42:I42"/>
    <mergeCell ref="A43:I43"/>
    <mergeCell ref="A44:I44"/>
    <mergeCell ref="A45:I45"/>
    <mergeCell ref="A46:I46"/>
    <mergeCell ref="A49:I49"/>
    <mergeCell ref="A39:I39"/>
    <mergeCell ref="A40:I40"/>
    <mergeCell ref="A41:I41"/>
    <mergeCell ref="A47:I47"/>
    <mergeCell ref="A48:I48"/>
    <mergeCell ref="A38:I38"/>
    <mergeCell ref="F32:H32"/>
    <mergeCell ref="K3:L3"/>
    <mergeCell ref="A36:I36"/>
    <mergeCell ref="A35:I35"/>
    <mergeCell ref="A37:I3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11E90-6FAB-477D-9C4D-FB71EFB87D93}">
  <dimension ref="A1:B8"/>
  <sheetViews>
    <sheetView workbookViewId="0">
      <selection activeCell="B7" sqref="B7"/>
    </sheetView>
  </sheetViews>
  <sheetFormatPr defaultRowHeight="15"/>
  <cols>
    <col min="1" max="1" width="27.7109375" bestFit="1" customWidth="1"/>
    <col min="2" max="2" width="14.85546875" customWidth="1"/>
  </cols>
  <sheetData>
    <row r="1" spans="1:2">
      <c r="A1" s="73" t="s">
        <v>153</v>
      </c>
      <c r="B1" s="73"/>
    </row>
    <row r="2" spans="1:2">
      <c r="A2" t="s">
        <v>154</v>
      </c>
      <c r="B2" s="27">
        <f>'Table 1'!L61</f>
        <v>105.95238095238095</v>
      </c>
    </row>
    <row r="3" spans="1:2">
      <c r="A3" t="s">
        <v>155</v>
      </c>
      <c r="B3">
        <f>Respondents!F8</f>
        <v>3</v>
      </c>
    </row>
    <row r="4" spans="1:2">
      <c r="A4" t="s">
        <v>156</v>
      </c>
      <c r="B4" s="25">
        <f>'Table 1'!L60</f>
        <v>1780</v>
      </c>
    </row>
    <row r="5" spans="1:2">
      <c r="A5" t="s">
        <v>157</v>
      </c>
      <c r="B5" s="69">
        <f>'Table 1'!I62</f>
        <v>420000</v>
      </c>
    </row>
    <row r="6" spans="1:2">
      <c r="A6" t="s">
        <v>158</v>
      </c>
      <c r="B6" s="69">
        <f>'Capital O&amp;M'!D16+'Capital O&amp;M'!G16</f>
        <v>177000</v>
      </c>
    </row>
    <row r="7" spans="1:2">
      <c r="A7" t="s">
        <v>159</v>
      </c>
      <c r="B7" s="27">
        <f>Responses!E24</f>
        <v>16.8</v>
      </c>
    </row>
    <row r="8" spans="1:2">
      <c r="A8" t="s">
        <v>160</v>
      </c>
      <c r="B8" s="70" t="s">
        <v>161</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3E3CA-182B-4F98-B2D0-1BA8517B03CE}">
  <dimension ref="A1:K26"/>
  <sheetViews>
    <sheetView zoomScale="80" zoomScaleNormal="80" workbookViewId="0">
      <selection activeCell="A18" sqref="A18:G18"/>
    </sheetView>
  </sheetViews>
  <sheetFormatPr defaultColWidth="22" defaultRowHeight="12.75"/>
  <cols>
    <col min="1" max="1" width="22" style="6"/>
    <col min="2" max="2" width="20" style="6" customWidth="1"/>
    <col min="3" max="3" width="17.28515625" style="6" customWidth="1"/>
    <col min="4" max="4" width="22" style="6"/>
    <col min="5" max="5" width="19.85546875" style="6" customWidth="1"/>
    <col min="6" max="7" width="16.85546875" style="6" customWidth="1"/>
    <col min="8" max="8" width="6" style="6" customWidth="1"/>
    <col min="9" max="16384" width="22" style="6"/>
  </cols>
  <sheetData>
    <row r="1" spans="1:11">
      <c r="A1" s="2"/>
      <c r="B1" s="3"/>
      <c r="C1" s="3"/>
    </row>
    <row r="2" spans="1:11">
      <c r="A2" s="87" t="s">
        <v>162</v>
      </c>
      <c r="B2" s="87"/>
      <c r="C2" s="87"/>
      <c r="D2" s="87"/>
      <c r="E2" s="87"/>
      <c r="F2" s="87"/>
      <c r="G2" s="88"/>
      <c r="H2" s="11"/>
    </row>
    <row r="3" spans="1:11">
      <c r="A3" s="71" t="s">
        <v>163</v>
      </c>
      <c r="B3" s="71" t="s">
        <v>164</v>
      </c>
      <c r="C3" s="71" t="s">
        <v>165</v>
      </c>
      <c r="D3" s="71" t="s">
        <v>166</v>
      </c>
      <c r="E3" s="71" t="s">
        <v>167</v>
      </c>
      <c r="F3" s="71" t="s">
        <v>168</v>
      </c>
      <c r="G3" s="71" t="s">
        <v>169</v>
      </c>
      <c r="H3" s="11"/>
      <c r="J3" s="62" t="s">
        <v>170</v>
      </c>
      <c r="K3" s="62">
        <v>796.2</v>
      </c>
    </row>
    <row r="4" spans="1:11" ht="46.5" customHeight="1">
      <c r="A4" s="71" t="s">
        <v>171</v>
      </c>
      <c r="B4" s="71" t="s">
        <v>172</v>
      </c>
      <c r="C4" s="71" t="s">
        <v>173</v>
      </c>
      <c r="D4" s="71" t="s">
        <v>174</v>
      </c>
      <c r="E4" s="71" t="s">
        <v>175</v>
      </c>
      <c r="F4" s="71" t="s">
        <v>176</v>
      </c>
      <c r="G4" s="71" t="s">
        <v>177</v>
      </c>
      <c r="H4" s="11"/>
      <c r="J4" s="62" t="s">
        <v>178</v>
      </c>
      <c r="K4" s="62">
        <v>525.4</v>
      </c>
    </row>
    <row r="5" spans="1:11" ht="15.75">
      <c r="A5" s="58" t="s">
        <v>179</v>
      </c>
      <c r="B5" s="59">
        <f>1233*K6</f>
        <v>1868.5089455652837</v>
      </c>
      <c r="C5" s="58">
        <v>0</v>
      </c>
      <c r="D5" s="59">
        <f>B5*C5</f>
        <v>0</v>
      </c>
      <c r="E5" s="59">
        <f>4733*K6</f>
        <v>7172.4678340312148</v>
      </c>
      <c r="F5" s="58">
        <v>3</v>
      </c>
      <c r="G5" s="59">
        <f t="shared" ref="G5:G15" si="0">E5*F5</f>
        <v>21517.403502093643</v>
      </c>
      <c r="H5" s="11"/>
      <c r="J5" s="62"/>
      <c r="K5" s="62"/>
    </row>
    <row r="6" spans="1:11" ht="15.75">
      <c r="A6" s="58" t="s">
        <v>180</v>
      </c>
      <c r="B6" s="59">
        <f>967*K6</f>
        <v>1465.4080700418729</v>
      </c>
      <c r="C6" s="58">
        <v>0</v>
      </c>
      <c r="D6" s="59">
        <f t="shared" ref="D6:D15" si="1">B6*C6</f>
        <v>0</v>
      </c>
      <c r="E6" s="59">
        <f>2733*K6</f>
        <v>4141.6341834792538</v>
      </c>
      <c r="F6" s="58">
        <v>3</v>
      </c>
      <c r="G6" s="59">
        <f t="shared" si="0"/>
        <v>12424.902550437761</v>
      </c>
      <c r="H6" s="11"/>
      <c r="J6" s="62" t="s">
        <v>181</v>
      </c>
      <c r="K6" s="63">
        <f>K3/K4</f>
        <v>1.5154168252759803</v>
      </c>
    </row>
    <row r="7" spans="1:11" ht="15.75">
      <c r="A7" s="58" t="s">
        <v>182</v>
      </c>
      <c r="B7" s="59">
        <f>1233*K6</f>
        <v>1868.5089455652837</v>
      </c>
      <c r="C7" s="58">
        <v>0</v>
      </c>
      <c r="D7" s="59">
        <f t="shared" si="1"/>
        <v>0</v>
      </c>
      <c r="E7" s="59">
        <f>1133*K6</f>
        <v>1716.9672630376856</v>
      </c>
      <c r="F7" s="58">
        <v>3</v>
      </c>
      <c r="G7" s="59">
        <f t="shared" si="0"/>
        <v>5150.901789113057</v>
      </c>
      <c r="H7" s="11"/>
    </row>
    <row r="8" spans="1:11" ht="15.75">
      <c r="A8" s="58" t="s">
        <v>183</v>
      </c>
      <c r="B8" s="59">
        <f>1400*K6</f>
        <v>2121.5835553863726</v>
      </c>
      <c r="C8" s="58">
        <v>0</v>
      </c>
      <c r="D8" s="59">
        <f t="shared" si="1"/>
        <v>0</v>
      </c>
      <c r="E8" s="59">
        <f>300*K6</f>
        <v>454.62504758279408</v>
      </c>
      <c r="F8" s="58">
        <v>3</v>
      </c>
      <c r="G8" s="59">
        <f t="shared" si="0"/>
        <v>1363.8751427483821</v>
      </c>
      <c r="H8" s="11"/>
    </row>
    <row r="9" spans="1:11" ht="15.75">
      <c r="A9" s="58" t="s">
        <v>184</v>
      </c>
      <c r="B9" s="59">
        <f>17500*K6</f>
        <v>26519.794442329654</v>
      </c>
      <c r="C9" s="58">
        <v>0</v>
      </c>
      <c r="D9" s="59">
        <f t="shared" si="1"/>
        <v>0</v>
      </c>
      <c r="E9" s="59">
        <f>25100*K6</f>
        <v>38036.962314427103</v>
      </c>
      <c r="F9" s="58">
        <v>3</v>
      </c>
      <c r="G9" s="59">
        <f t="shared" si="0"/>
        <v>114110.88694328131</v>
      </c>
      <c r="H9" s="11"/>
    </row>
    <row r="10" spans="1:11" ht="15.75">
      <c r="A10" s="58" t="s">
        <v>185</v>
      </c>
      <c r="B10" s="59">
        <f>1033*K6</f>
        <v>1565.4255805100877</v>
      </c>
      <c r="C10" s="58">
        <v>0</v>
      </c>
      <c r="D10" s="59">
        <f t="shared" si="1"/>
        <v>0</v>
      </c>
      <c r="E10" s="59">
        <f>1267*K6</f>
        <v>1920.0331176246671</v>
      </c>
      <c r="F10" s="58">
        <v>3</v>
      </c>
      <c r="G10" s="59">
        <f t="shared" si="0"/>
        <v>5760.0993528740009</v>
      </c>
      <c r="H10" s="11"/>
    </row>
    <row r="11" spans="1:11" ht="15.75">
      <c r="A11" s="58" t="s">
        <v>186</v>
      </c>
      <c r="B11" s="59">
        <v>0</v>
      </c>
      <c r="C11" s="58">
        <v>0</v>
      </c>
      <c r="D11" s="59">
        <f t="shared" si="1"/>
        <v>0</v>
      </c>
      <c r="E11" s="59">
        <f>3367*K6</f>
        <v>5102.4084507042253</v>
      </c>
      <c r="F11" s="58">
        <v>3</v>
      </c>
      <c r="G11" s="59">
        <f t="shared" si="0"/>
        <v>15307.225352112677</v>
      </c>
      <c r="H11" s="11"/>
    </row>
    <row r="12" spans="1:11" ht="15.75">
      <c r="A12" s="58" t="s">
        <v>187</v>
      </c>
      <c r="B12" s="59">
        <f>67458*K6</f>
        <v>102226.98819946709</v>
      </c>
      <c r="C12" s="58">
        <v>0</v>
      </c>
      <c r="D12" s="59">
        <f t="shared" si="1"/>
        <v>0</v>
      </c>
      <c r="E12" s="59">
        <f>0*K6</f>
        <v>0</v>
      </c>
      <c r="F12" s="58">
        <v>3</v>
      </c>
      <c r="G12" s="59">
        <f t="shared" si="0"/>
        <v>0</v>
      </c>
      <c r="H12" s="11"/>
    </row>
    <row r="13" spans="1:11" ht="15.75">
      <c r="A13" s="58" t="s">
        <v>188</v>
      </c>
      <c r="B13" s="59">
        <f>100*K6</f>
        <v>151.54168252759803</v>
      </c>
      <c r="C13" s="58">
        <v>0</v>
      </c>
      <c r="D13" s="59">
        <f t="shared" si="1"/>
        <v>0</v>
      </c>
      <c r="E13" s="59">
        <f>0*K6</f>
        <v>0</v>
      </c>
      <c r="F13" s="58">
        <v>3</v>
      </c>
      <c r="G13" s="59">
        <f t="shared" si="0"/>
        <v>0</v>
      </c>
      <c r="H13" s="11"/>
    </row>
    <row r="14" spans="1:11" ht="15.75">
      <c r="A14" s="58" t="s">
        <v>189</v>
      </c>
      <c r="B14" s="59">
        <v>0</v>
      </c>
      <c r="C14" s="58">
        <v>0</v>
      </c>
      <c r="D14" s="59">
        <f t="shared" si="1"/>
        <v>0</v>
      </c>
      <c r="E14" s="59">
        <f>199*K6</f>
        <v>301.56794822992009</v>
      </c>
      <c r="F14" s="58">
        <v>3</v>
      </c>
      <c r="G14" s="59">
        <f t="shared" si="0"/>
        <v>904.70384468976022</v>
      </c>
      <c r="H14" s="11"/>
    </row>
    <row r="15" spans="1:11" ht="15.75">
      <c r="A15" s="58" t="s">
        <v>190</v>
      </c>
      <c r="B15" s="59">
        <v>0</v>
      </c>
      <c r="C15" s="58">
        <v>0</v>
      </c>
      <c r="D15" s="59">
        <f t="shared" si="1"/>
        <v>0</v>
      </c>
      <c r="E15" s="59">
        <f>93*K6</f>
        <v>140.93376475066617</v>
      </c>
      <c r="F15" s="58">
        <v>3</v>
      </c>
      <c r="G15" s="59">
        <f t="shared" si="0"/>
        <v>422.80129425199851</v>
      </c>
      <c r="H15" s="11"/>
    </row>
    <row r="16" spans="1:11" ht="15.75">
      <c r="A16" s="10" t="s">
        <v>191</v>
      </c>
      <c r="B16" s="8"/>
      <c r="C16" s="8"/>
      <c r="D16" s="68">
        <f>ROUND(SUM(D5:D15), -3)</f>
        <v>0</v>
      </c>
      <c r="E16" s="19"/>
      <c r="F16" s="19"/>
      <c r="G16" s="68">
        <f>ROUND(SUM(G5:G15), -3)</f>
        <v>177000</v>
      </c>
      <c r="I16" s="24">
        <f>D16+G16</f>
        <v>177000</v>
      </c>
    </row>
    <row r="17" spans="1:7" ht="11.25" customHeight="1">
      <c r="A17" s="22"/>
      <c r="B17" s="23"/>
      <c r="C17" s="23"/>
      <c r="D17" s="12"/>
      <c r="E17" s="23"/>
      <c r="F17" s="23"/>
      <c r="G17" s="12"/>
    </row>
    <row r="18" spans="1:7" ht="45.75" customHeight="1">
      <c r="A18" s="89" t="s">
        <v>192</v>
      </c>
      <c r="B18" s="89"/>
      <c r="C18" s="89"/>
      <c r="D18" s="89"/>
      <c r="E18" s="89"/>
      <c r="F18" s="89"/>
      <c r="G18" s="89"/>
    </row>
    <row r="19" spans="1:7" ht="45.6" customHeight="1">
      <c r="A19" s="86" t="s">
        <v>193</v>
      </c>
      <c r="B19" s="86"/>
      <c r="C19" s="86"/>
      <c r="D19" s="86"/>
      <c r="E19" s="86"/>
      <c r="F19" s="86"/>
      <c r="G19" s="86"/>
    </row>
    <row r="20" spans="1:7" ht="15.75">
      <c r="A20" s="86" t="s">
        <v>194</v>
      </c>
      <c r="B20" s="86"/>
      <c r="C20" s="86"/>
      <c r="D20" s="86"/>
      <c r="E20" s="86"/>
      <c r="F20" s="86"/>
      <c r="G20" s="86"/>
    </row>
    <row r="21" spans="1:7" ht="35.450000000000003" customHeight="1">
      <c r="A21" s="86" t="s">
        <v>195</v>
      </c>
      <c r="B21" s="86"/>
      <c r="C21" s="86"/>
      <c r="D21" s="86"/>
      <c r="E21" s="86"/>
      <c r="F21" s="86"/>
      <c r="G21" s="86"/>
    </row>
    <row r="22" spans="1:7" ht="15.75">
      <c r="A22" s="86" t="s">
        <v>196</v>
      </c>
      <c r="B22" s="86"/>
      <c r="C22" s="86"/>
      <c r="D22" s="86"/>
      <c r="E22" s="86"/>
      <c r="F22" s="86"/>
      <c r="G22" s="86"/>
    </row>
    <row r="23" spans="1:7" ht="15.75">
      <c r="A23" s="86" t="s">
        <v>197</v>
      </c>
      <c r="B23" s="86"/>
      <c r="C23" s="86"/>
      <c r="D23" s="86"/>
      <c r="E23" s="86"/>
      <c r="F23" s="86"/>
      <c r="G23" s="86"/>
    </row>
    <row r="24" spans="1:7" ht="15.75">
      <c r="A24" s="86" t="s">
        <v>198</v>
      </c>
      <c r="B24" s="86"/>
      <c r="C24" s="86"/>
      <c r="D24" s="86"/>
      <c r="E24" s="86"/>
      <c r="F24" s="86"/>
      <c r="G24" s="86"/>
    </row>
    <row r="25" spans="1:7" ht="15.75">
      <c r="A25" s="86" t="s">
        <v>199</v>
      </c>
      <c r="B25" s="86"/>
      <c r="C25" s="86"/>
      <c r="D25" s="86"/>
      <c r="E25" s="86"/>
      <c r="F25" s="86"/>
      <c r="G25" s="86"/>
    </row>
    <row r="26" spans="1:7" ht="15.75">
      <c r="A26" s="86" t="s">
        <v>200</v>
      </c>
      <c r="B26" s="86"/>
      <c r="C26" s="86"/>
      <c r="D26" s="86"/>
      <c r="E26" s="86"/>
      <c r="F26" s="86"/>
      <c r="G26" s="86"/>
    </row>
  </sheetData>
  <mergeCells count="10">
    <mergeCell ref="A2:G2"/>
    <mergeCell ref="A19:G19"/>
    <mergeCell ref="A21:G21"/>
    <mergeCell ref="A18:G18"/>
    <mergeCell ref="A22:G22"/>
    <mergeCell ref="A23:G23"/>
    <mergeCell ref="A24:G24"/>
    <mergeCell ref="A25:G25"/>
    <mergeCell ref="A26:G26"/>
    <mergeCell ref="A20:G20"/>
  </mergeCells>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A8CA8-D06D-48F9-AB41-065F033F135F}">
  <dimension ref="A1:F33"/>
  <sheetViews>
    <sheetView topLeftCell="A10" zoomScale="90" zoomScaleNormal="90" workbookViewId="0">
      <selection activeCell="D30" sqref="D30"/>
    </sheetView>
  </sheetViews>
  <sheetFormatPr defaultRowHeight="15"/>
  <cols>
    <col min="1" max="1" width="34.85546875" customWidth="1"/>
    <col min="2" max="2" width="11.85546875" customWidth="1"/>
    <col min="3" max="3" width="12.7109375" customWidth="1"/>
    <col min="4" max="4" width="11.42578125" customWidth="1"/>
    <col min="5" max="5" width="14.7109375" customWidth="1"/>
  </cols>
  <sheetData>
    <row r="1" spans="1:6" s="6" customFormat="1" ht="15.75">
      <c r="A1" s="90" t="s">
        <v>159</v>
      </c>
      <c r="B1" s="90"/>
      <c r="C1" s="90"/>
      <c r="D1" s="90"/>
      <c r="E1" s="90"/>
    </row>
    <row r="2" spans="1:6" s="6" customFormat="1" ht="12.75">
      <c r="A2" s="7" t="s">
        <v>163</v>
      </c>
      <c r="B2" s="7" t="s">
        <v>164</v>
      </c>
      <c r="C2" s="7" t="s">
        <v>165</v>
      </c>
      <c r="D2" s="7" t="s">
        <v>166</v>
      </c>
      <c r="E2" s="7" t="s">
        <v>167</v>
      </c>
    </row>
    <row r="3" spans="1:6" s="6" customFormat="1" ht="96">
      <c r="A3" s="29" t="s">
        <v>201</v>
      </c>
      <c r="B3" s="29" t="s">
        <v>155</v>
      </c>
      <c r="C3" s="29" t="s">
        <v>202</v>
      </c>
      <c r="D3" s="29" t="s">
        <v>203</v>
      </c>
      <c r="E3" s="29" t="s">
        <v>204</v>
      </c>
    </row>
    <row r="4" spans="1:6" s="6" customFormat="1" ht="12.75">
      <c r="A4" s="31" t="s">
        <v>205</v>
      </c>
      <c r="B4" s="30">
        <v>0</v>
      </c>
      <c r="C4" s="30">
        <v>1</v>
      </c>
      <c r="D4" s="30">
        <v>0</v>
      </c>
      <c r="E4" s="30">
        <f>(B4*C4)+D4</f>
        <v>0</v>
      </c>
    </row>
    <row r="5" spans="1:6" s="6" customFormat="1" ht="24">
      <c r="A5" s="31" t="s">
        <v>206</v>
      </c>
      <c r="B5" s="30">
        <v>0</v>
      </c>
      <c r="C5" s="30">
        <v>1</v>
      </c>
      <c r="D5" s="30">
        <v>0</v>
      </c>
      <c r="E5" s="30">
        <f t="shared" ref="E5:E23" si="0">(B5*C5)+D5</f>
        <v>0</v>
      </c>
    </row>
    <row r="6" spans="1:6" s="6" customFormat="1" ht="12.75">
      <c r="A6" s="31" t="s">
        <v>207</v>
      </c>
      <c r="B6" s="30">
        <v>0</v>
      </c>
      <c r="C6" s="30">
        <v>1</v>
      </c>
      <c r="D6" s="30">
        <v>0</v>
      </c>
      <c r="E6" s="30">
        <f t="shared" si="0"/>
        <v>0</v>
      </c>
    </row>
    <row r="7" spans="1:6" s="6" customFormat="1" ht="12.75">
      <c r="A7" s="31" t="s">
        <v>208</v>
      </c>
      <c r="B7" s="30">
        <v>0</v>
      </c>
      <c r="C7" s="30">
        <v>1</v>
      </c>
      <c r="D7" s="30">
        <v>0</v>
      </c>
      <c r="E7" s="30">
        <f t="shared" si="0"/>
        <v>0</v>
      </c>
    </row>
    <row r="8" spans="1:6" s="6" customFormat="1" ht="24">
      <c r="A8" s="31" t="s">
        <v>209</v>
      </c>
      <c r="B8" s="30">
        <v>0</v>
      </c>
      <c r="C8" s="30">
        <v>1</v>
      </c>
      <c r="D8" s="30">
        <v>0</v>
      </c>
      <c r="E8" s="30">
        <f t="shared" si="0"/>
        <v>0</v>
      </c>
      <c r="F8" s="1"/>
    </row>
    <row r="9" spans="1:6" s="6" customFormat="1" ht="12.75">
      <c r="A9" s="31" t="s">
        <v>210</v>
      </c>
      <c r="B9" s="30">
        <v>0</v>
      </c>
      <c r="C9" s="30">
        <v>1</v>
      </c>
      <c r="D9" s="30">
        <v>0</v>
      </c>
      <c r="E9" s="30">
        <f t="shared" si="0"/>
        <v>0</v>
      </c>
    </row>
    <row r="10" spans="1:6" s="6" customFormat="1" ht="12.75">
      <c r="A10" s="31" t="s">
        <v>211</v>
      </c>
      <c r="B10" s="30">
        <v>0</v>
      </c>
      <c r="C10" s="30">
        <v>1</v>
      </c>
      <c r="D10" s="30">
        <v>0</v>
      </c>
      <c r="E10" s="30">
        <f t="shared" si="0"/>
        <v>0</v>
      </c>
    </row>
    <row r="11" spans="1:6" s="6" customFormat="1" ht="12.75">
      <c r="A11" s="31" t="s">
        <v>212</v>
      </c>
      <c r="B11" s="30">
        <v>0</v>
      </c>
      <c r="C11" s="30">
        <v>1</v>
      </c>
      <c r="D11" s="30">
        <v>0</v>
      </c>
      <c r="E11" s="30">
        <f t="shared" si="0"/>
        <v>0</v>
      </c>
    </row>
    <row r="12" spans="1:6" s="6" customFormat="1" ht="12.75">
      <c r="A12" s="31" t="s">
        <v>213</v>
      </c>
      <c r="B12" s="30">
        <v>0</v>
      </c>
      <c r="C12" s="30">
        <v>1</v>
      </c>
      <c r="D12" s="30">
        <v>0</v>
      </c>
      <c r="E12" s="30">
        <f t="shared" si="0"/>
        <v>0</v>
      </c>
    </row>
    <row r="13" spans="1:6">
      <c r="A13" s="31" t="s">
        <v>214</v>
      </c>
      <c r="B13" s="30">
        <v>0</v>
      </c>
      <c r="C13" s="30">
        <v>1</v>
      </c>
      <c r="D13" s="30">
        <v>0</v>
      </c>
      <c r="E13" s="30">
        <f t="shared" si="0"/>
        <v>0</v>
      </c>
    </row>
    <row r="14" spans="1:6" s="6" customFormat="1" ht="61.9" customHeight="1">
      <c r="A14" s="31" t="s">
        <v>215</v>
      </c>
      <c r="B14" s="30">
        <v>0</v>
      </c>
      <c r="C14" s="30">
        <v>1</v>
      </c>
      <c r="D14" s="30">
        <v>0</v>
      </c>
      <c r="E14" s="30">
        <f t="shared" si="0"/>
        <v>0</v>
      </c>
    </row>
    <row r="15" spans="1:6">
      <c r="A15" s="31" t="s">
        <v>216</v>
      </c>
      <c r="B15" s="30">
        <v>0</v>
      </c>
      <c r="C15" s="30">
        <v>1</v>
      </c>
      <c r="D15" s="30">
        <v>0</v>
      </c>
      <c r="E15" s="30">
        <f t="shared" si="0"/>
        <v>0</v>
      </c>
    </row>
    <row r="16" spans="1:6">
      <c r="A16" s="31" t="s">
        <v>217</v>
      </c>
      <c r="B16" s="30">
        <v>0</v>
      </c>
      <c r="C16" s="30">
        <v>1</v>
      </c>
      <c r="D16" s="30">
        <v>0</v>
      </c>
      <c r="E16" s="30">
        <f t="shared" si="0"/>
        <v>0</v>
      </c>
    </row>
    <row r="17" spans="1:5">
      <c r="A17" s="91" t="s">
        <v>218</v>
      </c>
      <c r="B17" s="91"/>
      <c r="C17" s="91"/>
      <c r="D17" s="91"/>
      <c r="E17" s="91"/>
    </row>
    <row r="18" spans="1:5">
      <c r="A18" s="31" t="s">
        <v>219</v>
      </c>
      <c r="B18" s="30">
        <v>3</v>
      </c>
      <c r="C18" s="30">
        <v>1</v>
      </c>
      <c r="D18" s="30">
        <v>0</v>
      </c>
      <c r="E18" s="30">
        <f t="shared" si="0"/>
        <v>3</v>
      </c>
    </row>
    <row r="19" spans="1:5" ht="25.5">
      <c r="A19" s="31" t="s">
        <v>220</v>
      </c>
      <c r="B19" s="30">
        <f>+B18*0.2</f>
        <v>0.60000000000000009</v>
      </c>
      <c r="C19" s="30">
        <v>1</v>
      </c>
      <c r="D19" s="30">
        <v>0</v>
      </c>
      <c r="E19" s="30">
        <f t="shared" si="0"/>
        <v>0.60000000000000009</v>
      </c>
    </row>
    <row r="20" spans="1:5" ht="24">
      <c r="A20" s="31" t="s">
        <v>221</v>
      </c>
      <c r="B20" s="30">
        <v>3</v>
      </c>
      <c r="C20" s="30">
        <v>1</v>
      </c>
      <c r="D20" s="30">
        <v>0</v>
      </c>
      <c r="E20" s="30">
        <f t="shared" si="0"/>
        <v>3</v>
      </c>
    </row>
    <row r="21" spans="1:5">
      <c r="A21" s="31" t="s">
        <v>222</v>
      </c>
      <c r="B21" s="30">
        <f>B20*0.8</f>
        <v>2.4000000000000004</v>
      </c>
      <c r="C21" s="30">
        <v>1</v>
      </c>
      <c r="D21" s="30">
        <v>0</v>
      </c>
      <c r="E21" s="30">
        <f t="shared" si="0"/>
        <v>2.4000000000000004</v>
      </c>
    </row>
    <row r="22" spans="1:5">
      <c r="A22" s="31" t="s">
        <v>223</v>
      </c>
      <c r="B22" s="30">
        <v>3</v>
      </c>
      <c r="C22" s="30">
        <v>1</v>
      </c>
      <c r="D22" s="30">
        <v>0</v>
      </c>
      <c r="E22" s="30">
        <f t="shared" si="0"/>
        <v>3</v>
      </c>
    </row>
    <row r="23" spans="1:5" ht="25.5">
      <c r="A23" s="31" t="s">
        <v>224</v>
      </c>
      <c r="B23" s="30">
        <f>B22*0.8</f>
        <v>2.4000000000000004</v>
      </c>
      <c r="C23" s="30">
        <v>2</v>
      </c>
      <c r="D23" s="30">
        <v>0</v>
      </c>
      <c r="E23" s="30">
        <f t="shared" si="0"/>
        <v>4.8000000000000007</v>
      </c>
    </row>
    <row r="24" spans="1:5" s="6" customFormat="1" ht="12.75">
      <c r="A24" s="31"/>
      <c r="B24" s="30"/>
      <c r="C24" s="30"/>
      <c r="D24" s="32" t="s">
        <v>225</v>
      </c>
      <c r="E24" s="60">
        <f>(SUM(E4:E16)+SUM(E18:E23))</f>
        <v>16.8</v>
      </c>
    </row>
    <row r="25" spans="1:5">
      <c r="A25" s="33"/>
      <c r="B25" s="33"/>
      <c r="C25" s="33"/>
      <c r="D25" s="33"/>
      <c r="E25" s="33"/>
    </row>
    <row r="26" spans="1:5">
      <c r="A26" s="67" t="s">
        <v>226</v>
      </c>
      <c r="B26" s="33"/>
      <c r="C26" s="33"/>
      <c r="D26" s="33"/>
      <c r="E26" s="33"/>
    </row>
    <row r="27" spans="1:5">
      <c r="A27" s="67" t="s">
        <v>227</v>
      </c>
      <c r="B27" s="33"/>
      <c r="C27" s="33"/>
      <c r="D27" s="33"/>
      <c r="E27" s="33"/>
    </row>
    <row r="28" spans="1:5">
      <c r="A28" s="33"/>
      <c r="B28" s="33"/>
      <c r="C28" s="33"/>
      <c r="D28" s="33"/>
      <c r="E28" s="33"/>
    </row>
    <row r="29" spans="1:5">
      <c r="A29" s="33"/>
      <c r="B29" s="33"/>
      <c r="C29" s="33"/>
      <c r="D29" s="33"/>
      <c r="E29" s="33"/>
    </row>
    <row r="30" spans="1:5">
      <c r="A30" s="33"/>
      <c r="B30" s="33"/>
      <c r="C30" s="33"/>
      <c r="D30" s="33"/>
      <c r="E30" s="33"/>
    </row>
    <row r="31" spans="1:5">
      <c r="A31" s="33"/>
      <c r="B31" s="33"/>
      <c r="C31" s="33"/>
      <c r="D31" s="33"/>
      <c r="E31" s="33"/>
    </row>
    <row r="32" spans="1:5">
      <c r="A32" s="33"/>
      <c r="B32" s="33"/>
      <c r="C32" s="33"/>
      <c r="D32" s="33"/>
      <c r="E32" s="33"/>
    </row>
    <row r="33" spans="1:5">
      <c r="A33" s="33"/>
      <c r="B33" s="33"/>
      <c r="C33" s="33"/>
      <c r="D33" s="33"/>
      <c r="E33" s="33"/>
    </row>
  </sheetData>
  <mergeCells count="2">
    <mergeCell ref="A1:E1"/>
    <mergeCell ref="A17:E17"/>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E7754-04D5-4DBA-B79C-283E5E0BF946}">
  <dimension ref="A1:F9"/>
  <sheetViews>
    <sheetView zoomScale="90" zoomScaleNormal="90" workbookViewId="0">
      <selection sqref="A1:F1"/>
    </sheetView>
  </sheetViews>
  <sheetFormatPr defaultColWidth="17.7109375" defaultRowHeight="31.9" customHeight="1"/>
  <sheetData>
    <row r="1" spans="1:6" s="6" customFormat="1" ht="31.9" customHeight="1">
      <c r="A1" s="90" t="s">
        <v>155</v>
      </c>
      <c r="B1" s="90"/>
      <c r="C1" s="90"/>
      <c r="D1" s="90"/>
      <c r="E1" s="90"/>
      <c r="F1" s="90"/>
    </row>
    <row r="2" spans="1:6" s="6" customFormat="1" ht="49.9" customHeight="1">
      <c r="A2" s="72"/>
      <c r="B2" s="92" t="s">
        <v>228</v>
      </c>
      <c r="C2" s="92"/>
      <c r="D2" s="72" t="s">
        <v>229</v>
      </c>
      <c r="E2" s="92"/>
      <c r="F2" s="92"/>
    </row>
    <row r="3" spans="1:6" s="6" customFormat="1" ht="31.9" customHeight="1">
      <c r="A3" s="72"/>
      <c r="B3" s="13" t="s">
        <v>163</v>
      </c>
      <c r="C3" s="13" t="s">
        <v>164</v>
      </c>
      <c r="D3" s="13" t="s">
        <v>165</v>
      </c>
      <c r="E3" s="13" t="s">
        <v>166</v>
      </c>
      <c r="F3" s="13" t="s">
        <v>167</v>
      </c>
    </row>
    <row r="4" spans="1:6" s="6" customFormat="1" ht="70.900000000000006" customHeight="1">
      <c r="A4" s="13" t="s">
        <v>230</v>
      </c>
      <c r="B4" s="72" t="s">
        <v>231</v>
      </c>
      <c r="C4" s="72" t="s">
        <v>232</v>
      </c>
      <c r="D4" s="72" t="s">
        <v>233</v>
      </c>
      <c r="E4" s="72" t="s">
        <v>234</v>
      </c>
      <c r="F4" s="72" t="s">
        <v>235</v>
      </c>
    </row>
    <row r="5" spans="1:6" s="6" customFormat="1" ht="31.9" customHeight="1">
      <c r="A5" s="7">
        <v>1</v>
      </c>
      <c r="B5" s="8">
        <v>0</v>
      </c>
      <c r="C5" s="8">
        <v>3</v>
      </c>
      <c r="D5" s="8">
        <v>0</v>
      </c>
      <c r="E5" s="8">
        <v>0</v>
      </c>
      <c r="F5" s="8">
        <f>B5+C5+D5-E5</f>
        <v>3</v>
      </c>
    </row>
    <row r="6" spans="1:6" s="6" customFormat="1" ht="31.9" customHeight="1">
      <c r="A6" s="7">
        <v>2</v>
      </c>
      <c r="B6" s="8">
        <v>0</v>
      </c>
      <c r="C6" s="8">
        <v>3</v>
      </c>
      <c r="D6" s="8">
        <v>0</v>
      </c>
      <c r="E6" s="8">
        <v>0</v>
      </c>
      <c r="F6" s="8">
        <f t="shared" ref="F6:F7" si="0">B6+C6+D6-E6</f>
        <v>3</v>
      </c>
    </row>
    <row r="7" spans="1:6" s="6" customFormat="1" ht="31.9" customHeight="1">
      <c r="A7" s="7">
        <v>3</v>
      </c>
      <c r="B7" s="8">
        <v>0</v>
      </c>
      <c r="C7" s="8">
        <v>3</v>
      </c>
      <c r="D7" s="8">
        <v>0</v>
      </c>
      <c r="E7" s="8">
        <v>0</v>
      </c>
      <c r="F7" s="8">
        <f t="shared" si="0"/>
        <v>3</v>
      </c>
    </row>
    <row r="8" spans="1:6" s="6" customFormat="1" ht="31.9" customHeight="1">
      <c r="A8" s="7" t="s">
        <v>236</v>
      </c>
      <c r="B8" s="8">
        <f>AVERAGE(B5:B7)</f>
        <v>0</v>
      </c>
      <c r="C8" s="8">
        <f>AVERAGE(C5:C7)</f>
        <v>3</v>
      </c>
      <c r="D8" s="8">
        <v>0</v>
      </c>
      <c r="E8" s="8">
        <v>0</v>
      </c>
      <c r="F8" s="71">
        <f>AVERAGE(F5:F7)</f>
        <v>3</v>
      </c>
    </row>
    <row r="9" spans="1:6" s="6" customFormat="1" ht="20.45" customHeight="1">
      <c r="A9" s="9" t="s">
        <v>237</v>
      </c>
    </row>
  </sheetData>
  <mergeCells count="3">
    <mergeCell ref="A1:F1"/>
    <mergeCell ref="B2:C2"/>
    <mergeCell ref="E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C2644CEF3BE14BA984F9E32D274554" ma:contentTypeVersion="18" ma:contentTypeDescription="Create a new document." ma:contentTypeScope="" ma:versionID="312d34f8ed2d9a19618b6e7108fb2491">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02fe02c4-dc41-46ff-9d52-90c0a1b1f611" xmlns:ns6="96fc5250-dc30-4f01-945b-7e46a880eeb3" targetNamespace="http://schemas.microsoft.com/office/2006/metadata/properties" ma:root="true" ma:fieldsID="a04c65d1dfb247c5fe118c04c81543ed" ns1:_="" ns2:_="" ns3:_="" ns4:_="" ns5:_="" ns6:_="">
    <xsd:import namespace="http://schemas.microsoft.com/sharepoint/v3"/>
    <xsd:import namespace="4ffa91fb-a0ff-4ac5-b2db-65c790d184a4"/>
    <xsd:import namespace="http://schemas.microsoft.com/sharepoint.v3"/>
    <xsd:import namespace="http://schemas.microsoft.com/sharepoint/v3/fields"/>
    <xsd:import namespace="02fe02c4-dc41-46ff-9d52-90c0a1b1f611"/>
    <xsd:import namespace="96fc5250-dc30-4f01-945b-7e46a880eeb3"/>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DateTaken" minOccurs="0"/>
                <xsd:element ref="ns5:MediaServiceAutoTags" minOccurs="0"/>
                <xsd:element ref="ns5:MediaServiceOCR" minOccurs="0"/>
                <xsd:element ref="ns5:MediaServiceGenerationTime" minOccurs="0"/>
                <xsd:element ref="ns5:MediaServiceEventHashCode" minOccurs="0"/>
                <xsd:element ref="ns1:_ip_UnifiedCompliancePolicyProperties" minOccurs="0"/>
                <xsd:element ref="ns1:_ip_UnifiedCompliancePolicyUIAction" minOccurs="0"/>
                <xsd:element ref="ns5:MediaLengthInSeconds" minOccurs="0"/>
                <xsd:element ref="ns5:MediaServiceObjectDetectorVersions" minOccurs="0"/>
                <xsd:element ref="ns5:MediaServiceSearchPropertie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9205dcaf-ae28-4449-b177-6e6c07e37888}" ma:internalName="TaxCatchAllLabel" ma:readOnly="true" ma:showField="CatchAllDataLabel" ma:web="96fc5250-dc30-4f01-945b-7e46a880eeb3">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9205dcaf-ae28-4449-b177-6e6c07e37888}" ma:internalName="TaxCatchAll" ma:showField="CatchAllData" ma:web="96fc5250-dc30-4f01-945b-7e46a880ee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fe02c4-dc41-46ff-9d52-90c0a1b1f611"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6fc5250-dc30-4f01-945b-7e46a880eeb3"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9f62856-1543-49d4-a736-4569d363f53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2025-05-06T16:27:45+00:00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lcf76f155ced4ddcb4097134ff3c332f xmlns="02fe02c4-dc41-46ff-9d52-90c0a1b1f6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3B4C0F-8C00-41D9-B8FB-4D2A9675582A}"/>
</file>

<file path=customXml/itemProps2.xml><?xml version="1.0" encoding="utf-8"?>
<ds:datastoreItem xmlns:ds="http://schemas.openxmlformats.org/officeDocument/2006/customXml" ds:itemID="{CCC6DF32-F8CB-4526-9289-784C7825C0FF}"/>
</file>

<file path=customXml/itemProps3.xml><?xml version="1.0" encoding="utf-8"?>
<ds:datastoreItem xmlns:ds="http://schemas.openxmlformats.org/officeDocument/2006/customXml" ds:itemID="{8DCED415-8393-4634-9968-A495AFA0611E}"/>
</file>

<file path=customXml/itemProps4.xml><?xml version="1.0" encoding="utf-8"?>
<ds:datastoreItem xmlns:ds="http://schemas.openxmlformats.org/officeDocument/2006/customXml" ds:itemID="{1788708A-52BB-4D0F-B232-80F9E123F1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Bevington</dc:creator>
  <cp:keywords/>
  <dc:description/>
  <cp:lastModifiedBy>Bernales, Barbara</cp:lastModifiedBy>
  <cp:revision/>
  <dcterms:created xsi:type="dcterms:W3CDTF">2018-07-19T14:57:42Z</dcterms:created>
  <dcterms:modified xsi:type="dcterms:W3CDTF">2026-02-18T16:26:28Z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0x01010052C2644CEF3BE14BA984F9E32D274554</vt:lpwstr>
  </property>
  <property fmtid="{D5CDD505-2E9C-101B-9397-08002B2CF9AE}" pid="3" name="MediaServiceImageTags">
    <vt:lpwstr/>
  </property>
  <property fmtid="{D5CDD505-2E9C-101B-9397-08002B2CF9AE}" pid="4" name="TaxKeyword">
    <vt:lpwstr/>
  </property>
  <property fmtid="{D5CDD505-2E9C-101B-9397-08002B2CF9AE}" pid="5" name="Document_x0020_Type">
    <vt:lpwstr/>
  </property>
  <property fmtid="{D5CDD505-2E9C-101B-9397-08002B2CF9AE}" pid="6" name="e3f09c3df709400db2417a7161762d62">
    <vt:lpwstr/>
  </property>
  <property fmtid="{D5CDD505-2E9C-101B-9397-08002B2CF9AE}" pid="7" name="EPA_x0020_Subject">
    <vt:lpwstr/>
  </property>
  <property fmtid="{D5CDD505-2E9C-101B-9397-08002B2CF9AE}" pid="8" name="EPA Subject">
    <vt:lpwstr/>
  </property>
  <property fmtid="{D5CDD505-2E9C-101B-9397-08002B2CF9AE}" pid="9" name="Document Type">
    <vt:lpwstr/>
  </property>
</Properties>
</file>