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madonna_baucum_fws_gov/Documents/Information Collection/1018 Collections/1018-0186 African Elephant/2027 Submission (Renewal w-o Change)/SSA/"/>
    </mc:Choice>
  </mc:AlternateContent>
  <xr:revisionPtr revIDLastSave="240" documentId="13_ncr:1_{C4FDC266-3B9C-4B2C-9989-566CBAF9DCE1}" xr6:coauthVersionLast="47" xr6:coauthVersionMax="47" xr10:uidLastSave="{08A145FC-8010-4158-8F0D-CC4954759CD0}"/>
  <bookViews>
    <workbookView xWindow="22932" yWindow="-108" windowWidth="23256" windowHeight="12456" xr2:uid="{00000000-000D-0000-FFFF-FFFF00000000}"/>
  </bookViews>
  <sheets>
    <sheet name="Total Burden for SSA" sheetId="4" r:id="rId1"/>
    <sheet name="Foreign Governments" sheetId="5" r:id="rId2"/>
  </sheets>
  <definedNames>
    <definedName name="_xlnm.Print_Area" localSheetId="0">'Total Burden for SSA'!$A$1:$L$25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4" l="1"/>
  <c r="F13" i="5"/>
  <c r="F15" i="5"/>
  <c r="F14" i="5"/>
  <c r="I9" i="5"/>
  <c r="I7" i="5"/>
  <c r="F11" i="5"/>
  <c r="I3" i="5"/>
  <c r="F9" i="5"/>
  <c r="I5" i="5"/>
  <c r="F4" i="5"/>
  <c r="F2" i="5"/>
  <c r="F16" i="5" s="1"/>
  <c r="I11" i="5"/>
  <c r="C8" i="5"/>
  <c r="F7" i="5"/>
  <c r="C14" i="5"/>
  <c r="I4" i="5"/>
  <c r="F12" i="5"/>
  <c r="I2" i="5"/>
  <c r="I12" i="5" s="1"/>
  <c r="F8" i="5"/>
  <c r="C6" i="5"/>
  <c r="F6" i="5"/>
  <c r="C2" i="5"/>
  <c r="C15" i="5" l="1"/>
  <c r="C18" i="5" s="1"/>
  <c r="L24" i="4"/>
  <c r="L21" i="4"/>
  <c r="L16" i="4"/>
  <c r="L11" i="4"/>
  <c r="L6" i="4"/>
  <c r="D20" i="4"/>
  <c r="H20" i="4" s="1"/>
  <c r="D19" i="4"/>
  <c r="J19" i="4" s="1"/>
  <c r="D18" i="4"/>
  <c r="J18" i="4" s="1"/>
  <c r="D10" i="4"/>
  <c r="H10" i="4" s="1"/>
  <c r="D9" i="4"/>
  <c r="J9" i="4" s="1"/>
  <c r="D8" i="4"/>
  <c r="H8" i="4" s="1"/>
  <c r="D15" i="4"/>
  <c r="F15" i="4" s="1"/>
  <c r="H15" i="4" s="1"/>
  <c r="D14" i="4"/>
  <c r="J14" i="4" s="1"/>
  <c r="D13" i="4"/>
  <c r="J13" i="4" s="1"/>
  <c r="J20" i="4" l="1"/>
  <c r="K21" i="4"/>
  <c r="H19" i="4"/>
  <c r="J10" i="4"/>
  <c r="H18" i="4"/>
  <c r="J8" i="4"/>
  <c r="K11" i="4"/>
  <c r="H9" i="4"/>
  <c r="K16" i="4"/>
  <c r="J15" i="4"/>
  <c r="F13" i="4"/>
  <c r="H13" i="4" s="1"/>
  <c r="F14" i="4"/>
  <c r="H14" i="4" s="1"/>
  <c r="D5" i="4"/>
  <c r="F5" i="4" s="1"/>
  <c r="H5" i="4" s="1"/>
  <c r="D4" i="4"/>
  <c r="J4" i="4" s="1"/>
  <c r="D3" i="4"/>
  <c r="B25" i="4"/>
  <c r="D23" i="4"/>
  <c r="J3" i="4" l="1"/>
  <c r="K6" i="4"/>
  <c r="F23" i="4"/>
  <c r="K24" i="4"/>
  <c r="J5" i="4"/>
  <c r="F3" i="4"/>
  <c r="H3" i="4" s="1"/>
  <c r="F4" i="4"/>
  <c r="H4" i="4" s="1"/>
  <c r="J23" i="4"/>
  <c r="D25" i="4" l="1"/>
  <c r="F25" i="4" l="1"/>
  <c r="J25" i="4" l="1"/>
  <c r="L25" i="4" l="1"/>
  <c r="H25" i="4"/>
</calcChain>
</file>

<file path=xl/sharedStrings.xml><?xml version="1.0" encoding="utf-8"?>
<sst xmlns="http://schemas.openxmlformats.org/spreadsheetml/2006/main" count="104" uniqueCount="89">
  <si>
    <t>Regulation/Activity</t>
  </si>
  <si>
    <t>Annual Responses</t>
  </si>
  <si>
    <t>Hourly Labor Costs (Incl. Benefits)</t>
  </si>
  <si>
    <t>Dollar Value of Annual Burden Hours</t>
  </si>
  <si>
    <t>Average Nonhour Burden Cost per Response</t>
  </si>
  <si>
    <t>Individuals/Households</t>
  </si>
  <si>
    <t>Private Sector</t>
  </si>
  <si>
    <t>TOTAL:</t>
  </si>
  <si>
    <t>Annual Respondents</t>
  </si>
  <si>
    <t>Average Number of Responses per Respondent</t>
  </si>
  <si>
    <t>Average Time for Gov't Review (Hours)</t>
  </si>
  <si>
    <t>Annual Burden Hours*</t>
  </si>
  <si>
    <t>Completion Time per Response (Hours)</t>
  </si>
  <si>
    <t>Total Annual Nonhour Burden Cost*</t>
  </si>
  <si>
    <t>Foreign Goverments</t>
  </si>
  <si>
    <t>Goverments</t>
  </si>
  <si>
    <r>
      <t>Cost to the Government (</t>
    </r>
    <r>
      <rPr>
        <b/>
        <i/>
        <sz val="8"/>
        <color rgb="FFC00000"/>
        <rFont val="Arial"/>
        <family val="2"/>
      </rPr>
      <t>6 hours</t>
    </r>
    <r>
      <rPr>
        <b/>
        <i/>
        <sz val="8"/>
        <color theme="1"/>
        <rFont val="Arial"/>
        <family val="2"/>
      </rPr>
      <t xml:space="preserve"> per response):</t>
    </r>
  </si>
  <si>
    <r>
      <t>Cost to the Government (</t>
    </r>
    <r>
      <rPr>
        <b/>
        <i/>
        <sz val="8"/>
        <color rgb="FFC00000"/>
        <rFont val="Arial"/>
        <family val="2"/>
      </rPr>
      <t>2 hours</t>
    </r>
    <r>
      <rPr>
        <b/>
        <i/>
        <sz val="8"/>
        <color theme="1"/>
        <rFont val="Arial"/>
        <family val="2"/>
      </rPr>
      <t xml:space="preserve"> per response):</t>
    </r>
  </si>
  <si>
    <r>
      <t>Cost to the Government (</t>
    </r>
    <r>
      <rPr>
        <b/>
        <i/>
        <sz val="8"/>
        <color rgb="FFC00000"/>
        <rFont val="Arial"/>
        <family val="2"/>
      </rPr>
      <t>3 hours</t>
    </r>
    <r>
      <rPr>
        <b/>
        <i/>
        <sz val="8"/>
        <color theme="1"/>
        <rFont val="Arial"/>
        <family val="2"/>
      </rPr>
      <t xml:space="preserve"> per response):</t>
    </r>
  </si>
  <si>
    <r>
      <rPr>
        <b/>
        <sz val="9"/>
        <color theme="1"/>
        <rFont val="Calibri"/>
        <family val="2"/>
        <scheme val="minor"/>
      </rPr>
      <t>Note:</t>
    </r>
    <r>
      <rPr>
        <sz val="9"/>
        <color theme="1"/>
        <rFont val="Calibri"/>
        <family val="2"/>
        <scheme val="minor"/>
      </rPr>
      <t xml:space="preserve">  Line 23, there are currently 37 foreign range countries with recognized governments that could potentially submit a certification</t>
    </r>
  </si>
  <si>
    <r>
      <t>Cost to Govt (</t>
    </r>
    <r>
      <rPr>
        <b/>
        <sz val="7.5"/>
        <color rgb="FFC00000"/>
        <rFont val="Arial"/>
        <family val="2"/>
      </rPr>
      <t>$67.63/hour</t>
    </r>
    <r>
      <rPr>
        <b/>
        <sz val="7.5"/>
        <rFont val="Arial"/>
        <family val="2"/>
      </rPr>
      <t>)</t>
    </r>
  </si>
  <si>
    <t xml:space="preserve">Application - Interstate Commerce or Transfer of Captive-Held African Elephants under the U.S. Endangered Species Act (ESA) (Form 3-200-37h)  50 CFR 17.40(e) </t>
  </si>
  <si>
    <t xml:space="preserve">ePermits Application - Interstate Commerce or Transfer of Captive-Held African Elephants under the U.S. Endangered Species Act (ESA) (Form 3-200-37h)  50 CFR 17.40(e) </t>
  </si>
  <si>
    <t xml:space="preserve">Amendment - Interstate Commerce or Transfer of Captive-Held African Elephants under the U.S. Endangered Species Act (ESA) (Form 3-200-37h)  50 CFR 17.40(e) </t>
  </si>
  <si>
    <t xml:space="preserve">ePermits Amendment - Interstate Commerce or Transfer of Captive-Held African Elephants under the U.S. Endangered Species Act (ESA) (Form 3-200-37h)  50 CFR 17.40(e) </t>
  </si>
  <si>
    <t xml:space="preserve">Range Country Certification Requirements  50 CFR 17.40(e) </t>
  </si>
  <si>
    <t>Angola</t>
  </si>
  <si>
    <t>Cameroon</t>
  </si>
  <si>
    <t>Democratic Republic of the Congo</t>
  </si>
  <si>
    <t>Ethiopia</t>
  </si>
  <si>
    <t>Equatorial Guinea</t>
  </si>
  <si>
    <t>Guinea-Bissau</t>
  </si>
  <si>
    <t>Malawi</t>
  </si>
  <si>
    <t>Namibia</t>
  </si>
  <si>
    <t>Nigeria</t>
  </si>
  <si>
    <t>Senegal</t>
  </si>
  <si>
    <t>South Africa</t>
  </si>
  <si>
    <t>United Republic of Tanzania</t>
  </si>
  <si>
    <t>Zimbabwe</t>
  </si>
  <si>
    <t>Category One:</t>
  </si>
  <si>
    <t>Category Two:</t>
  </si>
  <si>
    <t>Benin</t>
  </si>
  <si>
    <t>Botswana</t>
  </si>
  <si>
    <t>Burkina Faso</t>
  </si>
  <si>
    <t>Chad</t>
  </si>
  <si>
    <t>Republic of the Congo</t>
  </si>
  <si>
    <t>Eritrea</t>
  </si>
  <si>
    <t>Gabon</t>
  </si>
  <si>
    <t>Guinea</t>
  </si>
  <si>
    <t>Kenya</t>
  </si>
  <si>
    <t>Mali</t>
  </si>
  <si>
    <t>Mozambique</t>
  </si>
  <si>
    <t>Sudan</t>
  </si>
  <si>
    <t>Togo</t>
  </si>
  <si>
    <t>Zambia</t>
  </si>
  <si>
    <t>Category Three:</t>
  </si>
  <si>
    <t>Central African Republic</t>
  </si>
  <si>
    <t>Côte d’Ivoire</t>
  </si>
  <si>
    <t>Eswatini</t>
  </si>
  <si>
    <t>Ghana</t>
  </si>
  <si>
    <t>Liberia</t>
  </si>
  <si>
    <t>Niger</t>
  </si>
  <si>
    <t>Rwanda</t>
  </si>
  <si>
    <t>Sierra Leone</t>
  </si>
  <si>
    <t>Somalia</t>
  </si>
  <si>
    <t>Uganda</t>
  </si>
  <si>
    <t>Avg. USD Rate/Hour</t>
  </si>
  <si>
    <t>Category One:  Guinea‑Bissau</t>
  </si>
  <si>
    <t>Category Two:  None</t>
  </si>
  <si>
    <t>Category Three:  Liberia</t>
  </si>
  <si>
    <r>
      <t>No Data Available</t>
    </r>
    <r>
      <rPr>
        <sz val="11"/>
        <color theme="1"/>
        <rFont val="Times New Roman"/>
        <family val="1"/>
      </rPr>
      <t xml:space="preserve">: </t>
    </r>
  </si>
  <si>
    <t>Average:</t>
  </si>
  <si>
    <t>Overall Average:</t>
  </si>
  <si>
    <r>
      <t xml:space="preserve">Average number of work hours per month calculated as:  </t>
    </r>
    <r>
      <rPr>
        <i/>
        <sz val="11"/>
        <color theme="1"/>
        <rFont val="Times New Roman"/>
        <family val="1"/>
      </rPr>
      <t>40 hours/week × 4.33 weeks/month ≈ 173 hours per month</t>
    </r>
  </si>
  <si>
    <t>Africa HR:  https://africa-hr.com/blog/salary-standards-across-54-african-countries/</t>
  </si>
  <si>
    <t>Cameroon:  https://example.com/cameroon-government-wage</t>
  </si>
  <si>
    <t>DRC:  https://example.com/drc-minimum-wage</t>
  </si>
  <si>
    <t>Ethiopia:  https://example.com/ethiopia-public-sector-wage</t>
  </si>
  <si>
    <t>Namibia: https://example.com/namibia-minimum-wage</t>
  </si>
  <si>
    <t>Namibia:  https://example.com/namibia-wage-policy</t>
  </si>
  <si>
    <t>Nigeria: https://example.com/nigeria-minimum-wage</t>
  </si>
  <si>
    <t>Senegal: https://example.com/senegal-smig</t>
  </si>
  <si>
    <t>Senegal: https://example.com/senegal-labour-info</t>
  </si>
  <si>
    <t>South Africa: https://example.com/south-africa-minimum-wage</t>
  </si>
  <si>
    <t>South Africa: https://example.com/south-africa-wage-updates</t>
  </si>
  <si>
    <t>Tanzania: https://example.com/tanzania-minimum-wage</t>
  </si>
  <si>
    <t>Tanzania: https://example.com/tanzania-wage-policy</t>
  </si>
  <si>
    <t>Zimbabwe: https://example.com/zimbabwe-minimum-wage</t>
  </si>
  <si>
    <t>Sources Used for Government Hourly Rate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</si>
</sst>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16" x14ac:knownFonts="1">
    <font>
      <sz val="11"/>
      <color theme="1"/>
      <name val="Calibri"/>
      <family val="2"/>
      <scheme val="minor"/>
    </font>
    <font>
      <b/>
      <sz val="7.5"/>
      <color theme="1"/>
      <name val="Arial"/>
      <family val="2"/>
    </font>
    <font>
      <b/>
      <sz val="8"/>
      <color rgb="FF0000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7.5"/>
      <name val="Arial"/>
      <family val="2"/>
    </font>
    <font>
      <b/>
      <i/>
      <sz val="8"/>
      <color rgb="FFC0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.5"/>
      <color rgb="FFC0000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125">
        <bgColor theme="0" tint="-0.249977111117893"/>
      </patternFill>
    </fill>
    <fill>
      <patternFill patternType="solid">
        <fgColor rgb="FFFFFF99"/>
        <bgColor indexed="64"/>
      </patternFill>
    </fill>
    <fill>
      <patternFill patternType="solid">
        <fgColor rgb="FFAFC77B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9B07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right" vertical="center" wrapText="1"/>
    </xf>
    <xf numFmtId="38" fontId="3" fillId="0" borderId="1" xfId="0" applyNumberFormat="1" applyFont="1" applyBorder="1" applyAlignment="1">
      <alignment horizontal="right" vertical="center" wrapText="1"/>
    </xf>
    <xf numFmtId="0" fontId="4" fillId="4" borderId="1" xfId="0" applyFont="1" applyFill="1" applyBorder="1"/>
    <xf numFmtId="164" fontId="4" fillId="3" borderId="1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7" fillId="0" borderId="0" xfId="0" applyFont="1"/>
    <xf numFmtId="3" fontId="7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8" fontId="4" fillId="0" borderId="1" xfId="0" applyNumberFormat="1" applyFont="1" applyBorder="1" applyAlignment="1">
      <alignment horizontal="right" vertical="center" wrapText="1"/>
    </xf>
    <xf numFmtId="40" fontId="4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wrapText="1"/>
    </xf>
    <xf numFmtId="3" fontId="3" fillId="3" borderId="1" xfId="0" applyNumberFormat="1" applyFont="1" applyFill="1" applyBorder="1"/>
    <xf numFmtId="3" fontId="0" fillId="0" borderId="0" xfId="0" applyNumberFormat="1"/>
    <xf numFmtId="0" fontId="4" fillId="0" borderId="1" xfId="0" applyFont="1" applyBorder="1" applyAlignment="1">
      <alignment horizontal="right" vertical="center" wrapText="1"/>
    </xf>
    <xf numFmtId="0" fontId="3" fillId="5" borderId="1" xfId="0" applyFont="1" applyFill="1" applyBorder="1" applyAlignment="1">
      <alignment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6" fontId="3" fillId="5" borderId="1" xfId="0" applyNumberFormat="1" applyFont="1" applyFill="1" applyBorder="1" applyAlignment="1">
      <alignment horizontal="right" vertical="center" wrapText="1"/>
    </xf>
    <xf numFmtId="38" fontId="3" fillId="5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/>
    <xf numFmtId="2" fontId="0" fillId="0" borderId="0" xfId="0" applyNumberFormat="1"/>
    <xf numFmtId="165" fontId="4" fillId="8" borderId="1" xfId="0" applyNumberFormat="1" applyFont="1" applyFill="1" applyBorder="1" applyAlignment="1">
      <alignment horizontal="right" vertical="center" wrapText="1"/>
    </xf>
    <xf numFmtId="3" fontId="4" fillId="8" borderId="1" xfId="0" applyNumberFormat="1" applyFont="1" applyFill="1" applyBorder="1" applyAlignment="1">
      <alignment horizontal="right" vertical="center" wrapText="1"/>
    </xf>
    <xf numFmtId="165" fontId="4" fillId="8" borderId="1" xfId="0" applyNumberFormat="1" applyFont="1" applyFill="1" applyBorder="1" applyAlignment="1">
      <alignment horizontal="right" vertical="center"/>
    </xf>
    <xf numFmtId="3" fontId="6" fillId="7" borderId="1" xfId="0" applyNumberFormat="1" applyFont="1" applyFill="1" applyBorder="1" applyAlignment="1">
      <alignment horizontal="center" vertical="center" wrapText="1"/>
    </xf>
    <xf numFmtId="8" fontId="5" fillId="7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4" fontId="7" fillId="0" borderId="0" xfId="0" applyNumberFormat="1" applyFont="1"/>
    <xf numFmtId="4" fontId="7" fillId="0" borderId="0" xfId="0" applyNumberFormat="1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/>
    </xf>
    <xf numFmtId="0" fontId="10" fillId="0" borderId="0" xfId="0" applyFont="1"/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11" fillId="0" borderId="0" xfId="0" applyNumberFormat="1" applyFont="1"/>
    <xf numFmtId="2" fontId="10" fillId="0" borderId="0" xfId="0" applyNumberFormat="1" applyFont="1"/>
    <xf numFmtId="4" fontId="11" fillId="0" borderId="0" xfId="0" applyNumberFormat="1" applyFont="1" applyAlignment="1">
      <alignment horizontal="center" vertical="center"/>
    </xf>
    <xf numFmtId="0" fontId="11" fillId="0" borderId="0" xfId="0" applyFont="1"/>
    <xf numFmtId="3" fontId="11" fillId="0" borderId="0" xfId="0" applyNumberFormat="1" applyFont="1"/>
    <xf numFmtId="3" fontId="10" fillId="0" borderId="0" xfId="0" applyNumberFormat="1" applyFont="1"/>
    <xf numFmtId="164" fontId="4" fillId="5" borderId="1" xfId="0" applyNumberFormat="1" applyFont="1" applyFill="1" applyBorder="1" applyAlignment="1">
      <alignment horizontal="right" vertical="center"/>
    </xf>
    <xf numFmtId="8" fontId="4" fillId="9" borderId="1" xfId="0" applyNumberFormat="1" applyFont="1" applyFill="1" applyBorder="1" applyAlignment="1">
      <alignment horizontal="right" vertical="center" wrapText="1"/>
    </xf>
    <xf numFmtId="40" fontId="4" fillId="9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4" borderId="1" xfId="0" applyNumberFormat="1" applyFont="1" applyFill="1" applyBorder="1"/>
    <xf numFmtId="4" fontId="10" fillId="0" borderId="0" xfId="0" applyNumberFormat="1" applyFont="1"/>
    <xf numFmtId="4" fontId="0" fillId="0" borderId="0" xfId="0" applyNumberFormat="1"/>
    <xf numFmtId="164" fontId="3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164" fontId="13" fillId="0" borderId="0" xfId="0" applyNumberFormat="1" applyFont="1"/>
    <xf numFmtId="0" fontId="14" fillId="0" borderId="0" xfId="0" applyFont="1" applyAlignment="1">
      <alignment vertical="center"/>
    </xf>
    <xf numFmtId="164" fontId="14" fillId="0" borderId="0" xfId="0" applyNumberFormat="1" applyFont="1"/>
    <xf numFmtId="0" fontId="14" fillId="0" borderId="0" xfId="0" applyFont="1"/>
    <xf numFmtId="0" fontId="14" fillId="10" borderId="0" xfId="0" applyFont="1" applyFill="1"/>
    <xf numFmtId="164" fontId="14" fillId="10" borderId="0" xfId="0" applyNumberFormat="1" applyFont="1" applyFill="1"/>
    <xf numFmtId="0" fontId="14" fillId="5" borderId="0" xfId="0" applyFont="1" applyFill="1" applyAlignment="1">
      <alignment horizontal="right"/>
    </xf>
    <xf numFmtId="164" fontId="14" fillId="5" borderId="0" xfId="0" applyNumberFormat="1" applyFont="1" applyFill="1"/>
    <xf numFmtId="0" fontId="5" fillId="7" borderId="2" xfId="0" applyFont="1" applyFill="1" applyBorder="1" applyAlignment="1">
      <alignment horizontal="right" vertical="center" wrapText="1"/>
    </xf>
    <xf numFmtId="0" fontId="7" fillId="7" borderId="3" xfId="0" applyFont="1" applyFill="1" applyBorder="1" applyAlignment="1">
      <alignment horizontal="right" vertical="center" wrapText="1"/>
    </xf>
    <xf numFmtId="0" fontId="7" fillId="7" borderId="4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AFC77B"/>
      <color rgb="FF97B553"/>
      <color rgb="FFF9B073"/>
      <color rgb="FF0000FF"/>
      <color rgb="FFD9D9D9"/>
      <color rgb="FF8DB3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="145" zoomScaleNormal="145" workbookViewId="0">
      <pane ySplit="1" topLeftCell="A2" activePane="bottomLeft" state="frozen"/>
      <selection pane="bottomLeft" activeCell="B1" sqref="B1"/>
    </sheetView>
  </sheetViews>
  <sheetFormatPr defaultColWidth="0" defaultRowHeight="14.4" x14ac:dyDescent="0.3"/>
  <cols>
    <col min="1" max="1" width="18.6640625" customWidth="1"/>
    <col min="2" max="2" width="10.109375" style="15" customWidth="1"/>
    <col min="3" max="3" width="11.44140625" style="11" customWidth="1"/>
    <col min="4" max="4" width="9.5546875" style="38" customWidth="1"/>
    <col min="5" max="5" width="9.44140625" style="30" customWidth="1"/>
    <col min="6" max="6" width="8.44140625" style="39" customWidth="1"/>
    <col min="7" max="7" width="8.5546875" style="57" customWidth="1"/>
    <col min="8" max="8" width="10.44140625" style="12" customWidth="1"/>
    <col min="9" max="9" width="10" customWidth="1"/>
    <col min="10" max="10" width="9.5546875" style="13" customWidth="1"/>
    <col min="11" max="11" width="9.5546875" style="20" customWidth="1"/>
    <col min="12" max="12" width="11.6640625" style="12" customWidth="1"/>
    <col min="13" max="13" width="0" hidden="1" customWidth="1"/>
    <col min="14" max="16384" width="8.88671875" hidden="1"/>
  </cols>
  <sheetData>
    <row r="1" spans="1:12" ht="52.2" x14ac:dyDescent="0.3">
      <c r="A1" s="1" t="s">
        <v>0</v>
      </c>
      <c r="B1" s="10" t="s">
        <v>8</v>
      </c>
      <c r="C1" s="1" t="s">
        <v>9</v>
      </c>
      <c r="D1" s="36" t="s">
        <v>1</v>
      </c>
      <c r="E1" s="28" t="s">
        <v>12</v>
      </c>
      <c r="F1" s="36" t="s">
        <v>11</v>
      </c>
      <c r="G1" s="36" t="s">
        <v>2</v>
      </c>
      <c r="H1" s="1" t="s">
        <v>3</v>
      </c>
      <c r="I1" s="1" t="s">
        <v>4</v>
      </c>
      <c r="J1" s="10" t="s">
        <v>13</v>
      </c>
      <c r="K1" s="10" t="s">
        <v>10</v>
      </c>
      <c r="L1" s="18" t="s">
        <v>20</v>
      </c>
    </row>
    <row r="2" spans="1:12" x14ac:dyDescent="0.3">
      <c r="A2" s="75" t="s">
        <v>21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x14ac:dyDescent="0.3">
      <c r="A3" s="2" t="s">
        <v>5</v>
      </c>
      <c r="B3" s="14">
        <v>1</v>
      </c>
      <c r="C3" s="3">
        <v>1</v>
      </c>
      <c r="D3" s="37">
        <f>SUM(B3*C3)</f>
        <v>1</v>
      </c>
      <c r="E3" s="40">
        <v>6</v>
      </c>
      <c r="F3" s="37">
        <f>SUM(D3*E3)</f>
        <v>6</v>
      </c>
      <c r="G3" s="58">
        <v>49.46</v>
      </c>
      <c r="H3" s="16">
        <f>SUM(F3*G3)</f>
        <v>296.76</v>
      </c>
      <c r="I3" s="4">
        <v>100</v>
      </c>
      <c r="J3" s="31">
        <f>SUM(D3*I3)</f>
        <v>100</v>
      </c>
      <c r="K3" s="14"/>
      <c r="L3" s="21"/>
    </row>
    <row r="4" spans="1:12" x14ac:dyDescent="0.3">
      <c r="A4" s="2" t="s">
        <v>6</v>
      </c>
      <c r="B4" s="14">
        <v>10</v>
      </c>
      <c r="C4" s="3">
        <v>1</v>
      </c>
      <c r="D4" s="37">
        <f>SUM(B4*C4)</f>
        <v>10</v>
      </c>
      <c r="E4" s="40">
        <v>6</v>
      </c>
      <c r="F4" s="37">
        <f>SUM(D4*E4)</f>
        <v>60</v>
      </c>
      <c r="G4" s="54">
        <v>46.89</v>
      </c>
      <c r="H4" s="17">
        <f>SUM(F4*G4)</f>
        <v>2813.4</v>
      </c>
      <c r="I4" s="5">
        <v>100</v>
      </c>
      <c r="J4" s="32">
        <f>SUM(D4*I4)</f>
        <v>1000</v>
      </c>
      <c r="K4" s="14"/>
      <c r="L4" s="21"/>
    </row>
    <row r="5" spans="1:12" x14ac:dyDescent="0.3">
      <c r="A5" s="2" t="s">
        <v>15</v>
      </c>
      <c r="B5" s="14">
        <v>5</v>
      </c>
      <c r="C5" s="3">
        <v>1</v>
      </c>
      <c r="D5" s="37">
        <f>SUM(B5*C5)</f>
        <v>5</v>
      </c>
      <c r="E5" s="40">
        <v>6</v>
      </c>
      <c r="F5" s="37">
        <f>SUM(D5*E5)</f>
        <v>30</v>
      </c>
      <c r="G5" s="54">
        <v>66.45</v>
      </c>
      <c r="H5" s="17">
        <f>SUM(F5*G5)</f>
        <v>1993.5</v>
      </c>
      <c r="I5" s="5">
        <v>0</v>
      </c>
      <c r="J5" s="32">
        <f>SUM(D5*I5)</f>
        <v>0</v>
      </c>
      <c r="K5" s="14"/>
      <c r="L5" s="21"/>
    </row>
    <row r="6" spans="1:12" x14ac:dyDescent="0.3">
      <c r="A6" s="72" t="s">
        <v>16</v>
      </c>
      <c r="B6" s="73"/>
      <c r="C6" s="73"/>
      <c r="D6" s="73"/>
      <c r="E6" s="73"/>
      <c r="F6" s="73"/>
      <c r="G6" s="73"/>
      <c r="H6" s="73"/>
      <c r="I6" s="73"/>
      <c r="J6" s="74"/>
      <c r="K6" s="34">
        <f>SUM(6*(D3+D4+D5))</f>
        <v>96</v>
      </c>
      <c r="L6" s="35">
        <f>SUM(67.63*K6)</f>
        <v>6492.48</v>
      </c>
    </row>
    <row r="7" spans="1:12" x14ac:dyDescent="0.3">
      <c r="A7" s="75" t="s">
        <v>22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12" x14ac:dyDescent="0.3">
      <c r="A8" s="22" t="s">
        <v>5</v>
      </c>
      <c r="B8" s="23">
        <v>1</v>
      </c>
      <c r="C8" s="24">
        <v>1</v>
      </c>
      <c r="D8" s="37">
        <f>SUM(B8*C8)</f>
        <v>1</v>
      </c>
      <c r="E8" s="25">
        <v>5.25</v>
      </c>
      <c r="F8" s="37">
        <v>5</v>
      </c>
      <c r="G8" s="58">
        <v>49.46</v>
      </c>
      <c r="H8" s="52">
        <f>SUM(F8*G8)</f>
        <v>247.3</v>
      </c>
      <c r="I8" s="26">
        <v>100</v>
      </c>
      <c r="J8" s="31">
        <f>SUM(D8*I8)</f>
        <v>100</v>
      </c>
      <c r="K8" s="14"/>
      <c r="L8" s="21"/>
    </row>
    <row r="9" spans="1:12" x14ac:dyDescent="0.3">
      <c r="A9" s="22" t="s">
        <v>6</v>
      </c>
      <c r="B9" s="23">
        <v>10</v>
      </c>
      <c r="C9" s="24">
        <v>1</v>
      </c>
      <c r="D9" s="37">
        <f>SUM(B9*C9)</f>
        <v>10</v>
      </c>
      <c r="E9" s="25">
        <v>5.25</v>
      </c>
      <c r="F9" s="37">
        <v>53</v>
      </c>
      <c r="G9" s="54">
        <v>46.89</v>
      </c>
      <c r="H9" s="53">
        <f>SUM(F9*G9)</f>
        <v>2485.17</v>
      </c>
      <c r="I9" s="27">
        <v>100</v>
      </c>
      <c r="J9" s="32">
        <f>SUM(D9*I9)</f>
        <v>1000</v>
      </c>
      <c r="K9" s="14"/>
      <c r="L9" s="21"/>
    </row>
    <row r="10" spans="1:12" x14ac:dyDescent="0.3">
      <c r="A10" s="22" t="s">
        <v>15</v>
      </c>
      <c r="B10" s="23">
        <v>5</v>
      </c>
      <c r="C10" s="24">
        <v>1</v>
      </c>
      <c r="D10" s="37">
        <f>SUM(B10*C10)</f>
        <v>5</v>
      </c>
      <c r="E10" s="25">
        <v>5.25</v>
      </c>
      <c r="F10" s="37">
        <v>26</v>
      </c>
      <c r="G10" s="54">
        <v>66.45</v>
      </c>
      <c r="H10" s="53">
        <f>SUM(F10*G10)</f>
        <v>1727.7</v>
      </c>
      <c r="I10" s="27">
        <v>0</v>
      </c>
      <c r="J10" s="32">
        <f>SUM(D10*I10)</f>
        <v>0</v>
      </c>
      <c r="K10" s="14"/>
      <c r="L10" s="21"/>
    </row>
    <row r="11" spans="1:12" x14ac:dyDescent="0.3">
      <c r="A11" s="72" t="s">
        <v>16</v>
      </c>
      <c r="B11" s="73"/>
      <c r="C11" s="73"/>
      <c r="D11" s="73"/>
      <c r="E11" s="73"/>
      <c r="F11" s="73"/>
      <c r="G11" s="73"/>
      <c r="H11" s="73"/>
      <c r="I11" s="73"/>
      <c r="J11" s="74"/>
      <c r="K11" s="34">
        <f>SUM(6*(D8+D9+D10))</f>
        <v>96</v>
      </c>
      <c r="L11" s="35">
        <f>SUM(67.63*K11)</f>
        <v>6492.48</v>
      </c>
    </row>
    <row r="12" spans="1:12" x14ac:dyDescent="0.3">
      <c r="A12" s="75" t="s">
        <v>23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</row>
    <row r="13" spans="1:12" x14ac:dyDescent="0.3">
      <c r="A13" s="2" t="s">
        <v>5</v>
      </c>
      <c r="B13" s="14">
        <v>1</v>
      </c>
      <c r="C13" s="3">
        <v>1</v>
      </c>
      <c r="D13" s="37">
        <f>SUM(B13*C13)</f>
        <v>1</v>
      </c>
      <c r="E13" s="40">
        <v>4</v>
      </c>
      <c r="F13" s="37">
        <f>SUM(D13*E13)</f>
        <v>4</v>
      </c>
      <c r="G13" s="58">
        <v>49.46</v>
      </c>
      <c r="H13" s="16">
        <f>SUM(F13*G13)</f>
        <v>197.84</v>
      </c>
      <c r="I13" s="4">
        <v>50</v>
      </c>
      <c r="J13" s="31">
        <f>SUM(D13*I13)</f>
        <v>50</v>
      </c>
      <c r="K13" s="14"/>
      <c r="L13" s="21"/>
    </row>
    <row r="14" spans="1:12" x14ac:dyDescent="0.3">
      <c r="A14" s="2" t="s">
        <v>6</v>
      </c>
      <c r="B14" s="14">
        <v>5</v>
      </c>
      <c r="C14" s="3">
        <v>1</v>
      </c>
      <c r="D14" s="37">
        <f>SUM(B14*C14)</f>
        <v>5</v>
      </c>
      <c r="E14" s="40">
        <v>4</v>
      </c>
      <c r="F14" s="37">
        <f>SUM(D14*E14)</f>
        <v>20</v>
      </c>
      <c r="G14" s="54">
        <v>46.89</v>
      </c>
      <c r="H14" s="17">
        <f>SUM(F14*G14)</f>
        <v>937.8</v>
      </c>
      <c r="I14" s="5">
        <v>50</v>
      </c>
      <c r="J14" s="32">
        <f>SUM(D14*I14)</f>
        <v>250</v>
      </c>
      <c r="K14" s="14"/>
      <c r="L14" s="21"/>
    </row>
    <row r="15" spans="1:12" x14ac:dyDescent="0.3">
      <c r="A15" s="2" t="s">
        <v>15</v>
      </c>
      <c r="B15" s="14">
        <v>3</v>
      </c>
      <c r="C15" s="3">
        <v>1</v>
      </c>
      <c r="D15" s="37">
        <f>SUM(B15*C15)</f>
        <v>3</v>
      </c>
      <c r="E15" s="40">
        <v>4</v>
      </c>
      <c r="F15" s="37">
        <f>SUM(D15*E15)</f>
        <v>12</v>
      </c>
      <c r="G15" s="54">
        <v>66.45</v>
      </c>
      <c r="H15" s="17">
        <f>SUM(F15*G15)</f>
        <v>797.40000000000009</v>
      </c>
      <c r="I15" s="5">
        <v>0</v>
      </c>
      <c r="J15" s="32">
        <f>SUM(D15*I15)</f>
        <v>0</v>
      </c>
      <c r="K15" s="14"/>
      <c r="L15" s="21"/>
    </row>
    <row r="16" spans="1:12" x14ac:dyDescent="0.3">
      <c r="A16" s="72" t="s">
        <v>17</v>
      </c>
      <c r="B16" s="73"/>
      <c r="C16" s="73"/>
      <c r="D16" s="73"/>
      <c r="E16" s="73"/>
      <c r="F16" s="73"/>
      <c r="G16" s="73"/>
      <c r="H16" s="73"/>
      <c r="I16" s="73"/>
      <c r="J16" s="74"/>
      <c r="K16" s="34">
        <f>SUM(2*(D13+D14+D15))</f>
        <v>18</v>
      </c>
      <c r="L16" s="35">
        <f>SUM(67.63*K16)</f>
        <v>1217.3399999999999</v>
      </c>
    </row>
    <row r="17" spans="1:12" x14ac:dyDescent="0.3">
      <c r="A17" s="75" t="s">
        <v>24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</row>
    <row r="18" spans="1:12" x14ac:dyDescent="0.3">
      <c r="A18" s="2" t="s">
        <v>5</v>
      </c>
      <c r="B18" s="14">
        <v>1</v>
      </c>
      <c r="C18" s="3">
        <v>1</v>
      </c>
      <c r="D18" s="37">
        <f>SUM(B18*C18)</f>
        <v>1</v>
      </c>
      <c r="E18" s="40">
        <v>3.5</v>
      </c>
      <c r="F18" s="37">
        <v>4</v>
      </c>
      <c r="G18" s="58">
        <v>49.46</v>
      </c>
      <c r="H18" s="16">
        <f>SUM(F18*G18)</f>
        <v>197.84</v>
      </c>
      <c r="I18" s="4">
        <v>50</v>
      </c>
      <c r="J18" s="31">
        <f>SUM(D18*I18)</f>
        <v>50</v>
      </c>
      <c r="K18" s="14"/>
      <c r="L18" s="21"/>
    </row>
    <row r="19" spans="1:12" x14ac:dyDescent="0.3">
      <c r="A19" s="2" t="s">
        <v>6</v>
      </c>
      <c r="B19" s="14">
        <v>5</v>
      </c>
      <c r="C19" s="3">
        <v>1</v>
      </c>
      <c r="D19" s="37">
        <f>SUM(B19*C19)</f>
        <v>5</v>
      </c>
      <c r="E19" s="40">
        <v>3.5</v>
      </c>
      <c r="F19" s="37">
        <v>18</v>
      </c>
      <c r="G19" s="54">
        <v>46.89</v>
      </c>
      <c r="H19" s="17">
        <f>SUM(F19*G19)</f>
        <v>844.02</v>
      </c>
      <c r="I19" s="5">
        <v>50</v>
      </c>
      <c r="J19" s="32">
        <f>SUM(D19*I19)</f>
        <v>250</v>
      </c>
      <c r="K19" s="14"/>
      <c r="L19" s="21"/>
    </row>
    <row r="20" spans="1:12" x14ac:dyDescent="0.3">
      <c r="A20" s="2" t="s">
        <v>15</v>
      </c>
      <c r="B20" s="14">
        <v>3</v>
      </c>
      <c r="C20" s="3">
        <v>1</v>
      </c>
      <c r="D20" s="37">
        <f>SUM(B20*C20)</f>
        <v>3</v>
      </c>
      <c r="E20" s="40">
        <v>3.5</v>
      </c>
      <c r="F20" s="37">
        <v>11</v>
      </c>
      <c r="G20" s="54">
        <v>66.45</v>
      </c>
      <c r="H20" s="17">
        <f>SUM(F20*G20)</f>
        <v>730.95</v>
      </c>
      <c r="I20" s="5">
        <v>0</v>
      </c>
      <c r="J20" s="32">
        <f>SUM(D20*I20)</f>
        <v>0</v>
      </c>
      <c r="K20" s="14"/>
      <c r="L20" s="21"/>
    </row>
    <row r="21" spans="1:12" x14ac:dyDescent="0.3">
      <c r="A21" s="72" t="s">
        <v>17</v>
      </c>
      <c r="B21" s="73"/>
      <c r="C21" s="73"/>
      <c r="D21" s="73"/>
      <c r="E21" s="73"/>
      <c r="F21" s="73"/>
      <c r="G21" s="73"/>
      <c r="H21" s="73"/>
      <c r="I21" s="73"/>
      <c r="J21" s="74"/>
      <c r="K21" s="34">
        <f>SUM(2*(D18+D19+D20))</f>
        <v>18</v>
      </c>
      <c r="L21" s="35">
        <f>SUM(67.63*K21)</f>
        <v>1217.3399999999999</v>
      </c>
    </row>
    <row r="22" spans="1:12" x14ac:dyDescent="0.3">
      <c r="A22" s="75" t="s">
        <v>25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</row>
    <row r="23" spans="1:12" x14ac:dyDescent="0.3">
      <c r="A23" s="2" t="s">
        <v>14</v>
      </c>
      <c r="B23" s="14">
        <v>37</v>
      </c>
      <c r="C23" s="3">
        <v>1</v>
      </c>
      <c r="D23" s="37">
        <f>SUM(B23*C23)</f>
        <v>37</v>
      </c>
      <c r="E23" s="40">
        <v>10</v>
      </c>
      <c r="F23" s="37">
        <f>SUM(D23*E23)</f>
        <v>370</v>
      </c>
      <c r="G23" s="58">
        <v>0.49</v>
      </c>
      <c r="H23" s="16">
        <f>SUM(F23*G23)</f>
        <v>181.29999999999998</v>
      </c>
      <c r="I23" s="5">
        <v>0</v>
      </c>
      <c r="J23" s="32">
        <f>SUM(D23*I23)</f>
        <v>0</v>
      </c>
      <c r="K23" s="14"/>
      <c r="L23" s="21"/>
    </row>
    <row r="24" spans="1:12" x14ac:dyDescent="0.3">
      <c r="A24" s="72" t="s">
        <v>18</v>
      </c>
      <c r="B24" s="73"/>
      <c r="C24" s="73"/>
      <c r="D24" s="73"/>
      <c r="E24" s="73"/>
      <c r="F24" s="73"/>
      <c r="G24" s="73"/>
      <c r="H24" s="73"/>
      <c r="I24" s="73"/>
      <c r="J24" s="74"/>
      <c r="K24" s="34">
        <f>SUM(3*(D16+D22+D23))</f>
        <v>111</v>
      </c>
      <c r="L24" s="35">
        <f>SUM(67.63*K24)</f>
        <v>7506.9299999999994</v>
      </c>
    </row>
    <row r="25" spans="1:12" x14ac:dyDescent="0.3">
      <c r="A25" s="9" t="s">
        <v>7</v>
      </c>
      <c r="B25" s="8">
        <f>SUM(B2:B24)</f>
        <v>87</v>
      </c>
      <c r="C25" s="8"/>
      <c r="D25" s="41">
        <f>SUM(D2:D24)</f>
        <v>87</v>
      </c>
      <c r="E25" s="29"/>
      <c r="F25" s="41">
        <f>SUM(F2:F24)</f>
        <v>619</v>
      </c>
      <c r="G25" s="55"/>
      <c r="H25" s="51">
        <f>SUM(H2:H24)</f>
        <v>13450.98</v>
      </c>
      <c r="I25" s="6"/>
      <c r="J25" s="33">
        <f>SUM(J2:J24)</f>
        <v>2800</v>
      </c>
      <c r="K25" s="19"/>
      <c r="L25" s="7">
        <f>SUM(L2:L24)</f>
        <v>22926.57</v>
      </c>
    </row>
    <row r="27" spans="1:12" s="42" customFormat="1" ht="12" x14ac:dyDescent="0.25">
      <c r="A27" s="42" t="s">
        <v>19</v>
      </c>
      <c r="B27" s="43"/>
      <c r="C27" s="44"/>
      <c r="D27" s="45"/>
      <c r="E27" s="46"/>
      <c r="F27" s="47"/>
      <c r="G27" s="56"/>
      <c r="H27" s="48"/>
      <c r="J27" s="49"/>
      <c r="K27" s="50"/>
      <c r="L27" s="48"/>
    </row>
  </sheetData>
  <sheetProtection selectLockedCells="1"/>
  <mergeCells count="10">
    <mergeCell ref="A24:J24"/>
    <mergeCell ref="A2:L2"/>
    <mergeCell ref="A6:J6"/>
    <mergeCell ref="A7:L7"/>
    <mergeCell ref="A22:L22"/>
    <mergeCell ref="A11:J11"/>
    <mergeCell ref="A17:L17"/>
    <mergeCell ref="A21:J21"/>
    <mergeCell ref="A12:L12"/>
    <mergeCell ref="A16:J16"/>
  </mergeCells>
  <pageMargins left="0.2" right="0.2" top="0.25" bottom="0.2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F32C8-9D2E-4082-AD00-A62C604FD736}">
  <dimension ref="A1:I42"/>
  <sheetViews>
    <sheetView workbookViewId="0">
      <selection activeCell="E22" sqref="E22"/>
    </sheetView>
  </sheetViews>
  <sheetFormatPr defaultRowHeight="13.8" x14ac:dyDescent="0.25"/>
  <cols>
    <col min="1" max="1" width="8.88671875" style="60"/>
    <col min="2" max="2" width="29.21875" style="60" customWidth="1"/>
    <col min="3" max="3" width="15.77734375" style="60" customWidth="1"/>
    <col min="4" max="4" width="8.88671875" style="60"/>
    <col min="5" max="5" width="29.21875" style="60" customWidth="1"/>
    <col min="6" max="6" width="15.77734375" style="60" customWidth="1"/>
    <col min="7" max="7" width="8.88671875" style="60"/>
    <col min="8" max="8" width="29.21875" style="60" customWidth="1"/>
    <col min="9" max="9" width="15.77734375" style="60" customWidth="1"/>
    <col min="10" max="16384" width="8.88671875" style="60"/>
  </cols>
  <sheetData>
    <row r="1" spans="1:9" s="62" customFormat="1" ht="27.6" x14ac:dyDescent="0.25">
      <c r="A1" s="61" t="s">
        <v>39</v>
      </c>
      <c r="C1" s="63" t="s">
        <v>66</v>
      </c>
      <c r="D1" s="61" t="s">
        <v>40</v>
      </c>
      <c r="F1" s="63" t="s">
        <v>66</v>
      </c>
      <c r="G1" s="62" t="s">
        <v>55</v>
      </c>
      <c r="I1" s="63" t="s">
        <v>66</v>
      </c>
    </row>
    <row r="2" spans="1:9" x14ac:dyDescent="0.25">
      <c r="A2" s="59"/>
      <c r="B2" s="60" t="s">
        <v>26</v>
      </c>
      <c r="C2" s="64">
        <f>SUM(76.75/173)</f>
        <v>0.44364161849710981</v>
      </c>
      <c r="E2" s="60" t="s">
        <v>41</v>
      </c>
      <c r="F2" s="64">
        <f>SUM(83.98/173)</f>
        <v>0.4854335260115607</v>
      </c>
      <c r="H2" s="60" t="s">
        <v>56</v>
      </c>
      <c r="I2" s="64">
        <f>SUM(56.22/173)</f>
        <v>0.32497109826589593</v>
      </c>
    </row>
    <row r="3" spans="1:9" x14ac:dyDescent="0.25">
      <c r="A3" s="59"/>
      <c r="B3" s="60" t="s">
        <v>27</v>
      </c>
      <c r="C3" s="64">
        <v>1</v>
      </c>
      <c r="E3" s="60" t="s">
        <v>42</v>
      </c>
      <c r="F3" s="64">
        <v>0.67</v>
      </c>
      <c r="H3" s="60" t="s">
        <v>57</v>
      </c>
      <c r="I3" s="64">
        <f>SUM(64.53/173)</f>
        <v>0.3730057803468208</v>
      </c>
    </row>
    <row r="4" spans="1:9" x14ac:dyDescent="0.25">
      <c r="A4" s="59"/>
      <c r="B4" s="60" t="s">
        <v>28</v>
      </c>
      <c r="C4" s="64">
        <v>0.31</v>
      </c>
      <c r="E4" s="60" t="s">
        <v>43</v>
      </c>
      <c r="F4" s="64">
        <f>SUM(72.67/173)</f>
        <v>0.42005780346820809</v>
      </c>
      <c r="H4" s="60" t="s">
        <v>58</v>
      </c>
      <c r="I4" s="64">
        <f>SUM(79.38/173)</f>
        <v>0.45884393063583812</v>
      </c>
    </row>
    <row r="5" spans="1:9" x14ac:dyDescent="0.25">
      <c r="A5" s="59"/>
      <c r="B5" s="60" t="s">
        <v>29</v>
      </c>
      <c r="C5" s="64">
        <v>0.27</v>
      </c>
      <c r="E5" s="60" t="s">
        <v>44</v>
      </c>
      <c r="F5" s="64">
        <v>0.56999999999999995</v>
      </c>
      <c r="H5" s="60" t="s">
        <v>59</v>
      </c>
      <c r="I5" s="64">
        <f>SUM(1.14/8)</f>
        <v>0.14249999999999999</v>
      </c>
    </row>
    <row r="6" spans="1:9" x14ac:dyDescent="0.25">
      <c r="A6" s="59"/>
      <c r="B6" s="60" t="s">
        <v>30</v>
      </c>
      <c r="C6" s="64">
        <f>SUM(208.38/173)</f>
        <v>1.2045086705202313</v>
      </c>
      <c r="E6" s="60" t="s">
        <v>45</v>
      </c>
      <c r="F6" s="64">
        <f>SUM(2.49/8)</f>
        <v>0.31125000000000003</v>
      </c>
      <c r="H6" s="60" t="s">
        <v>60</v>
      </c>
      <c r="I6" s="64"/>
    </row>
    <row r="7" spans="1:9" x14ac:dyDescent="0.25">
      <c r="A7" s="59"/>
      <c r="B7" s="60" t="s">
        <v>31</v>
      </c>
      <c r="C7" s="64"/>
      <c r="E7" s="60" t="s">
        <v>46</v>
      </c>
      <c r="F7" s="64">
        <f>SUM(24/173)</f>
        <v>0.13872832369942195</v>
      </c>
      <c r="H7" s="60" t="s">
        <v>61</v>
      </c>
      <c r="I7" s="64">
        <f>SUM(67.84/173)</f>
        <v>0.39213872832369945</v>
      </c>
    </row>
    <row r="8" spans="1:9" x14ac:dyDescent="0.25">
      <c r="A8" s="59"/>
      <c r="B8" s="60" t="s">
        <v>32</v>
      </c>
      <c r="C8" s="64">
        <f>SUM(52.15/173)</f>
        <v>0.30144508670520231</v>
      </c>
      <c r="E8" s="60" t="s">
        <v>47</v>
      </c>
      <c r="F8" s="64">
        <f>SUM(242.24/173)</f>
        <v>1.4002312138728323</v>
      </c>
      <c r="H8" s="60" t="s">
        <v>62</v>
      </c>
      <c r="I8" s="64">
        <v>7.2999999999999995E-2</v>
      </c>
    </row>
    <row r="9" spans="1:9" x14ac:dyDescent="0.25">
      <c r="A9" s="59"/>
      <c r="B9" s="60" t="s">
        <v>33</v>
      </c>
      <c r="C9" s="64">
        <v>1.2</v>
      </c>
      <c r="E9" s="60" t="s">
        <v>48</v>
      </c>
      <c r="F9" s="64">
        <f>SUM(95.28/173)</f>
        <v>0.55075144508670526</v>
      </c>
      <c r="H9" s="60" t="s">
        <v>63</v>
      </c>
      <c r="I9" s="64">
        <f>SUM(0.38/173)</f>
        <v>2.1965317919075147E-3</v>
      </c>
    </row>
    <row r="10" spans="1:9" x14ac:dyDescent="0.25">
      <c r="A10" s="59"/>
      <c r="B10" s="60" t="s">
        <v>34</v>
      </c>
      <c r="C10" s="64">
        <v>0.26</v>
      </c>
      <c r="E10" s="60" t="s">
        <v>49</v>
      </c>
      <c r="F10" s="64">
        <v>0.59</v>
      </c>
      <c r="H10" s="60" t="s">
        <v>64</v>
      </c>
      <c r="I10" s="64"/>
    </row>
    <row r="11" spans="1:9" x14ac:dyDescent="0.25">
      <c r="A11" s="59"/>
      <c r="B11" s="60" t="s">
        <v>35</v>
      </c>
      <c r="C11" s="64">
        <v>0.78</v>
      </c>
      <c r="E11" s="60" t="s">
        <v>50</v>
      </c>
      <c r="F11" s="64">
        <f>SUM(64.6/173)</f>
        <v>0.37341040462427744</v>
      </c>
      <c r="H11" s="60" t="s">
        <v>65</v>
      </c>
      <c r="I11" s="64">
        <f>SUM(35.57/173)</f>
        <v>0.20560693641618497</v>
      </c>
    </row>
    <row r="12" spans="1:9" x14ac:dyDescent="0.25">
      <c r="A12" s="59"/>
      <c r="B12" s="60" t="s">
        <v>36</v>
      </c>
      <c r="C12" s="64">
        <v>1.87</v>
      </c>
      <c r="E12" s="60" t="s">
        <v>51</v>
      </c>
      <c r="F12" s="64">
        <f>SUM(77.3/173)</f>
        <v>0.44682080924855488</v>
      </c>
      <c r="H12" s="70" t="s">
        <v>71</v>
      </c>
      <c r="I12" s="71">
        <f>AVERAGE(I2:I11)</f>
        <v>0.24653287572254334</v>
      </c>
    </row>
    <row r="13" spans="1:9" x14ac:dyDescent="0.25">
      <c r="A13" s="59"/>
      <c r="B13" s="60" t="s">
        <v>37</v>
      </c>
      <c r="C13" s="64">
        <v>0.38</v>
      </c>
      <c r="E13" s="60" t="s">
        <v>52</v>
      </c>
      <c r="F13" s="64">
        <f>SUM(4.99/173)</f>
        <v>2.8843930635838153E-2</v>
      </c>
    </row>
    <row r="14" spans="1:9" x14ac:dyDescent="0.25">
      <c r="A14" s="59"/>
      <c r="B14" s="60" t="s">
        <v>38</v>
      </c>
      <c r="C14" s="64">
        <f>SUM(150/173)</f>
        <v>0.86705202312138729</v>
      </c>
      <c r="E14" s="60" t="s">
        <v>53</v>
      </c>
      <c r="F14" s="64">
        <f>SUM(84.78/173)</f>
        <v>0.4900578034682081</v>
      </c>
    </row>
    <row r="15" spans="1:9" x14ac:dyDescent="0.25">
      <c r="A15" s="59"/>
      <c r="B15" s="70" t="s">
        <v>71</v>
      </c>
      <c r="C15" s="71">
        <f>AVERAGE(C2:C14)</f>
        <v>0.74055394990366086</v>
      </c>
      <c r="E15" s="60" t="s">
        <v>54</v>
      </c>
      <c r="F15" s="64">
        <f>SUM(47.37/173)</f>
        <v>0.27381502890173409</v>
      </c>
    </row>
    <row r="16" spans="1:9" x14ac:dyDescent="0.25">
      <c r="A16" s="59"/>
      <c r="E16" s="70" t="s">
        <v>71</v>
      </c>
      <c r="F16" s="71">
        <f>AVERAGE(F2:F15)</f>
        <v>0.48210002064409579</v>
      </c>
    </row>
    <row r="17" spans="1:3" x14ac:dyDescent="0.25">
      <c r="A17" s="59"/>
    </row>
    <row r="18" spans="1:3" x14ac:dyDescent="0.25">
      <c r="A18" s="59"/>
      <c r="B18" s="68" t="s">
        <v>72</v>
      </c>
      <c r="C18" s="69">
        <f>AVERAGE(C15,F16,I12)</f>
        <v>0.48972894875676665</v>
      </c>
    </row>
    <row r="19" spans="1:3" x14ac:dyDescent="0.25">
      <c r="A19" s="59"/>
      <c r="B19" s="67"/>
      <c r="C19" s="66"/>
    </row>
    <row r="20" spans="1:3" x14ac:dyDescent="0.25">
      <c r="B20" s="60" t="s">
        <v>73</v>
      </c>
    </row>
    <row r="21" spans="1:3" x14ac:dyDescent="0.25">
      <c r="A21" s="59"/>
    </row>
    <row r="22" spans="1:3" x14ac:dyDescent="0.25">
      <c r="A22" s="65" t="s">
        <v>70</v>
      </c>
    </row>
    <row r="23" spans="1:3" x14ac:dyDescent="0.25">
      <c r="A23" s="59"/>
      <c r="B23" s="60" t="s">
        <v>67</v>
      </c>
    </row>
    <row r="24" spans="1:3" x14ac:dyDescent="0.25">
      <c r="A24" s="59"/>
      <c r="B24" s="60" t="s">
        <v>68</v>
      </c>
    </row>
    <row r="25" spans="1:3" x14ac:dyDescent="0.25">
      <c r="B25" s="60" t="s">
        <v>69</v>
      </c>
    </row>
    <row r="27" spans="1:3" x14ac:dyDescent="0.25">
      <c r="A27" s="65" t="s">
        <v>88</v>
      </c>
    </row>
    <row r="28" spans="1:3" x14ac:dyDescent="0.25">
      <c r="A28" s="59"/>
    </row>
    <row r="29" spans="1:3" x14ac:dyDescent="0.25">
      <c r="B29" s="59" t="s">
        <v>74</v>
      </c>
    </row>
    <row r="30" spans="1:3" x14ac:dyDescent="0.25">
      <c r="B30" s="59" t="s">
        <v>75</v>
      </c>
    </row>
    <row r="31" spans="1:3" x14ac:dyDescent="0.25">
      <c r="B31" s="59" t="s">
        <v>76</v>
      </c>
    </row>
    <row r="32" spans="1:3" x14ac:dyDescent="0.25">
      <c r="B32" s="59" t="s">
        <v>77</v>
      </c>
    </row>
    <row r="33" spans="2:2" x14ac:dyDescent="0.25">
      <c r="B33" s="59" t="s">
        <v>78</v>
      </c>
    </row>
    <row r="34" spans="2:2" x14ac:dyDescent="0.25">
      <c r="B34" s="59" t="s">
        <v>79</v>
      </c>
    </row>
    <row r="35" spans="2:2" x14ac:dyDescent="0.25">
      <c r="B35" s="59" t="s">
        <v>80</v>
      </c>
    </row>
    <row r="36" spans="2:2" x14ac:dyDescent="0.25">
      <c r="B36" s="59" t="s">
        <v>81</v>
      </c>
    </row>
    <row r="37" spans="2:2" x14ac:dyDescent="0.25">
      <c r="B37" s="59" t="s">
        <v>82</v>
      </c>
    </row>
    <row r="38" spans="2:2" x14ac:dyDescent="0.25">
      <c r="B38" s="59" t="s">
        <v>83</v>
      </c>
    </row>
    <row r="39" spans="2:2" x14ac:dyDescent="0.25">
      <c r="B39" s="59" t="s">
        <v>84</v>
      </c>
    </row>
    <row r="40" spans="2:2" x14ac:dyDescent="0.25">
      <c r="B40" s="59" t="s">
        <v>85</v>
      </c>
    </row>
    <row r="41" spans="2:2" x14ac:dyDescent="0.25">
      <c r="B41" s="59" t="s">
        <v>86</v>
      </c>
    </row>
    <row r="42" spans="2:2" x14ac:dyDescent="0.25">
      <c r="B42" s="59" t="s">
        <v>87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Total Burden for SSA</vt:lpstr>
      <vt:lpstr>Foreign Governments</vt:lpstr>
      <vt:lpstr>'Total Burden for SSA'!Print_Area</vt:lpstr>
    </vt:vector>
  </TitlesOfParts>
  <Company>U.S. Fish &amp;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Baucum, Madonna L</dc:creator>
  <cp:lastModifiedBy>Baucum, Madonna L</cp:lastModifiedBy>
  <cp:lastPrinted>2019-07-31T11:17:34Z</cp:lastPrinted>
  <dcterms:created xsi:type="dcterms:W3CDTF">2017-01-24T15:36:07Z</dcterms:created>
  <dcterms:modified xsi:type="dcterms:W3CDTF">2026-09-21T20:41:16Z</dcterms:modified>
</cp:coreProperties>
</file>