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template.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3.xml" ContentType="application/vnd.openxmlformats-officedocument.spreadsheetml.table+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tables/table4.xml" ContentType="application/vnd.openxmlformats-officedocument.spreadsheetml.table+xml"/>
  <Override PartName="/xl/tables/table5.xml" ContentType="application/vnd.openxmlformats-officedocument.spreadsheetml.table+xml"/>
  <Override PartName="/xl/drawings/drawing4.xml" ContentType="application/vnd.openxmlformats-officedocument.drawing+xml"/>
  <Override PartName="/xl/tables/table6.xml" ContentType="application/vnd.openxmlformats-officedocument.spreadsheetml.table+xml"/>
  <Override PartName="/xl/tables/table7.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codeName="{AE6600E7-7A62-396C-DE95-9942FA9DD81E}"/>
  <workbookPr filterPrivacy="1" codeName="ThisWorkbook" defaultThemeVersion="166925"/>
  <xr:revisionPtr revIDLastSave="0" documentId="8_{AF73E20B-0BD5-46FE-9D9F-479279B1BE8B}" xr6:coauthVersionLast="47" xr6:coauthVersionMax="47" xr10:uidLastSave="{00000000-0000-0000-0000-000000000000}"/>
  <bookViews>
    <workbookView xWindow="-120" yWindow="-120" windowWidth="29040" windowHeight="15720" tabRatio="763" xr2:uid="{96995845-3E52-4C0F-ADA7-6C9BA281A799}"/>
  </bookViews>
  <sheets>
    <sheet name="Instructions" sheetId="8" r:id="rId1"/>
    <sheet name="Data Dictionary" sheetId="32" r:id="rId2"/>
    <sheet name="Required Inputs" sheetId="33" r:id="rId3"/>
    <sheet name="(1) Vessel Inputs" sheetId="1" r:id="rId4"/>
    <sheet name="(2) Facility Inputs" sheetId="4" r:id="rId5"/>
    <sheet name="(3) Cost Inputs" sheetId="30" r:id="rId6"/>
    <sheet name="Output" sheetId="31" r:id="rId7"/>
    <sheet name="Screening Analysis --&gt;" sheetId="14" r:id="rId8"/>
    <sheet name="Demand" sheetId="2" r:id="rId9"/>
    <sheet name="Capacity" sheetId="17" r:id="rId10"/>
    <sheet name="Demand Scenario" sheetId="21" r:id="rId11"/>
    <sheet name="Cost Analysis --&gt;" sheetId="15" r:id="rId12"/>
    <sheet name="Compliance Costs" sheetId="18" r:id="rId13"/>
    <sheet name="Assumptions --&gt;" sheetId="11" r:id="rId14"/>
    <sheet name="Sewage Gen &amp; Pumpout Int" sheetId="6" r:id="rId15"/>
    <sheet name="Pumpout Fac Assumptions" sheetId="16" r:id="rId16"/>
    <sheet name="Bsln Cost Assumptions" sheetId="24" r:id="rId17"/>
    <sheet name="Compliance Cost Assumptions" sheetId="19" r:id="rId18"/>
    <sheet name="BLS PPI" sheetId="26" r:id="rId19"/>
  </sheets>
  <definedNames>
    <definedName name="AnnualCost_Ferry">'Bsln Cost Assumptions'!$B$39</definedName>
    <definedName name="AnnualCost_Fish">'Bsln Cost Assumptions'!$B$102</definedName>
    <definedName name="AnnualCosts_Excursion">'Bsln Cost Assumptions'!$B$107</definedName>
    <definedName name="AnnualCosts_Tug">'Bsln Cost Assumptions'!$C$79</definedName>
    <definedName name="AssumpTable_Fac">'Pumpout Fac Assumptions'!$A$4:$E$7</definedName>
    <definedName name="Assumptions">'Sewage Gen &amp; Pumpout Int'!$A$20:$B$41</definedName>
    <definedName name="Avg_WkgFlow">Capacity!$E$14</definedName>
    <definedName name="AvgFacUseCost">'(2) Facility Inputs'!$S$13</definedName>
    <definedName name="Base_Fee">'(2) Facility Inputs'!$S$8</definedName>
    <definedName name="Base_Gallons">'(2) Facility Inputs'!$U$8</definedName>
    <definedName name="Buffer">'(1) Vessel Inputs'!$W$8</definedName>
    <definedName name="Capacity_End_Col">Capacity!$Z$7</definedName>
    <definedName name="Capacity_End_Table">Capacity!$A$12</definedName>
    <definedName name="Capacity_First_Row">Capacity!$A$8:$Z$8</definedName>
    <definedName name="Capacity_Start_FacCostCols">Capacity!$V$7</definedName>
    <definedName name="Capacity_Start_Table">Capacity!$A$7</definedName>
    <definedName name="Capacity_Start_Table_Row">Capacity!$A$8:$Z$8</definedName>
    <definedName name="Closing_Month">'(2) Facility Inputs'!$K$8</definedName>
    <definedName name="Col_AssumpFac_AvgTankCap">'Pumpout Fac Assumptions'!$D$2</definedName>
    <definedName name="Col_AssumpFac_ClsMonth">'Pumpout Fac Assumptions'!#REF!</definedName>
    <definedName name="Col_AssumpFac_OpMonth">'Pumpout Fac Assumptions'!#REF!</definedName>
    <definedName name="Col_AssumpFac_WorkFlow">'Pumpout Fac Assumptions'!$E$2</definedName>
    <definedName name="Col_Buffer">'(1) Vessel Inputs'!$W$7</definedName>
    <definedName name="Col_Dem_CrewPass">Demand!$C$6</definedName>
    <definedName name="Col_Dem_DaysBtwnPump">Demand!$E$6</definedName>
    <definedName name="Col_Dem_NoVessels">Demand!$B$6</definedName>
    <definedName name="Col_Demand_PerPumpout">Demand!$F$6</definedName>
    <definedName name="Col_Input_AvgDays">'(1) Vessel Inputs'!$Q$7</definedName>
    <definedName name="Col_Input_BslnCosts">'(3) Cost Inputs'!$B$6</definedName>
    <definedName name="Col_Input_CrewPass">'(1) Vessel Inputs'!$M$7</definedName>
    <definedName name="Col_Input_Distance">'(1) Vessel Inputs'!$S$7</definedName>
    <definedName name="Col_Input_FuelCons">'(3) Cost Inputs'!$F$6</definedName>
    <definedName name="Col_Input_FuelPrice">'(3) Cost Inputs'!$J$6</definedName>
    <definedName name="Col_Input_HrlyRev">'(3) Cost Inputs'!$H$6</definedName>
    <definedName name="Col_Input_Num">'(1) Vessel Inputs'!$C$7</definedName>
    <definedName name="Col_Input_SeasonEnd">'(1) Vessel Inputs'!$G$7</definedName>
    <definedName name="Col_Input_SeasonEnd2">'(1) Vessel Inputs'!$K$7</definedName>
    <definedName name="Col_Input_SeasonStart">'(1) Vessel Inputs'!$E$7</definedName>
    <definedName name="Col_Input_SeasonStart2">'(1) Vessel Inputs'!$I$7</definedName>
    <definedName name="Col_Input_SewGen">'(1) Vessel Inputs'!$O$7</definedName>
    <definedName name="Col_Input_Speed">'(3) Cost Inputs'!$D$6</definedName>
    <definedName name="Col_Percent_Holdingtank">'(1) Vessel Inputs'!$U$7</definedName>
    <definedName name="ComplCosts_End_Col">'Compliance Costs'!$F$6</definedName>
    <definedName name="ComplCosts_End_Table">'Compliance Costs'!$A$44</definedName>
    <definedName name="ComplCosts_Start_Col">'Compliance Costs'!$B$6</definedName>
    <definedName name="Costs_End_Table">'(3) Cost Inputs'!$A$12</definedName>
    <definedName name="Costs_First_Row">'(3) Cost Inputs'!$A$8:$L$8</definedName>
    <definedName name="Costs_Start_Table">'(3) Cost Inputs'!$A$7</definedName>
    <definedName name="Crew_Passengers">'(1) Vessel Inputs'!$M$8</definedName>
    <definedName name="Days_Operation">'(2) Facility Inputs'!$G$8</definedName>
    <definedName name="Default_Baseline_Cost">IF('(3) Cost Inputs'!$A1="Tugboats",AnnualCosts_Tug,IF('(3) Cost Inputs'!$A1="Commercial Fishing Vessels",AnnualCost_Fish,IF('(3) Cost Inputs'!$A1="Excursion",AnnualCosts_Excursion,IF('(3) Cost Inputs'!$A1="Ferries",AnnualCost_Ferry,"Unknown; user input required"))))</definedName>
    <definedName name="Default_Closing_Month">12</definedName>
    <definedName name="Default_Crew_Passenger">IFERROR(VLOOKUP('(1) Vessel Inputs'!$A1,NationalData,8,FALSE),"Enter vessel class")</definedName>
    <definedName name="Default_Distance_Traveled">0</definedName>
    <definedName name="Default_End_Date">IFERROR('(1) Vessel Inputs'!$E1+VLOOKUP('(1) Vessel Inputs'!$A1,NationalData,9,FALSE),"Enter vessel class")</definedName>
    <definedName name="Default_Fuel_Consumption">IFERROR(VLOOKUP('(3) Cost Inputs'!$A1,Fuel,4,FALSE),"Unknown; user input required")</definedName>
    <definedName name="Default_Fuel_Price">FuelPrice</definedName>
    <definedName name="Default_Hourly_Revenue">IFERROR(VLOOKUP('(3) Cost Inputs'!$A1,Revenue,4,FALSE),"Unknown; user input required")</definedName>
    <definedName name="Default_Opening_Month">1</definedName>
    <definedName name="Default_Percent_Holding_Tank">IFERROR(VLOOKUP('(1) Vessel Inputs'!$A1,NationalData,7,FALSE),"Enter vessel class")</definedName>
    <definedName name="Default_Pumpout_Interval">IF('(1) Vessel Inputs'!$A1="","Enter vessel class",IFERROR(VLOOKUP('(1) Vessel Inputs'!$A1,Table_PumpoutInt,2,FALSE),"Unknown; user input required"))</definedName>
    <definedName name="Default_Retrofit_Cost">IFERROR(VLOOKUP('(3) Cost Inputs'!$A1,Retrofit,4,FALSE),"Unknown; user input required")</definedName>
    <definedName name="Default_Sewage">IFERROR(VLOOKUP('(1) Vessel Inputs'!$A1,NationalData,10,FALSE),"Enter vessel class")</definedName>
    <definedName name="Default_Start_Date">IFERROR(183-ROUND(VLOOKUP('(1) Vessel Inputs'!$A1,NationalData,9,FALSE)/2,0),"Enter vessel class")</definedName>
    <definedName name="Default_Tank_Capacity">IF('(2) Facility Inputs'!$M1="","Select sewer connection",IF('(2) Facility Inputs'!$C1="","Select facility type",IF('(2) Facility Inputs'!$M1="Yes","n/a",VLOOKUP('(2) Facility Inputs'!$C1,Facility_assumptions,Col_AssumpFac_AvgTankCap,FALSE))))</definedName>
    <definedName name="Default_Vessel_Speed">IFERROR(VLOOKUP('(3) Cost Inputs'!$A1,Speed,4,FALSE),"Unknown; user input required")</definedName>
    <definedName name="Default_Working_Flow">88</definedName>
    <definedName name="Demand_End_Table">Demand!$A$12</definedName>
    <definedName name="Demand_First_Row">Demand!$A$8:$I$8</definedName>
    <definedName name="Demand_Start_Table">Demand!$A$7</definedName>
    <definedName name="DiscountRate">'Compliance Costs'!$C$5</definedName>
    <definedName name="Distance_Traveled">'(1) Vessel Inputs'!$S$8</definedName>
    <definedName name="End_Date">'(1) Vessel Inputs'!$G$8</definedName>
    <definedName name="Facilities_End_Table">'(2) Facility Inputs'!$A$13</definedName>
    <definedName name="Facilities_Start_Table">'(2) Facility Inputs'!$A$8</definedName>
    <definedName name="Facilities_Start_Table_Row">'(2) Facility Inputs'!$A$8:$Z$8</definedName>
    <definedName name="Facility_assumptions">'Pumpout Fac Assumptions'!$A$3:$E$7</definedName>
    <definedName name="Facility_Type">'(2) Facility Inputs'!$C$8</definedName>
    <definedName name="Facs_First_Row">'(2) Facility Inputs'!$A$9:$Z$9</definedName>
    <definedName name="Fee">'(2) Facility Inputs'!$W$8</definedName>
    <definedName name="Fuel">'Compliance Cost Assumptions'!$A$18:$D$21</definedName>
    <definedName name="Fuel_Consumption">'(3) Cost Inputs'!$F$7</definedName>
    <definedName name="Fuel_Price">'(3) Cost Inputs'!$J$7</definedName>
    <definedName name="FuelPrice">'Compliance Cost Assumptions'!$B$6</definedName>
    <definedName name="Hourly_Revenue">'(3) Cost Inputs'!$H$7</definedName>
    <definedName name="Hours_Operation">'(2) Facility Inputs'!$E$8</definedName>
    <definedName name="Input_FuelPrice">'(3) Cost Inputs'!$B$15</definedName>
    <definedName name="InputTable_Facs">'(2) Facility Inputs'!$A$9:$X$11</definedName>
    <definedName name="InputTable_VesselClass">'(1) Vessel Inputs'!$A$7:$Y$13</definedName>
    <definedName name="NationalData">'Sewage Gen &amp; Pumpout Int'!$A$4:$K$15</definedName>
    <definedName name="Opening_Month">'(2) Facility Inputs'!$I$8</definedName>
    <definedName name="Operating_Cost">'(3) Cost Inputs'!$B$7</definedName>
    <definedName name="OutputCosts_End_Col">Output!$M$7</definedName>
    <definedName name="OutputCosts_End_Table">Output!$H$24</definedName>
    <definedName name="OutputCosts_Start_Col">Output!$I$7</definedName>
    <definedName name="Percent_HT">'(1) Vessel Inputs'!$U$8</definedName>
    <definedName name="PPI_2004">'BLS PPI'!$O$16</definedName>
    <definedName name="PPI_2010">'BLS PPI'!$O$22</definedName>
    <definedName name="PPI_2011">'BLS PPI'!$O$23</definedName>
    <definedName name="PPI_2019">'BLS PPI'!$O$31</definedName>
    <definedName name="PPI_2020">'BLS PPI'!$O$32</definedName>
    <definedName name="Pumpout_Interval">'(1) Vessel Inputs'!$Q$8</definedName>
    <definedName name="Required_Inputs">'Required Inputs'!$A$5:$E$34</definedName>
    <definedName name="Required_Vessel_Inputs">'Required Inputs'!$A$5:$E$34</definedName>
    <definedName name="Revenue">'Compliance Cost Assumptions'!$A$13:$D$16</definedName>
    <definedName name="Row_ComplCosts">'Compliance Costs'!$A$6:A$6</definedName>
    <definedName name="Scenario_End_Col">'Demand Scenario'!$G$5</definedName>
    <definedName name="Scenario_End_Table">'Demand Scenario'!$A$379</definedName>
    <definedName name="Scenario_Start_Col">'Demand Scenario'!$C$5</definedName>
    <definedName name="SeasonStats">'Demand Scenario'!$B$5:$H$11</definedName>
    <definedName name="SeasonStats_col1">'Demand Scenario'!$B$5:$B$11</definedName>
    <definedName name="SeasonStats_row1">'Demand Scenario'!$B$5:$H$5</definedName>
    <definedName name="Sewage_Rate">'(1) Vessel Inputs'!$O$8</definedName>
    <definedName name="Sewer">'(2) Facility Inputs'!$M$8</definedName>
    <definedName name="solver_adj" localSheetId="10" hidden="1">'Demand Scenario'!#REF!,'Demand Scenario'!#REF!,'Demand Scenario'!#REF!,'Demand Scenario'!#REF!</definedName>
    <definedName name="solver_cvg" localSheetId="10" hidden="1">0.0001</definedName>
    <definedName name="solver_drv" localSheetId="10" hidden="1">2</definedName>
    <definedName name="solver_eng" localSheetId="10" hidden="1">1</definedName>
    <definedName name="solver_est" localSheetId="10" hidden="1">1</definedName>
    <definedName name="solver_itr" localSheetId="10" hidden="1">2147483647</definedName>
    <definedName name="solver_lhs1" localSheetId="10" hidden="1">'Demand Scenario'!#REF!</definedName>
    <definedName name="solver_lhs10" localSheetId="10" hidden="1">'Demand Scenario'!#REF!</definedName>
    <definedName name="solver_lhs11" localSheetId="10" hidden="1">'Demand Scenario'!#REF!</definedName>
    <definedName name="solver_lhs12" localSheetId="10" hidden="1">'Demand Scenario'!#REF!</definedName>
    <definedName name="solver_lhs2" localSheetId="10" hidden="1">'Demand Scenario'!#REF!</definedName>
    <definedName name="solver_lhs3" localSheetId="10" hidden="1">'Demand Scenario'!#REF!</definedName>
    <definedName name="solver_lhs4" localSheetId="10" hidden="1">'Demand Scenario'!#REF!</definedName>
    <definedName name="solver_lhs5" localSheetId="10" hidden="1">'Demand Scenario'!#REF!</definedName>
    <definedName name="solver_lhs6" localSheetId="10" hidden="1">'Demand Scenario'!#REF!</definedName>
    <definedName name="solver_lhs7" localSheetId="10" hidden="1">'Demand Scenario'!#REF!</definedName>
    <definedName name="solver_lhs8" localSheetId="10" hidden="1">'Demand Scenario'!#REF!</definedName>
    <definedName name="solver_lhs9" localSheetId="10" hidden="1">'Demand Scenario'!#REF!</definedName>
    <definedName name="solver_mip" localSheetId="10" hidden="1">2147483647</definedName>
    <definedName name="solver_mni" localSheetId="10" hidden="1">30</definedName>
    <definedName name="solver_mrt" localSheetId="10" hidden="1">0.075</definedName>
    <definedName name="solver_msl" localSheetId="10" hidden="1">2</definedName>
    <definedName name="solver_neg" localSheetId="10" hidden="1">1</definedName>
    <definedName name="solver_nod" localSheetId="10" hidden="1">2147483647</definedName>
    <definedName name="solver_num" localSheetId="10" hidden="1">12</definedName>
    <definedName name="solver_nwt" localSheetId="10" hidden="1">1</definedName>
    <definedName name="solver_opt" localSheetId="10" hidden="1">'Demand Scenario'!#REF!</definedName>
    <definedName name="solver_pre" localSheetId="10" hidden="1">0.000001</definedName>
    <definedName name="solver_rbv" localSheetId="10" hidden="1">2</definedName>
    <definedName name="solver_rel1" localSheetId="10" hidden="1">2</definedName>
    <definedName name="solver_rel10" localSheetId="10" hidden="1">2</definedName>
    <definedName name="solver_rel11" localSheetId="10" hidden="1">1</definedName>
    <definedName name="solver_rel12" localSheetId="10" hidden="1">3</definedName>
    <definedName name="solver_rel2" localSheetId="10" hidden="1">1</definedName>
    <definedName name="solver_rel3" localSheetId="10" hidden="1">3</definedName>
    <definedName name="solver_rel4" localSheetId="10" hidden="1">2</definedName>
    <definedName name="solver_rel5" localSheetId="10" hidden="1">1</definedName>
    <definedName name="solver_rel6" localSheetId="10" hidden="1">3</definedName>
    <definedName name="solver_rel7" localSheetId="10" hidden="1">2</definedName>
    <definedName name="solver_rel8" localSheetId="10" hidden="1">1</definedName>
    <definedName name="solver_rel9" localSheetId="10" hidden="1">3</definedName>
    <definedName name="solver_rhs1" localSheetId="10" hidden="1">1</definedName>
    <definedName name="solver_rhs10" localSheetId="10" hidden="1">1</definedName>
    <definedName name="solver_rhs11" localSheetId="10" hidden="1">1</definedName>
    <definedName name="solver_rhs12" localSheetId="10" hidden="1">0</definedName>
    <definedName name="solver_rhs2" localSheetId="10" hidden="1">1</definedName>
    <definedName name="solver_rhs3" localSheetId="10" hidden="1">0</definedName>
    <definedName name="solver_rhs4" localSheetId="10" hidden="1">1</definedName>
    <definedName name="solver_rhs5" localSheetId="10" hidden="1">1</definedName>
    <definedName name="solver_rhs6" localSheetId="10" hidden="1">0</definedName>
    <definedName name="solver_rhs7" localSheetId="10" hidden="1">1</definedName>
    <definedName name="solver_rhs8" localSheetId="10" hidden="1">1</definedName>
    <definedName name="solver_rhs9" localSheetId="10" hidden="1">0</definedName>
    <definedName name="solver_rlx" localSheetId="10" hidden="1">2</definedName>
    <definedName name="solver_rsd" localSheetId="10" hidden="1">0</definedName>
    <definedName name="solver_scl" localSheetId="10" hidden="1">2</definedName>
    <definedName name="solver_sho" localSheetId="10" hidden="1">2</definedName>
    <definedName name="solver_ssz" localSheetId="10" hidden="1">100</definedName>
    <definedName name="solver_tim" localSheetId="10" hidden="1">2147483647</definedName>
    <definedName name="solver_tol" localSheetId="10" hidden="1">0.01</definedName>
    <definedName name="solver_typ" localSheetId="10" hidden="1">2</definedName>
    <definedName name="solver_val" localSheetId="10" hidden="1">0</definedName>
    <definedName name="solver_ver" localSheetId="10" hidden="1">3</definedName>
    <definedName name="Speed">'Compliance Cost Assumptions'!$A$8:$D$11</definedName>
    <definedName name="Start_Date">'(1) Vessel Inputs'!$E$8</definedName>
    <definedName name="Table_ComplCosts">'Compliance Costs'!$A$6:G$44</definedName>
    <definedName name="Table_Costs_FuelCons">'Compliance Cost Assumptions'!$A$17:$D$21</definedName>
    <definedName name="Table_Costs_HourlyRev">'Compliance Cost Assumptions'!$A$12:$D$16</definedName>
    <definedName name="Table_Costs_VesselSpeed">'Compliance Cost Assumptions'!$A$7:$D$11</definedName>
    <definedName name="Table_Demand">Demand!$A$8:$I$12</definedName>
    <definedName name="Table_Inputs_Costs">'(3) Cost Inputs'!$A$7:$L$12</definedName>
    <definedName name="Table_PumpoutInt">'Sewage Gen &amp; Pumpout Int'!$A$22:$B$25</definedName>
    <definedName name="Tank_Capacity">'(2) Facility Inputs'!$O$8</definedName>
    <definedName name="Total_WF">'(2) Facility Inputs'!$Q$8</definedName>
    <definedName name="Vessel_Speed">'(3) Cost Inputs'!$D$7</definedName>
    <definedName name="Vessels_End_Table">'(1) Vessel Inputs'!$A$13</definedName>
    <definedName name="Vessels_First_Row">'(1) Vessel Inputs'!$A$9:$Y$9</definedName>
    <definedName name="Vessels_Operating">'(1) Vessel Inputs'!$C$8</definedName>
    <definedName name="Vessels_Start_Table">'(1) Vessel Inputs'!$A$8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2" i="4" l="1"/>
  <c r="F11" i="4"/>
  <c r="F10" i="4"/>
  <c r="F9" i="4"/>
  <c r="G13" i="4"/>
  <c r="E13" i="4"/>
  <c r="J12" i="4"/>
  <c r="J11" i="4"/>
  <c r="J10" i="4"/>
  <c r="J9" i="4"/>
  <c r="P9" i="4"/>
  <c r="J11" i="30" a="1"/>
  <c r="J11" i="30" s="1"/>
  <c r="J10" i="30" a="1"/>
  <c r="J10" i="30" s="1"/>
  <c r="J9" i="30" a="1"/>
  <c r="J9" i="30" s="1"/>
  <c r="J8" i="30" a="1"/>
  <c r="J8" i="30" s="1"/>
  <c r="Q12" i="4"/>
  <c r="Q11" i="4"/>
  <c r="Q10" i="4"/>
  <c r="Q9" i="4"/>
  <c r="S12" i="1"/>
  <c r="S11" i="1"/>
  <c r="S10" i="1"/>
  <c r="S9" i="1"/>
  <c r="Q12" i="1" a="1"/>
  <c r="Q12" i="1" s="1"/>
  <c r="Q11" i="1" a="1"/>
  <c r="Q11" i="1" s="1"/>
  <c r="Q10" i="1" a="1"/>
  <c r="Q10" i="1" s="1"/>
  <c r="Q9" i="1" a="1"/>
  <c r="Q9" i="1" s="1"/>
  <c r="O12" i="1" a="1"/>
  <c r="O12" i="1" s="1"/>
  <c r="O11" i="1" a="1"/>
  <c r="O11" i="1" s="1"/>
  <c r="O10" i="1" a="1"/>
  <c r="O10" i="1" s="1"/>
  <c r="O9" i="1" a="1"/>
  <c r="O9" i="1" s="1"/>
  <c r="M12" i="1" a="1"/>
  <c r="M12" i="1" s="1"/>
  <c r="M11" i="1" a="1"/>
  <c r="M11" i="1" s="1"/>
  <c r="M10" i="1" a="1"/>
  <c r="M10" i="1" s="1"/>
  <c r="M9" i="1" a="1"/>
  <c r="M9" i="1" s="1"/>
  <c r="E12" i="1" a="1"/>
  <c r="E12" i="1" s="1"/>
  <c r="G12" i="1" s="1" a="1"/>
  <c r="G12" i="1" s="1"/>
  <c r="E11" i="1" a="1"/>
  <c r="E11" i="1" s="1"/>
  <c r="G11" i="1" s="1" a="1"/>
  <c r="G11" i="1" s="1"/>
  <c r="E10" i="1" a="1"/>
  <c r="E10" i="1" s="1"/>
  <c r="G10" i="1" s="1" a="1"/>
  <c r="G10" i="1" s="1"/>
  <c r="C21" i="33" l="1"/>
  <c r="D21" i="33" s="1"/>
  <c r="E9" i="1" a="1"/>
  <c r="E9" i="1" s="1"/>
  <c r="G9" i="1" s="1" a="1"/>
  <c r="G9" i="1" s="1"/>
  <c r="B59" i="24" l="1"/>
  <c r="B66" i="24" l="1"/>
  <c r="B67" i="24"/>
  <c r="B70" i="24" s="1"/>
  <c r="B78" i="24"/>
  <c r="D9" i="1" l="1"/>
  <c r="V7" i="17" l="1"/>
  <c r="T12" i="4" l="1"/>
  <c r="T11" i="4"/>
  <c r="T10" i="4"/>
  <c r="T9" i="4"/>
  <c r="Y12" i="4"/>
  <c r="Y11" i="4"/>
  <c r="Y10" i="4"/>
  <c r="Y9" i="4"/>
  <c r="V9" i="4"/>
  <c r="V10" i="4"/>
  <c r="V11" i="4"/>
  <c r="V12" i="4"/>
  <c r="V13" i="4"/>
  <c r="V14" i="4"/>
  <c r="C28" i="33" l="1"/>
  <c r="B12" i="32"/>
  <c r="F30" i="18"/>
  <c r="Y7" i="1"/>
  <c r="C17" i="33"/>
  <c r="W7" i="1"/>
  <c r="X12" i="1"/>
  <c r="X11" i="1"/>
  <c r="X10" i="1"/>
  <c r="X9" i="1"/>
  <c r="C16" i="33" l="1"/>
  <c r="D16" i="33" s="1"/>
  <c r="B6" i="32"/>
  <c r="B5" i="32"/>
  <c r="K7" i="1"/>
  <c r="I7" i="1"/>
  <c r="L9" i="1"/>
  <c r="L10" i="1"/>
  <c r="L11" i="1"/>
  <c r="L12" i="1"/>
  <c r="L13" i="1"/>
  <c r="J9" i="1"/>
  <c r="J10" i="1"/>
  <c r="J11" i="1"/>
  <c r="J12" i="1"/>
  <c r="J13" i="1"/>
  <c r="U12" i="17"/>
  <c r="B11" i="17" l="1"/>
  <c r="A11" i="17"/>
  <c r="C11" i="17" l="1"/>
  <c r="D11" i="17"/>
  <c r="B2" i="16"/>
  <c r="C2" i="16"/>
  <c r="D2" i="16"/>
  <c r="E2" i="16"/>
  <c r="A2" i="16"/>
  <c r="D9" i="4" l="1"/>
  <c r="D10" i="4"/>
  <c r="D11" i="4"/>
  <c r="D12" i="4"/>
  <c r="N12" i="4"/>
  <c r="H12" i="4"/>
  <c r="B12" i="4"/>
  <c r="R12" i="4" l="1"/>
  <c r="E11" i="17"/>
  <c r="G11" i="17"/>
  <c r="L12" i="4"/>
  <c r="H11" i="17"/>
  <c r="N32" i="26"/>
  <c r="H6" i="2"/>
  <c r="G6" i="2"/>
  <c r="F6" i="2"/>
  <c r="E6" i="2"/>
  <c r="D6" i="2"/>
  <c r="C6" i="2"/>
  <c r="B6" i="2"/>
  <c r="A6" i="2"/>
  <c r="J6" i="30"/>
  <c r="H6" i="30"/>
  <c r="F6" i="30"/>
  <c r="D6" i="30"/>
  <c r="B6" i="30"/>
  <c r="A6" i="30"/>
  <c r="X7" i="4"/>
  <c r="W7" i="4"/>
  <c r="U7" i="4"/>
  <c r="S7" i="4"/>
  <c r="Q7" i="4"/>
  <c r="O7" i="4"/>
  <c r="M7" i="4"/>
  <c r="K7" i="4"/>
  <c r="I7" i="4"/>
  <c r="G7" i="4"/>
  <c r="E7" i="4"/>
  <c r="C7" i="4"/>
  <c r="A7" i="4"/>
  <c r="U7" i="1"/>
  <c r="S7" i="1"/>
  <c r="Q7" i="1"/>
  <c r="O7" i="1"/>
  <c r="M7" i="1"/>
  <c r="G7" i="1"/>
  <c r="E7" i="1"/>
  <c r="C7" i="1"/>
  <c r="A7" i="1"/>
  <c r="G12" i="21" l="1"/>
  <c r="G9" i="21" s="1"/>
  <c r="G13" i="21" a="1"/>
  <c r="G13" i="21" s="1"/>
  <c r="B39" i="24"/>
  <c r="N16" i="26" l="1"/>
  <c r="AK6" i="17" l="1"/>
  <c r="AI6" i="17"/>
  <c r="AG6" i="17"/>
  <c r="AE6" i="17"/>
  <c r="AC6" i="17"/>
  <c r="AA6" i="17"/>
  <c r="D15" i="19" l="1"/>
  <c r="B11" i="32" l="1"/>
  <c r="K8" i="30"/>
  <c r="K10" i="30"/>
  <c r="R9" i="4"/>
  <c r="L11" i="4"/>
  <c r="L9" i="4"/>
  <c r="F9" i="1"/>
  <c r="K11" i="30"/>
  <c r="K9" i="30"/>
  <c r="L10" i="4"/>
  <c r="R11" i="4"/>
  <c r="R10" i="4"/>
  <c r="N10" i="1"/>
  <c r="N11" i="1"/>
  <c r="P10" i="1"/>
  <c r="P12" i="1"/>
  <c r="P11" i="1"/>
  <c r="T12" i="1"/>
  <c r="T11" i="1"/>
  <c r="T9" i="1"/>
  <c r="T10" i="1"/>
  <c r="P9" i="1"/>
  <c r="N12" i="1"/>
  <c r="N9" i="1"/>
  <c r="H12" i="1"/>
  <c r="H11" i="1"/>
  <c r="H10" i="1"/>
  <c r="C22" i="33" l="1"/>
  <c r="D22" i="33" s="1"/>
  <c r="C25" i="33"/>
  <c r="D25" i="33" s="1"/>
  <c r="C33" i="33"/>
  <c r="D33" i="33" s="1"/>
  <c r="F11" i="1"/>
  <c r="C14" i="33"/>
  <c r="D14" i="33" s="1"/>
  <c r="F10" i="1"/>
  <c r="F12" i="1"/>
  <c r="H9" i="1"/>
  <c r="C10" i="33" s="1"/>
  <c r="D10" i="33" s="1"/>
  <c r="C12" i="33"/>
  <c r="D12" i="33" s="1"/>
  <c r="C11" i="33"/>
  <c r="D11" i="33" s="1"/>
  <c r="A8" i="2"/>
  <c r="A9" i="2"/>
  <c r="A10" i="2"/>
  <c r="A11" i="2"/>
  <c r="A12" i="2"/>
  <c r="B9" i="2" l="1"/>
  <c r="B8" i="2"/>
  <c r="C9" i="33"/>
  <c r="D9" i="33" s="1"/>
  <c r="T13" i="4"/>
  <c r="N10" i="4"/>
  <c r="N11" i="4"/>
  <c r="N13" i="4"/>
  <c r="N9" i="4"/>
  <c r="C26" i="33" l="1"/>
  <c r="D26" i="33" s="1"/>
  <c r="C27" i="33"/>
  <c r="D27" i="33" s="1"/>
  <c r="H10" i="4"/>
  <c r="H11" i="4"/>
  <c r="H9" i="4"/>
  <c r="B10" i="4"/>
  <c r="B11" i="4"/>
  <c r="B9" i="4"/>
  <c r="D10" i="1"/>
  <c r="D11" i="1"/>
  <c r="D12" i="1"/>
  <c r="B10" i="1"/>
  <c r="B11" i="1"/>
  <c r="B12" i="1"/>
  <c r="B9" i="1"/>
  <c r="R9" i="1"/>
  <c r="R10" i="1"/>
  <c r="R11" i="1"/>
  <c r="R12" i="1"/>
  <c r="C7" i="33"/>
  <c r="D17" i="33" l="1"/>
  <c r="D7" i="33"/>
  <c r="D28" i="33" l="1"/>
  <c r="C23" i="33"/>
  <c r="D23" i="33" s="1"/>
  <c r="Y7" i="4"/>
  <c r="C18" i="33" l="1"/>
  <c r="D18" i="33" s="1"/>
  <c r="C20" i="33"/>
  <c r="D20" i="33" s="1"/>
  <c r="C19" i="33"/>
  <c r="D19" i="33" s="1"/>
  <c r="L6" i="30" l="1"/>
  <c r="D9" i="2" l="1"/>
  <c r="D10" i="2"/>
  <c r="C9" i="2"/>
  <c r="E9" i="2"/>
  <c r="E8" i="2"/>
  <c r="G8" i="2" s="1"/>
  <c r="C11" i="2"/>
  <c r="E10" i="2"/>
  <c r="C10" i="2"/>
  <c r="C8" i="2"/>
  <c r="D8" i="2"/>
  <c r="E11" i="2"/>
  <c r="D11" i="2"/>
  <c r="D12" i="2"/>
  <c r="C12" i="2"/>
  <c r="B11" i="2"/>
  <c r="B10" i="2"/>
  <c r="A11" i="30" l="1"/>
  <c r="B11" i="30" l="1" a="1"/>
  <c r="B11" i="30" s="1"/>
  <c r="D11" i="30" a="1"/>
  <c r="D11" i="30" s="1"/>
  <c r="E11" i="30" s="1"/>
  <c r="B30" i="32"/>
  <c r="B29" i="32"/>
  <c r="B28" i="32"/>
  <c r="B27" i="32"/>
  <c r="B26" i="32"/>
  <c r="B10" i="32"/>
  <c r="B9" i="32"/>
  <c r="B8" i="32"/>
  <c r="B7" i="32"/>
  <c r="B4" i="32"/>
  <c r="B3" i="32"/>
  <c r="B2" i="32"/>
  <c r="B25" i="32"/>
  <c r="B24" i="32"/>
  <c r="B23" i="32"/>
  <c r="B22" i="32"/>
  <c r="B21" i="32"/>
  <c r="B20" i="32"/>
  <c r="B19" i="32"/>
  <c r="B18" i="32"/>
  <c r="B17" i="32"/>
  <c r="B16" i="32"/>
  <c r="B15" i="32"/>
  <c r="B14" i="32"/>
  <c r="B13" i="32"/>
  <c r="J7" i="31" l="1"/>
  <c r="K7" i="31"/>
  <c r="L7" i="31"/>
  <c r="I7" i="31"/>
  <c r="C6" i="18" l="1"/>
  <c r="C29" i="18" s="1"/>
  <c r="D6" i="18"/>
  <c r="D29" i="18" s="1"/>
  <c r="E6" i="18"/>
  <c r="E29" i="18" s="1"/>
  <c r="B6" i="18"/>
  <c r="B29" i="18" s="1"/>
  <c r="B7" i="18" l="1"/>
  <c r="E38" i="18"/>
  <c r="E12" i="18"/>
  <c r="E32" i="18"/>
  <c r="E25" i="18"/>
  <c r="E21" i="18"/>
  <c r="E19" i="18"/>
  <c r="E15" i="18"/>
  <c r="D32" i="18"/>
  <c r="D19" i="18"/>
  <c r="D15" i="18"/>
  <c r="D38" i="18"/>
  <c r="D12" i="18"/>
  <c r="D25" i="18"/>
  <c r="D21" i="18"/>
  <c r="C25" i="18"/>
  <c r="C21" i="18"/>
  <c r="C32" i="18"/>
  <c r="C19" i="18"/>
  <c r="C15" i="18"/>
  <c r="C38" i="18"/>
  <c r="C12" i="18"/>
  <c r="B38" i="18"/>
  <c r="B32" i="18"/>
  <c r="B25" i="18"/>
  <c r="B19" i="18"/>
  <c r="B21" i="18"/>
  <c r="B15" i="18"/>
  <c r="B12" i="18"/>
  <c r="D5" i="21"/>
  <c r="E5" i="21"/>
  <c r="E12" i="21" s="1"/>
  <c r="F5" i="21"/>
  <c r="F11" i="21" s="1"/>
  <c r="C5" i="21"/>
  <c r="W7" i="17"/>
  <c r="X7" i="17"/>
  <c r="Y7" i="17"/>
  <c r="A9" i="30"/>
  <c r="A10" i="30"/>
  <c r="H10" i="30" l="1" a="1"/>
  <c r="H10" i="30" s="1"/>
  <c r="I10" i="30" s="1"/>
  <c r="H9" i="30" a="1"/>
  <c r="H9" i="30" s="1"/>
  <c r="I9" i="30" s="1"/>
  <c r="D6" i="21"/>
  <c r="D12" i="21"/>
  <c r="D13" i="21" a="1"/>
  <c r="D13" i="21" s="1"/>
  <c r="E6" i="21"/>
  <c r="E13" i="21" a="1"/>
  <c r="E13" i="21" s="1"/>
  <c r="F6" i="21"/>
  <c r="F13" i="21" a="1"/>
  <c r="F13" i="21" s="1"/>
  <c r="F12" i="21"/>
  <c r="C12" i="21"/>
  <c r="C13" i="21" a="1"/>
  <c r="C13" i="21" s="1"/>
  <c r="C6" i="21"/>
  <c r="D7" i="18"/>
  <c r="I8" i="31"/>
  <c r="C7" i="18"/>
  <c r="E7" i="18"/>
  <c r="C11" i="21"/>
  <c r="E10" i="21"/>
  <c r="E11" i="21"/>
  <c r="D10" i="21"/>
  <c r="D11" i="21"/>
  <c r="F10" i="21"/>
  <c r="C10" i="21"/>
  <c r="E7" i="21"/>
  <c r="D7" i="21"/>
  <c r="F7" i="21"/>
  <c r="C7" i="21"/>
  <c r="E9" i="21" l="1"/>
  <c r="D9" i="21"/>
  <c r="F9" i="21"/>
  <c r="C9" i="21"/>
  <c r="K8" i="31"/>
  <c r="L8" i="31"/>
  <c r="J8" i="31"/>
  <c r="A8" i="30"/>
  <c r="F14" i="21" l="1"/>
  <c r="F376" i="21"/>
  <c r="F368" i="21"/>
  <c r="F360" i="21"/>
  <c r="F352" i="21"/>
  <c r="F344" i="21"/>
  <c r="F336" i="21"/>
  <c r="F328" i="21"/>
  <c r="F320" i="21"/>
  <c r="F312" i="21"/>
  <c r="F304" i="21"/>
  <c r="F296" i="21"/>
  <c r="F288" i="21"/>
  <c r="F280" i="21"/>
  <c r="F272" i="21"/>
  <c r="F264" i="21"/>
  <c r="F256" i="21"/>
  <c r="F248" i="21"/>
  <c r="F372" i="21"/>
  <c r="F364" i="21"/>
  <c r="F356" i="21"/>
  <c r="F348" i="21"/>
  <c r="F340" i="21"/>
  <c r="F332" i="21"/>
  <c r="F324" i="21"/>
  <c r="F316" i="21"/>
  <c r="F308" i="21"/>
  <c r="F300" i="21"/>
  <c r="F292" i="21"/>
  <c r="F284" i="21"/>
  <c r="F276" i="21"/>
  <c r="F268" i="21"/>
  <c r="F260" i="21"/>
  <c r="F252" i="21"/>
  <c r="F244" i="21"/>
  <c r="F371" i="21"/>
  <c r="F369" i="21"/>
  <c r="F354" i="21"/>
  <c r="F339" i="21"/>
  <c r="F337" i="21"/>
  <c r="F322" i="21"/>
  <c r="F307" i="21"/>
  <c r="F305" i="21"/>
  <c r="F290" i="21"/>
  <c r="F275" i="21"/>
  <c r="F273" i="21"/>
  <c r="F258" i="21"/>
  <c r="F243" i="21"/>
  <c r="F238" i="21"/>
  <c r="F230" i="21"/>
  <c r="F222" i="21"/>
  <c r="F214" i="21"/>
  <c r="F370" i="21"/>
  <c r="F355" i="21"/>
  <c r="F353" i="21"/>
  <c r="F338" i="21"/>
  <c r="F323" i="21"/>
  <c r="F321" i="21"/>
  <c r="F306" i="21"/>
  <c r="F291" i="21"/>
  <c r="F289" i="21"/>
  <c r="F274" i="21"/>
  <c r="F259" i="21"/>
  <c r="F257" i="21"/>
  <c r="F242" i="21"/>
  <c r="F234" i="21"/>
  <c r="F226" i="21"/>
  <c r="F218" i="21"/>
  <c r="F210" i="21"/>
  <c r="F367" i="21"/>
  <c r="F350" i="21"/>
  <c r="F347" i="21"/>
  <c r="F366" i="21"/>
  <c r="F363" i="21"/>
  <c r="F349" i="21"/>
  <c r="F346" i="21"/>
  <c r="F343" i="21"/>
  <c r="F329" i="21"/>
  <c r="F326" i="21"/>
  <c r="F309" i="21"/>
  <c r="F255" i="21"/>
  <c r="F241" i="21"/>
  <c r="F239" i="21"/>
  <c r="F224" i="21"/>
  <c r="F209" i="21"/>
  <c r="F207" i="21"/>
  <c r="F199" i="21"/>
  <c r="F191" i="21"/>
  <c r="F183" i="21"/>
  <c r="F175" i="21"/>
  <c r="F167" i="21"/>
  <c r="F159" i="21"/>
  <c r="F151" i="21"/>
  <c r="F143" i="21"/>
  <c r="F135" i="21"/>
  <c r="F127" i="21"/>
  <c r="F119" i="21"/>
  <c r="F111" i="21"/>
  <c r="F103" i="21"/>
  <c r="F95" i="21"/>
  <c r="F87" i="21"/>
  <c r="F79" i="21"/>
  <c r="F71" i="21"/>
  <c r="F63" i="21"/>
  <c r="F55" i="21"/>
  <c r="F47" i="21"/>
  <c r="F39" i="21"/>
  <c r="F377" i="21"/>
  <c r="F374" i="21"/>
  <c r="F357" i="21"/>
  <c r="F373" i="21"/>
  <c r="F319" i="21"/>
  <c r="F302" i="21"/>
  <c r="F299" i="21"/>
  <c r="F285" i="21"/>
  <c r="F282" i="21"/>
  <c r="F279" i="21"/>
  <c r="F265" i="21"/>
  <c r="F262" i="21"/>
  <c r="F245" i="21"/>
  <c r="F240" i="21"/>
  <c r="F225" i="21"/>
  <c r="F223" i="21"/>
  <c r="F208" i="21"/>
  <c r="F203" i="21"/>
  <c r="F195" i="21"/>
  <c r="F187" i="21"/>
  <c r="F179" i="21"/>
  <c r="F171" i="21"/>
  <c r="F163" i="21"/>
  <c r="F155" i="21"/>
  <c r="F147" i="21"/>
  <c r="F139" i="21"/>
  <c r="F131" i="21"/>
  <c r="F123" i="21"/>
  <c r="F115" i="21"/>
  <c r="F107" i="21"/>
  <c r="F99" i="21"/>
  <c r="F91" i="21"/>
  <c r="F83" i="21"/>
  <c r="F75" i="21"/>
  <c r="F67" i="21"/>
  <c r="F59" i="21"/>
  <c r="F51" i="21"/>
  <c r="F43" i="21"/>
  <c r="F361" i="21"/>
  <c r="F318" i="21"/>
  <c r="F295" i="21"/>
  <c r="F365" i="21"/>
  <c r="F359" i="21"/>
  <c r="F342" i="21"/>
  <c r="F286" i="21"/>
  <c r="F271" i="21"/>
  <c r="F267" i="21"/>
  <c r="F263" i="21"/>
  <c r="F221" i="21"/>
  <c r="F194" i="21"/>
  <c r="F192" i="21"/>
  <c r="F177" i="21"/>
  <c r="F162" i="21"/>
  <c r="F160" i="21"/>
  <c r="F145" i="21"/>
  <c r="F130" i="21"/>
  <c r="F128" i="21"/>
  <c r="F113" i="21"/>
  <c r="F98" i="21"/>
  <c r="F96" i="21"/>
  <c r="F81" i="21"/>
  <c r="F66" i="21"/>
  <c r="F64" i="21"/>
  <c r="F49" i="21"/>
  <c r="F35" i="21"/>
  <c r="F27" i="21"/>
  <c r="F19" i="21"/>
  <c r="F375" i="21"/>
  <c r="F341" i="21"/>
  <c r="F331" i="21"/>
  <c r="F327" i="21"/>
  <c r="F301" i="21"/>
  <c r="F297" i="21"/>
  <c r="F235" i="21"/>
  <c r="F229" i="21"/>
  <c r="F212" i="21"/>
  <c r="F196" i="21"/>
  <c r="F358" i="21"/>
  <c r="F293" i="21"/>
  <c r="F278" i="21"/>
  <c r="F232" i="21"/>
  <c r="F215" i="21"/>
  <c r="F198" i="21"/>
  <c r="F362" i="21"/>
  <c r="F345" i="21"/>
  <c r="F303" i="21"/>
  <c r="F269" i="21"/>
  <c r="F254" i="21"/>
  <c r="F250" i="21"/>
  <c r="F246" i="21"/>
  <c r="F231" i="21"/>
  <c r="F228" i="21"/>
  <c r="F211" i="21"/>
  <c r="F193" i="21"/>
  <c r="F178" i="21"/>
  <c r="F176" i="21"/>
  <c r="F161" i="21"/>
  <c r="F146" i="21"/>
  <c r="F144" i="21"/>
  <c r="F129" i="21"/>
  <c r="F114" i="21"/>
  <c r="F112" i="21"/>
  <c r="F97" i="21"/>
  <c r="F82" i="21"/>
  <c r="F80" i="21"/>
  <c r="F65" i="21"/>
  <c r="F50" i="21"/>
  <c r="F48" i="21"/>
  <c r="F31" i="21"/>
  <c r="F23" i="21"/>
  <c r="F15" i="21"/>
  <c r="F378" i="21"/>
  <c r="F333" i="21"/>
  <c r="F314" i="21"/>
  <c r="F310" i="21"/>
  <c r="F261" i="21"/>
  <c r="F197" i="21"/>
  <c r="F141" i="21"/>
  <c r="F124" i="21"/>
  <c r="F104" i="21"/>
  <c r="F84" i="21"/>
  <c r="F44" i="21"/>
  <c r="F158" i="21"/>
  <c r="F138" i="21"/>
  <c r="F121" i="21"/>
  <c r="F34" i="21"/>
  <c r="F335" i="21"/>
  <c r="F266" i="21"/>
  <c r="F251" i="21"/>
  <c r="F200" i="21"/>
  <c r="F189" i="21"/>
  <c r="F186" i="21"/>
  <c r="F172" i="21"/>
  <c r="F169" i="21"/>
  <c r="F166" i="21"/>
  <c r="F152" i="21"/>
  <c r="F149" i="21"/>
  <c r="F132" i="21"/>
  <c r="F78" i="21"/>
  <c r="F61" i="21"/>
  <c r="F58" i="21"/>
  <c r="F41" i="21"/>
  <c r="F38" i="21"/>
  <c r="F36" i="21"/>
  <c r="F21" i="21"/>
  <c r="F334" i="21"/>
  <c r="F311" i="21"/>
  <c r="F281" i="21"/>
  <c r="F237" i="21"/>
  <c r="F220" i="21"/>
  <c r="F204" i="21"/>
  <c r="F180" i="21"/>
  <c r="F126" i="21"/>
  <c r="F109" i="21"/>
  <c r="F106" i="21"/>
  <c r="F92" i="21"/>
  <c r="F89" i="21"/>
  <c r="F86" i="21"/>
  <c r="F72" i="21"/>
  <c r="F69" i="21"/>
  <c r="F52" i="21"/>
  <c r="F25" i="21"/>
  <c r="F325" i="21"/>
  <c r="F287" i="21"/>
  <c r="F249" i="21"/>
  <c r="F236" i="21"/>
  <c r="F219" i="21"/>
  <c r="F213" i="21"/>
  <c r="F174" i="21"/>
  <c r="F157" i="21"/>
  <c r="F154" i="21"/>
  <c r="F140" i="21"/>
  <c r="F137" i="21"/>
  <c r="F134" i="21"/>
  <c r="F120" i="21"/>
  <c r="F117" i="21"/>
  <c r="F100" i="21"/>
  <c r="F46" i="21"/>
  <c r="F29" i="21"/>
  <c r="F294" i="21"/>
  <c r="F185" i="21"/>
  <c r="F182" i="21"/>
  <c r="F168" i="21"/>
  <c r="F148" i="21"/>
  <c r="F57" i="21"/>
  <c r="F40" i="21"/>
  <c r="F33" i="21"/>
  <c r="F18" i="21"/>
  <c r="F20" i="21"/>
  <c r="F317" i="21"/>
  <c r="F94" i="21"/>
  <c r="F77" i="21"/>
  <c r="F60" i="21"/>
  <c r="F54" i="21"/>
  <c r="F16" i="21"/>
  <c r="F85" i="21"/>
  <c r="F188" i="21"/>
  <c r="F165" i="21"/>
  <c r="F74" i="21"/>
  <c r="F88" i="21"/>
  <c r="F270" i="21"/>
  <c r="F247" i="21"/>
  <c r="F202" i="21"/>
  <c r="F142" i="21"/>
  <c r="F125" i="21"/>
  <c r="F122" i="21"/>
  <c r="F108" i="21"/>
  <c r="F105" i="21"/>
  <c r="F102" i="21"/>
  <c r="F68" i="21"/>
  <c r="F37" i="21"/>
  <c r="F22" i="21"/>
  <c r="F351" i="21"/>
  <c r="F330" i="21"/>
  <c r="F315" i="21"/>
  <c r="F277" i="21"/>
  <c r="F217" i="21"/>
  <c r="F206" i="21"/>
  <c r="F190" i="21"/>
  <c r="F173" i="21"/>
  <c r="F170" i="21"/>
  <c r="F156" i="21"/>
  <c r="F153" i="21"/>
  <c r="F150" i="21"/>
  <c r="F136" i="21"/>
  <c r="F133" i="21"/>
  <c r="F116" i="21"/>
  <c r="F62" i="21"/>
  <c r="F45" i="21"/>
  <c r="F42" i="21"/>
  <c r="F26" i="21"/>
  <c r="F24" i="21"/>
  <c r="F283" i="21"/>
  <c r="F253" i="21"/>
  <c r="F233" i="21"/>
  <c r="F216" i="21"/>
  <c r="F201" i="21"/>
  <c r="F184" i="21"/>
  <c r="F181" i="21"/>
  <c r="F164" i="21"/>
  <c r="F110" i="21"/>
  <c r="F93" i="21"/>
  <c r="F90" i="21"/>
  <c r="F76" i="21"/>
  <c r="F73" i="21"/>
  <c r="F70" i="21"/>
  <c r="F56" i="21"/>
  <c r="F53" i="21"/>
  <c r="F30" i="21"/>
  <c r="F28" i="21"/>
  <c r="F313" i="21"/>
  <c r="F298" i="21"/>
  <c r="F227" i="21"/>
  <c r="F205" i="21"/>
  <c r="F118" i="21"/>
  <c r="F101" i="21"/>
  <c r="F32" i="21"/>
  <c r="F17" i="21"/>
  <c r="D14" i="21"/>
  <c r="D378" i="21"/>
  <c r="D370" i="21"/>
  <c r="D362" i="21"/>
  <c r="D354" i="21"/>
  <c r="D346" i="21"/>
  <c r="D338" i="21"/>
  <c r="D330" i="21"/>
  <c r="D322" i="21"/>
  <c r="D314" i="21"/>
  <c r="D306" i="21"/>
  <c r="D298" i="21"/>
  <c r="D290" i="21"/>
  <c r="D282" i="21"/>
  <c r="D274" i="21"/>
  <c r="D266" i="21"/>
  <c r="D258" i="21"/>
  <c r="D250" i="21"/>
  <c r="D374" i="21"/>
  <c r="D366" i="21"/>
  <c r="D358" i="21"/>
  <c r="D350" i="21"/>
  <c r="D342" i="21"/>
  <c r="D334" i="21"/>
  <c r="D326" i="21"/>
  <c r="D318" i="21"/>
  <c r="D310" i="21"/>
  <c r="D302" i="21"/>
  <c r="D294" i="21"/>
  <c r="D286" i="21"/>
  <c r="D278" i="21"/>
  <c r="D270" i="21"/>
  <c r="D262" i="21"/>
  <c r="D254" i="21"/>
  <c r="D246" i="21"/>
  <c r="D365" i="21"/>
  <c r="D363" i="21"/>
  <c r="D348" i="21"/>
  <c r="D333" i="21"/>
  <c r="D331" i="21"/>
  <c r="D316" i="21"/>
  <c r="D301" i="21"/>
  <c r="D299" i="21"/>
  <c r="D284" i="21"/>
  <c r="D269" i="21"/>
  <c r="D267" i="21"/>
  <c r="D252" i="21"/>
  <c r="D240" i="21"/>
  <c r="D232" i="21"/>
  <c r="D224" i="21"/>
  <c r="D216" i="21"/>
  <c r="D208" i="21"/>
  <c r="D364" i="21"/>
  <c r="D349" i="21"/>
  <c r="D347" i="21"/>
  <c r="D332" i="21"/>
  <c r="D317" i="21"/>
  <c r="D315" i="21"/>
  <c r="D300" i="21"/>
  <c r="D285" i="21"/>
  <c r="D283" i="21"/>
  <c r="D268" i="21"/>
  <c r="D253" i="21"/>
  <c r="D251" i="21"/>
  <c r="D236" i="21"/>
  <c r="D228" i="21"/>
  <c r="D220" i="21"/>
  <c r="D212" i="21"/>
  <c r="D376" i="21"/>
  <c r="D373" i="21"/>
  <c r="D359" i="21"/>
  <c r="D356" i="21"/>
  <c r="D353" i="21"/>
  <c r="D339" i="21"/>
  <c r="D336" i="21"/>
  <c r="D375" i="21"/>
  <c r="D372" i="21"/>
  <c r="D369" i="21"/>
  <c r="D355" i="21"/>
  <c r="D352" i="21"/>
  <c r="D335" i="21"/>
  <c r="D281" i="21"/>
  <c r="D264" i="21"/>
  <c r="D261" i="21"/>
  <c r="D247" i="21"/>
  <c r="D244" i="21"/>
  <c r="D235" i="21"/>
  <c r="D233" i="21"/>
  <c r="D218" i="21"/>
  <c r="D201" i="21"/>
  <c r="D193" i="21"/>
  <c r="D185" i="21"/>
  <c r="D177" i="21"/>
  <c r="D169" i="21"/>
  <c r="D161" i="21"/>
  <c r="D153" i="21"/>
  <c r="D145" i="21"/>
  <c r="D137" i="21"/>
  <c r="D129" i="21"/>
  <c r="D121" i="21"/>
  <c r="D113" i="21"/>
  <c r="D105" i="21"/>
  <c r="D97" i="21"/>
  <c r="D89" i="21"/>
  <c r="D81" i="21"/>
  <c r="D73" i="21"/>
  <c r="D65" i="21"/>
  <c r="D57" i="21"/>
  <c r="D49" i="21"/>
  <c r="D41" i="21"/>
  <c r="D345" i="21"/>
  <c r="D328" i="21"/>
  <c r="D325" i="21"/>
  <c r="D311" i="21"/>
  <c r="D308" i="21"/>
  <c r="D305" i="21"/>
  <c r="D291" i="21"/>
  <c r="D288" i="21"/>
  <c r="D271" i="21"/>
  <c r="D234" i="21"/>
  <c r="D219" i="21"/>
  <c r="D217" i="21"/>
  <c r="D205" i="21"/>
  <c r="D197" i="21"/>
  <c r="D189" i="21"/>
  <c r="D181" i="21"/>
  <c r="D173" i="21"/>
  <c r="D165" i="21"/>
  <c r="D157" i="21"/>
  <c r="D149" i="21"/>
  <c r="D141" i="21"/>
  <c r="D133" i="21"/>
  <c r="D125" i="21"/>
  <c r="D117" i="21"/>
  <c r="D109" i="21"/>
  <c r="D101" i="21"/>
  <c r="D93" i="21"/>
  <c r="D85" i="21"/>
  <c r="D77" i="21"/>
  <c r="D69" i="21"/>
  <c r="D61" i="21"/>
  <c r="D53" i="21"/>
  <c r="D45" i="21"/>
  <c r="D367" i="21"/>
  <c r="D265" i="21"/>
  <c r="D231" i="21"/>
  <c r="D214" i="21"/>
  <c r="D206" i="21"/>
  <c r="D377" i="21"/>
  <c r="D371" i="21"/>
  <c r="D313" i="21"/>
  <c r="D309" i="21"/>
  <c r="D279" i="21"/>
  <c r="D275" i="21"/>
  <c r="D260" i="21"/>
  <c r="D256" i="21"/>
  <c r="D230" i="21"/>
  <c r="D227" i="21"/>
  <c r="D213" i="21"/>
  <c r="D210" i="21"/>
  <c r="D203" i="21"/>
  <c r="D188" i="21"/>
  <c r="D186" i="21"/>
  <c r="D171" i="21"/>
  <c r="D156" i="21"/>
  <c r="D154" i="21"/>
  <c r="D139" i="21"/>
  <c r="D124" i="21"/>
  <c r="D122" i="21"/>
  <c r="D107" i="21"/>
  <c r="D92" i="21"/>
  <c r="D90" i="21"/>
  <c r="D75" i="21"/>
  <c r="D60" i="21"/>
  <c r="D58" i="21"/>
  <c r="D43" i="21"/>
  <c r="D37" i="21"/>
  <c r="D29" i="21"/>
  <c r="D21" i="21"/>
  <c r="D324" i="21"/>
  <c r="D320" i="21"/>
  <c r="D248" i="21"/>
  <c r="D241" i="21"/>
  <c r="D238" i="21"/>
  <c r="D221" i="21"/>
  <c r="D207" i="21"/>
  <c r="D368" i="21"/>
  <c r="D351" i="21"/>
  <c r="D296" i="21"/>
  <c r="D292" i="21"/>
  <c r="D277" i="21"/>
  <c r="D273" i="21"/>
  <c r="D243" i="21"/>
  <c r="D237" i="21"/>
  <c r="D204" i="21"/>
  <c r="D202" i="21"/>
  <c r="D187" i="21"/>
  <c r="D172" i="21"/>
  <c r="D170" i="21"/>
  <c r="D155" i="21"/>
  <c r="D140" i="21"/>
  <c r="D138" i="21"/>
  <c r="D123" i="21"/>
  <c r="D108" i="21"/>
  <c r="D106" i="21"/>
  <c r="D91" i="21"/>
  <c r="D76" i="21"/>
  <c r="D74" i="21"/>
  <c r="D59" i="21"/>
  <c r="D44" i="21"/>
  <c r="D42" i="21"/>
  <c r="D33" i="21"/>
  <c r="D25" i="21"/>
  <c r="D17" i="21"/>
  <c r="D307" i="21"/>
  <c r="D303" i="21"/>
  <c r="D211" i="21"/>
  <c r="D321" i="21"/>
  <c r="D26" i="21"/>
  <c r="D360" i="21"/>
  <c r="D167" i="21"/>
  <c r="D147" i="21"/>
  <c r="D130" i="21"/>
  <c r="D110" i="21"/>
  <c r="D28" i="21"/>
  <c r="D84" i="21"/>
  <c r="D30" i="21"/>
  <c r="D312" i="21"/>
  <c r="D297" i="21"/>
  <c r="D289" i="21"/>
  <c r="D259" i="21"/>
  <c r="D215" i="21"/>
  <c r="D196" i="21"/>
  <c r="D192" i="21"/>
  <c r="D178" i="21"/>
  <c r="D175" i="21"/>
  <c r="D158" i="21"/>
  <c r="D104" i="21"/>
  <c r="D87" i="21"/>
  <c r="D70" i="21"/>
  <c r="D67" i="21"/>
  <c r="D64" i="21"/>
  <c r="D47" i="21"/>
  <c r="D15" i="21"/>
  <c r="D357" i="21"/>
  <c r="D327" i="21"/>
  <c r="D319" i="21"/>
  <c r="D304" i="21"/>
  <c r="D226" i="21"/>
  <c r="D209" i="21"/>
  <c r="D200" i="21"/>
  <c r="D152" i="21"/>
  <c r="D135" i="21"/>
  <c r="D132" i="21"/>
  <c r="D118" i="21"/>
  <c r="D115" i="21"/>
  <c r="D112" i="21"/>
  <c r="D98" i="21"/>
  <c r="D95" i="21"/>
  <c r="D78" i="21"/>
  <c r="D36" i="21"/>
  <c r="D34" i="21"/>
  <c r="D19" i="21"/>
  <c r="D344" i="21"/>
  <c r="D295" i="21"/>
  <c r="D280" i="21"/>
  <c r="D272" i="21"/>
  <c r="D257" i="21"/>
  <c r="D242" i="21"/>
  <c r="D225" i="21"/>
  <c r="D195" i="21"/>
  <c r="D183" i="21"/>
  <c r="D180" i="21"/>
  <c r="D166" i="21"/>
  <c r="D160" i="21"/>
  <c r="D146" i="21"/>
  <c r="D143" i="21"/>
  <c r="D126" i="21"/>
  <c r="D72" i="21"/>
  <c r="D55" i="21"/>
  <c r="D52" i="21"/>
  <c r="D38" i="21"/>
  <c r="D23" i="21"/>
  <c r="D287" i="21"/>
  <c r="D249" i="21"/>
  <c r="D191" i="21"/>
  <c r="D100" i="21"/>
  <c r="D80" i="21"/>
  <c r="D63" i="21"/>
  <c r="D27" i="21"/>
  <c r="D94" i="21"/>
  <c r="D31" i="21"/>
  <c r="D163" i="21"/>
  <c r="D103" i="21"/>
  <c r="D86" i="21"/>
  <c r="D46" i="21"/>
  <c r="D16" i="21"/>
  <c r="D343" i="21"/>
  <c r="D199" i="21"/>
  <c r="D174" i="21"/>
  <c r="D120" i="21"/>
  <c r="D83" i="21"/>
  <c r="D66" i="21"/>
  <c r="D341" i="21"/>
  <c r="D293" i="21"/>
  <c r="D263" i="21"/>
  <c r="D255" i="21"/>
  <c r="D194" i="21"/>
  <c r="D168" i="21"/>
  <c r="D151" i="21"/>
  <c r="D148" i="21"/>
  <c r="D134" i="21"/>
  <c r="D131" i="21"/>
  <c r="D128" i="21"/>
  <c r="D114" i="21"/>
  <c r="D111" i="21"/>
  <c r="D40" i="21"/>
  <c r="D340" i="21"/>
  <c r="D323" i="21"/>
  <c r="D229" i="21"/>
  <c r="D223" i="21"/>
  <c r="D198" i="21"/>
  <c r="D182" i="21"/>
  <c r="D179" i="21"/>
  <c r="D176" i="21"/>
  <c r="D162" i="21"/>
  <c r="D159" i="21"/>
  <c r="D142" i="21"/>
  <c r="D88" i="21"/>
  <c r="D71" i="21"/>
  <c r="D68" i="21"/>
  <c r="D54" i="21"/>
  <c r="D51" i="21"/>
  <c r="D48" i="21"/>
  <c r="D35" i="21"/>
  <c r="D20" i="21"/>
  <c r="D18" i="21"/>
  <c r="D361" i="21"/>
  <c r="D329" i="21"/>
  <c r="D276" i="21"/>
  <c r="D239" i="21"/>
  <c r="D222" i="21"/>
  <c r="D190" i="21"/>
  <c r="D136" i="21"/>
  <c r="D119" i="21"/>
  <c r="D116" i="21"/>
  <c r="D102" i="21"/>
  <c r="D99" i="21"/>
  <c r="D96" i="21"/>
  <c r="D82" i="21"/>
  <c r="D79" i="21"/>
  <c r="D62" i="21"/>
  <c r="D24" i="21"/>
  <c r="D22" i="21"/>
  <c r="D337" i="21"/>
  <c r="D245" i="21"/>
  <c r="D184" i="21"/>
  <c r="D164" i="21"/>
  <c r="D150" i="21"/>
  <c r="D144" i="21"/>
  <c r="D127" i="21"/>
  <c r="D56" i="21"/>
  <c r="D39" i="21"/>
  <c r="D50" i="21"/>
  <c r="D32" i="21"/>
  <c r="C375" i="21"/>
  <c r="C367" i="21"/>
  <c r="C359" i="21"/>
  <c r="C351" i="21"/>
  <c r="C343" i="21"/>
  <c r="C335" i="21"/>
  <c r="C327" i="21"/>
  <c r="C319" i="21"/>
  <c r="C311" i="21"/>
  <c r="C303" i="21"/>
  <c r="C295" i="21"/>
  <c r="C287" i="21"/>
  <c r="C279" i="21"/>
  <c r="C271" i="21"/>
  <c r="C263" i="21"/>
  <c r="C255" i="21"/>
  <c r="C247" i="21"/>
  <c r="C371" i="21"/>
  <c r="C363" i="21"/>
  <c r="C355" i="21"/>
  <c r="C347" i="21"/>
  <c r="C339" i="21"/>
  <c r="C331" i="21"/>
  <c r="C323" i="21"/>
  <c r="C315" i="21"/>
  <c r="C307" i="21"/>
  <c r="C299" i="21"/>
  <c r="C291" i="21"/>
  <c r="C283" i="21"/>
  <c r="C275" i="21"/>
  <c r="C267" i="21"/>
  <c r="C259" i="21"/>
  <c r="C251" i="21"/>
  <c r="C243" i="21"/>
  <c r="C378" i="21"/>
  <c r="C376" i="21"/>
  <c r="C361" i="21"/>
  <c r="C346" i="21"/>
  <c r="C344" i="21"/>
  <c r="C329" i="21"/>
  <c r="C314" i="21"/>
  <c r="C312" i="21"/>
  <c r="C297" i="21"/>
  <c r="C282" i="21"/>
  <c r="C280" i="21"/>
  <c r="C265" i="21"/>
  <c r="C250" i="21"/>
  <c r="C248" i="21"/>
  <c r="C237" i="21"/>
  <c r="C229" i="21"/>
  <c r="C221" i="21"/>
  <c r="C213" i="21"/>
  <c r="C377" i="21"/>
  <c r="C362" i="21"/>
  <c r="C360" i="21"/>
  <c r="C345" i="21"/>
  <c r="C330" i="21"/>
  <c r="C328" i="21"/>
  <c r="C313" i="21"/>
  <c r="C298" i="21"/>
  <c r="C296" i="21"/>
  <c r="C281" i="21"/>
  <c r="C266" i="21"/>
  <c r="C264" i="21"/>
  <c r="C249" i="21"/>
  <c r="C241" i="21"/>
  <c r="C233" i="21"/>
  <c r="C225" i="21"/>
  <c r="C217" i="21"/>
  <c r="C209" i="21"/>
  <c r="C342" i="21"/>
  <c r="C358" i="21"/>
  <c r="C341" i="21"/>
  <c r="C338" i="21"/>
  <c r="C324" i="21"/>
  <c r="C321" i="21"/>
  <c r="C318" i="21"/>
  <c r="C304" i="21"/>
  <c r="C301" i="21"/>
  <c r="C284" i="21"/>
  <c r="C231" i="21"/>
  <c r="C216" i="21"/>
  <c r="C214" i="21"/>
  <c r="C206" i="21"/>
  <c r="C198" i="21"/>
  <c r="C190" i="21"/>
  <c r="C182" i="21"/>
  <c r="C174" i="21"/>
  <c r="C166" i="21"/>
  <c r="C158" i="21"/>
  <c r="C150" i="21"/>
  <c r="C142" i="21"/>
  <c r="C134" i="21"/>
  <c r="C126" i="21"/>
  <c r="C118" i="21"/>
  <c r="C110" i="21"/>
  <c r="C102" i="21"/>
  <c r="C94" i="21"/>
  <c r="C86" i="21"/>
  <c r="C78" i="21"/>
  <c r="C70" i="21"/>
  <c r="C62" i="21"/>
  <c r="C54" i="21"/>
  <c r="C46" i="21"/>
  <c r="C372" i="21"/>
  <c r="C369" i="21"/>
  <c r="C366" i="21"/>
  <c r="C352" i="21"/>
  <c r="C349" i="21"/>
  <c r="C368" i="21"/>
  <c r="C365" i="21"/>
  <c r="C348" i="21"/>
  <c r="C294" i="21"/>
  <c r="C277" i="21"/>
  <c r="C274" i="21"/>
  <c r="C260" i="21"/>
  <c r="C257" i="21"/>
  <c r="C254" i="21"/>
  <c r="C232" i="21"/>
  <c r="C230" i="21"/>
  <c r="C215" i="21"/>
  <c r="C202" i="21"/>
  <c r="C194" i="21"/>
  <c r="C186" i="21"/>
  <c r="C178" i="21"/>
  <c r="C170" i="21"/>
  <c r="C162" i="21"/>
  <c r="C154" i="21"/>
  <c r="C146" i="21"/>
  <c r="C138" i="21"/>
  <c r="C130" i="21"/>
  <c r="C122" i="21"/>
  <c r="C114" i="21"/>
  <c r="C106" i="21"/>
  <c r="C98" i="21"/>
  <c r="C90" i="21"/>
  <c r="C82" i="21"/>
  <c r="C74" i="21"/>
  <c r="C66" i="21"/>
  <c r="C58" i="21"/>
  <c r="C50" i="21"/>
  <c r="C42" i="21"/>
  <c r="C373" i="21"/>
  <c r="C356" i="21"/>
  <c r="C350" i="21"/>
  <c r="C354" i="21"/>
  <c r="C337" i="21"/>
  <c r="C332" i="21"/>
  <c r="C317" i="21"/>
  <c r="C245" i="21"/>
  <c r="C201" i="21"/>
  <c r="C199" i="21"/>
  <c r="C184" i="21"/>
  <c r="C169" i="21"/>
  <c r="C167" i="21"/>
  <c r="C152" i="21"/>
  <c r="C137" i="21"/>
  <c r="C135" i="21"/>
  <c r="C120" i="21"/>
  <c r="C105" i="21"/>
  <c r="C103" i="21"/>
  <c r="C88" i="21"/>
  <c r="C73" i="21"/>
  <c r="C71" i="21"/>
  <c r="C56" i="21"/>
  <c r="C41" i="21"/>
  <c r="C39" i="21"/>
  <c r="C34" i="21"/>
  <c r="C26" i="21"/>
  <c r="C18" i="21"/>
  <c r="C336" i="21"/>
  <c r="C309" i="21"/>
  <c r="C305" i="21"/>
  <c r="C290" i="21"/>
  <c r="C286" i="21"/>
  <c r="C252" i="21"/>
  <c r="C224" i="21"/>
  <c r="C210" i="21"/>
  <c r="C205" i="21"/>
  <c r="C370" i="21"/>
  <c r="C353" i="21"/>
  <c r="C256" i="21"/>
  <c r="C227" i="21"/>
  <c r="C203" i="21"/>
  <c r="C374" i="21"/>
  <c r="C357" i="21"/>
  <c r="C340" i="21"/>
  <c r="C334" i="21"/>
  <c r="C300" i="21"/>
  <c r="C262" i="21"/>
  <c r="C258" i="21"/>
  <c r="C240" i="21"/>
  <c r="C226" i="21"/>
  <c r="C223" i="21"/>
  <c r="C220" i="21"/>
  <c r="C200" i="21"/>
  <c r="C185" i="21"/>
  <c r="C183" i="21"/>
  <c r="C168" i="21"/>
  <c r="C153" i="21"/>
  <c r="C151" i="21"/>
  <c r="C136" i="21"/>
  <c r="C121" i="21"/>
  <c r="C119" i="21"/>
  <c r="C104" i="21"/>
  <c r="C89" i="21"/>
  <c r="C87" i="21"/>
  <c r="C72" i="21"/>
  <c r="C57" i="21"/>
  <c r="C55" i="21"/>
  <c r="C40" i="21"/>
  <c r="C38" i="21"/>
  <c r="C30" i="21"/>
  <c r="C22" i="21"/>
  <c r="C326" i="21"/>
  <c r="C322" i="21"/>
  <c r="C292" i="21"/>
  <c r="C288" i="21"/>
  <c r="C273" i="21"/>
  <c r="C269" i="21"/>
  <c r="C234" i="21"/>
  <c r="C204" i="21"/>
  <c r="C37" i="21"/>
  <c r="C133" i="21"/>
  <c r="C116" i="21"/>
  <c r="C113" i="21"/>
  <c r="C96" i="21"/>
  <c r="C76" i="21"/>
  <c r="C59" i="21"/>
  <c r="C306" i="21"/>
  <c r="C239" i="21"/>
  <c r="C222" i="21"/>
  <c r="C99" i="21"/>
  <c r="C79" i="21"/>
  <c r="C53" i="21"/>
  <c r="C320" i="21"/>
  <c r="C244" i="21"/>
  <c r="C238" i="21"/>
  <c r="C181" i="21"/>
  <c r="C164" i="21"/>
  <c r="C161" i="21"/>
  <c r="C147" i="21"/>
  <c r="C144" i="21"/>
  <c r="C141" i="21"/>
  <c r="C127" i="21"/>
  <c r="C124" i="21"/>
  <c r="C107" i="21"/>
  <c r="C28" i="21"/>
  <c r="C289" i="21"/>
  <c r="C196" i="21"/>
  <c r="C192" i="21"/>
  <c r="C189" i="21"/>
  <c r="C175" i="21"/>
  <c r="C172" i="21"/>
  <c r="C155" i="21"/>
  <c r="C101" i="21"/>
  <c r="C84" i="21"/>
  <c r="C81" i="21"/>
  <c r="C67" i="21"/>
  <c r="C64" i="21"/>
  <c r="C61" i="21"/>
  <c r="C47" i="21"/>
  <c r="C44" i="21"/>
  <c r="C32" i="21"/>
  <c r="C17" i="21"/>
  <c r="C15" i="21"/>
  <c r="C333" i="21"/>
  <c r="C208" i="21"/>
  <c r="C149" i="21"/>
  <c r="C132" i="21"/>
  <c r="C129" i="21"/>
  <c r="C115" i="21"/>
  <c r="C112" i="21"/>
  <c r="C109" i="21"/>
  <c r="C95" i="21"/>
  <c r="C92" i="21"/>
  <c r="C75" i="21"/>
  <c r="C21" i="21"/>
  <c r="C19" i="21"/>
  <c r="C310" i="21"/>
  <c r="C272" i="21"/>
  <c r="C242" i="21"/>
  <c r="C195" i="21"/>
  <c r="C177" i="21"/>
  <c r="C163" i="21"/>
  <c r="C160" i="21"/>
  <c r="C143" i="21"/>
  <c r="C49" i="21"/>
  <c r="C36" i="21"/>
  <c r="C140" i="21"/>
  <c r="C123" i="21"/>
  <c r="C69" i="21"/>
  <c r="C25" i="21"/>
  <c r="C27" i="21"/>
  <c r="C325" i="21"/>
  <c r="C302" i="21"/>
  <c r="C236" i="21"/>
  <c r="C219" i="21"/>
  <c r="C180" i="21"/>
  <c r="C157" i="21"/>
  <c r="C52" i="21"/>
  <c r="C23" i="21"/>
  <c r="C364" i="21"/>
  <c r="C316" i="21"/>
  <c r="C278" i="21"/>
  <c r="C235" i="21"/>
  <c r="C218" i="21"/>
  <c r="C207" i="21"/>
  <c r="C191" i="21"/>
  <c r="C188" i="21"/>
  <c r="C171" i="21"/>
  <c r="C117" i="21"/>
  <c r="C100" i="21"/>
  <c r="C97" i="21"/>
  <c r="C83" i="21"/>
  <c r="C80" i="21"/>
  <c r="C77" i="21"/>
  <c r="C63" i="21"/>
  <c r="C60" i="21"/>
  <c r="C43" i="21"/>
  <c r="C29" i="21"/>
  <c r="C308" i="21"/>
  <c r="C293" i="21"/>
  <c r="C285" i="21"/>
  <c r="C270" i="21"/>
  <c r="C212" i="21"/>
  <c r="C165" i="21"/>
  <c r="C148" i="21"/>
  <c r="C145" i="21"/>
  <c r="C131" i="21"/>
  <c r="C128" i="21"/>
  <c r="C125" i="21"/>
  <c r="C111" i="21"/>
  <c r="C108" i="21"/>
  <c r="C91" i="21"/>
  <c r="C33" i="21"/>
  <c r="C31" i="21"/>
  <c r="C16" i="21"/>
  <c r="C261" i="21"/>
  <c r="C246" i="21"/>
  <c r="C228" i="21"/>
  <c r="C211" i="21"/>
  <c r="C193" i="21"/>
  <c r="C179" i="21"/>
  <c r="C176" i="21"/>
  <c r="C173" i="21"/>
  <c r="C159" i="21"/>
  <c r="C156" i="21"/>
  <c r="C139" i="21"/>
  <c r="C85" i="21"/>
  <c r="C68" i="21"/>
  <c r="C65" i="21"/>
  <c r="C51" i="21"/>
  <c r="C48" i="21"/>
  <c r="C45" i="21"/>
  <c r="C35" i="21"/>
  <c r="C20" i="21"/>
  <c r="C276" i="21"/>
  <c r="C268" i="21"/>
  <c r="C253" i="21"/>
  <c r="C197" i="21"/>
  <c r="C187" i="21"/>
  <c r="C93" i="21"/>
  <c r="C24" i="21"/>
  <c r="E14" i="21"/>
  <c r="E373" i="21"/>
  <c r="E365" i="21"/>
  <c r="E357" i="21"/>
  <c r="E349" i="21"/>
  <c r="E341" i="21"/>
  <c r="E333" i="21"/>
  <c r="E325" i="21"/>
  <c r="E317" i="21"/>
  <c r="E309" i="21"/>
  <c r="E301" i="21"/>
  <c r="E293" i="21"/>
  <c r="E285" i="21"/>
  <c r="E277" i="21"/>
  <c r="E269" i="21"/>
  <c r="E261" i="21"/>
  <c r="E253" i="21"/>
  <c r="E245" i="21"/>
  <c r="E377" i="21"/>
  <c r="E369" i="21"/>
  <c r="E361" i="21"/>
  <c r="E353" i="21"/>
  <c r="E345" i="21"/>
  <c r="E337" i="21"/>
  <c r="E329" i="21"/>
  <c r="E321" i="21"/>
  <c r="E313" i="21"/>
  <c r="E305" i="21"/>
  <c r="E297" i="21"/>
  <c r="E289" i="21"/>
  <c r="E281" i="21"/>
  <c r="E273" i="21"/>
  <c r="E265" i="21"/>
  <c r="E257" i="21"/>
  <c r="E249" i="21"/>
  <c r="E367" i="21"/>
  <c r="E352" i="21"/>
  <c r="E350" i="21"/>
  <c r="E335" i="21"/>
  <c r="E320" i="21"/>
  <c r="E318" i="21"/>
  <c r="E303" i="21"/>
  <c r="E288" i="21"/>
  <c r="E286" i="21"/>
  <c r="E271" i="21"/>
  <c r="E256" i="21"/>
  <c r="E254" i="21"/>
  <c r="E235" i="21"/>
  <c r="E227" i="21"/>
  <c r="E219" i="21"/>
  <c r="E211" i="21"/>
  <c r="E368" i="21"/>
  <c r="E366" i="21"/>
  <c r="E351" i="21"/>
  <c r="E336" i="21"/>
  <c r="E334" i="21"/>
  <c r="E319" i="21"/>
  <c r="E304" i="21"/>
  <c r="E302" i="21"/>
  <c r="E287" i="21"/>
  <c r="E272" i="21"/>
  <c r="E270" i="21"/>
  <c r="E255" i="21"/>
  <c r="E239" i="21"/>
  <c r="E231" i="21"/>
  <c r="E223" i="21"/>
  <c r="E215" i="21"/>
  <c r="E370" i="21"/>
  <c r="E332" i="21"/>
  <c r="E315" i="21"/>
  <c r="E312" i="21"/>
  <c r="E298" i="21"/>
  <c r="E295" i="21"/>
  <c r="E292" i="21"/>
  <c r="E278" i="21"/>
  <c r="E275" i="21"/>
  <c r="E258" i="21"/>
  <c r="E237" i="21"/>
  <c r="E222" i="21"/>
  <c r="E220" i="21"/>
  <c r="E204" i="21"/>
  <c r="E196" i="21"/>
  <c r="E188" i="21"/>
  <c r="E180" i="21"/>
  <c r="E172" i="21"/>
  <c r="E164" i="21"/>
  <c r="E156" i="21"/>
  <c r="E148" i="21"/>
  <c r="E140" i="21"/>
  <c r="E132" i="21"/>
  <c r="E124" i="21"/>
  <c r="E116" i="21"/>
  <c r="E108" i="21"/>
  <c r="E100" i="21"/>
  <c r="E92" i="21"/>
  <c r="E84" i="21"/>
  <c r="E76" i="21"/>
  <c r="E68" i="21"/>
  <c r="E60" i="21"/>
  <c r="E52" i="21"/>
  <c r="E44" i="21"/>
  <c r="E363" i="21"/>
  <c r="E360" i="21"/>
  <c r="E346" i="21"/>
  <c r="E343" i="21"/>
  <c r="E340" i="21"/>
  <c r="E376" i="21"/>
  <c r="E362" i="21"/>
  <c r="E359" i="21"/>
  <c r="E356" i="21"/>
  <c r="E342" i="21"/>
  <c r="E339" i="21"/>
  <c r="E322" i="21"/>
  <c r="E268" i="21"/>
  <c r="E251" i="21"/>
  <c r="E248" i="21"/>
  <c r="E238" i="21"/>
  <c r="E236" i="21"/>
  <c r="E221" i="21"/>
  <c r="E200" i="21"/>
  <c r="E192" i="21"/>
  <c r="E184" i="21"/>
  <c r="E176" i="21"/>
  <c r="E168" i="21"/>
  <c r="E160" i="21"/>
  <c r="E152" i="21"/>
  <c r="E144" i="21"/>
  <c r="E136" i="21"/>
  <c r="E128" i="21"/>
  <c r="E120" i="21"/>
  <c r="E112" i="21"/>
  <c r="E104" i="21"/>
  <c r="E96" i="21"/>
  <c r="E88" i="21"/>
  <c r="E80" i="21"/>
  <c r="E72" i="21"/>
  <c r="E64" i="21"/>
  <c r="E56" i="21"/>
  <c r="E48" i="21"/>
  <c r="E40" i="21"/>
  <c r="E344" i="21"/>
  <c r="E280" i="21"/>
  <c r="E242" i="21"/>
  <c r="E225" i="21"/>
  <c r="E195" i="21"/>
  <c r="E378" i="21"/>
  <c r="E348" i="21"/>
  <c r="E328" i="21"/>
  <c r="E324" i="21"/>
  <c r="E294" i="21"/>
  <c r="E290" i="21"/>
  <c r="E252" i="21"/>
  <c r="E241" i="21"/>
  <c r="E224" i="21"/>
  <c r="E207" i="21"/>
  <c r="E205" i="21"/>
  <c r="E190" i="21"/>
  <c r="E175" i="21"/>
  <c r="E173" i="21"/>
  <c r="E158" i="21"/>
  <c r="E143" i="21"/>
  <c r="E141" i="21"/>
  <c r="E126" i="21"/>
  <c r="E111" i="21"/>
  <c r="E109" i="21"/>
  <c r="E94" i="21"/>
  <c r="E79" i="21"/>
  <c r="E77" i="21"/>
  <c r="E62" i="21"/>
  <c r="E47" i="21"/>
  <c r="E45" i="21"/>
  <c r="E32" i="21"/>
  <c r="E24" i="21"/>
  <c r="E16" i="21"/>
  <c r="E282" i="21"/>
  <c r="E263" i="21"/>
  <c r="E259" i="21"/>
  <c r="E218" i="21"/>
  <c r="E194" i="21"/>
  <c r="E364" i="21"/>
  <c r="E347" i="21"/>
  <c r="E316" i="21"/>
  <c r="E267" i="21"/>
  <c r="E244" i="21"/>
  <c r="E375" i="21"/>
  <c r="E374" i="21"/>
  <c r="E330" i="21"/>
  <c r="E326" i="21"/>
  <c r="E311" i="21"/>
  <c r="E307" i="21"/>
  <c r="E234" i="21"/>
  <c r="E217" i="21"/>
  <c r="E214" i="21"/>
  <c r="E206" i="21"/>
  <c r="E191" i="21"/>
  <c r="E189" i="21"/>
  <c r="E174" i="21"/>
  <c r="E159" i="21"/>
  <c r="E157" i="21"/>
  <c r="E142" i="21"/>
  <c r="E127" i="21"/>
  <c r="E125" i="21"/>
  <c r="E110" i="21"/>
  <c r="E95" i="21"/>
  <c r="E93" i="21"/>
  <c r="E78" i="21"/>
  <c r="E63" i="21"/>
  <c r="E61" i="21"/>
  <c r="E46" i="21"/>
  <c r="E36" i="21"/>
  <c r="E28" i="21"/>
  <c r="E20" i="21"/>
  <c r="E299" i="21"/>
  <c r="E284" i="21"/>
  <c r="E276" i="21"/>
  <c r="E250" i="21"/>
  <c r="E246" i="21"/>
  <c r="E228" i="21"/>
  <c r="E208" i="21"/>
  <c r="E193" i="21"/>
  <c r="E210" i="21"/>
  <c r="E90" i="21"/>
  <c r="E67" i="21"/>
  <c r="E53" i="21"/>
  <c r="E30" i="21"/>
  <c r="E17" i="21"/>
  <c r="E283" i="21"/>
  <c r="E260" i="21"/>
  <c r="E201" i="21"/>
  <c r="E181" i="21"/>
  <c r="E87" i="21"/>
  <c r="E70" i="21"/>
  <c r="E50" i="21"/>
  <c r="E15" i="21"/>
  <c r="E358" i="21"/>
  <c r="E327" i="21"/>
  <c r="E274" i="21"/>
  <c r="E232" i="21"/>
  <c r="E226" i="21"/>
  <c r="E209" i="21"/>
  <c r="E155" i="21"/>
  <c r="E138" i="21"/>
  <c r="E135" i="21"/>
  <c r="E121" i="21"/>
  <c r="E118" i="21"/>
  <c r="E115" i="21"/>
  <c r="E101" i="21"/>
  <c r="E98" i="21"/>
  <c r="E81" i="21"/>
  <c r="E34" i="21"/>
  <c r="E296" i="21"/>
  <c r="E266" i="21"/>
  <c r="E243" i="21"/>
  <c r="E186" i="21"/>
  <c r="E183" i="21"/>
  <c r="E169" i="21"/>
  <c r="E166" i="21"/>
  <c r="E163" i="21"/>
  <c r="E149" i="21"/>
  <c r="E146" i="21"/>
  <c r="E129" i="21"/>
  <c r="E75" i="21"/>
  <c r="E58" i="21"/>
  <c r="E55" i="21"/>
  <c r="E41" i="21"/>
  <c r="E38" i="21"/>
  <c r="E23" i="21"/>
  <c r="E21" i="21"/>
  <c r="E355" i="21"/>
  <c r="E310" i="21"/>
  <c r="E199" i="21"/>
  <c r="E177" i="21"/>
  <c r="E123" i="21"/>
  <c r="E106" i="21"/>
  <c r="E103" i="21"/>
  <c r="E89" i="21"/>
  <c r="E86" i="21"/>
  <c r="E83" i="21"/>
  <c r="E69" i="21"/>
  <c r="E66" i="21"/>
  <c r="E49" i="21"/>
  <c r="E27" i="21"/>
  <c r="E25" i="21"/>
  <c r="E264" i="21"/>
  <c r="E230" i="21"/>
  <c r="E213" i="21"/>
  <c r="E203" i="21"/>
  <c r="E154" i="21"/>
  <c r="E134" i="21"/>
  <c r="E117" i="21"/>
  <c r="E171" i="21"/>
  <c r="E151" i="21"/>
  <c r="E131" i="21"/>
  <c r="E114" i="21"/>
  <c r="E31" i="21"/>
  <c r="E354" i="21"/>
  <c r="E279" i="21"/>
  <c r="E137" i="21"/>
  <c r="E97" i="21"/>
  <c r="E43" i="21"/>
  <c r="E29" i="21"/>
  <c r="E54" i="21"/>
  <c r="E33" i="21"/>
  <c r="E331" i="21"/>
  <c r="E323" i="21"/>
  <c r="E308" i="21"/>
  <c r="E229" i="21"/>
  <c r="E212" i="21"/>
  <c r="E198" i="21"/>
  <c r="E185" i="21"/>
  <c r="E182" i="21"/>
  <c r="E179" i="21"/>
  <c r="E165" i="21"/>
  <c r="E162" i="21"/>
  <c r="E145" i="21"/>
  <c r="E91" i="21"/>
  <c r="E74" i="21"/>
  <c r="E71" i="21"/>
  <c r="E57" i="21"/>
  <c r="E51" i="21"/>
  <c r="E35" i="21"/>
  <c r="E18" i="21"/>
  <c r="E300" i="21"/>
  <c r="E262" i="21"/>
  <c r="E247" i="21"/>
  <c r="E240" i="21"/>
  <c r="E202" i="21"/>
  <c r="E139" i="21"/>
  <c r="E122" i="21"/>
  <c r="E119" i="21"/>
  <c r="E105" i="21"/>
  <c r="E102" i="21"/>
  <c r="E99" i="21"/>
  <c r="E85" i="21"/>
  <c r="E82" i="21"/>
  <c r="E65" i="21"/>
  <c r="E37" i="21"/>
  <c r="E22" i="21"/>
  <c r="E372" i="21"/>
  <c r="E338" i="21"/>
  <c r="E314" i="21"/>
  <c r="E306" i="21"/>
  <c r="E291" i="21"/>
  <c r="E197" i="21"/>
  <c r="E187" i="21"/>
  <c r="E170" i="21"/>
  <c r="E167" i="21"/>
  <c r="E153" i="21"/>
  <c r="E150" i="21"/>
  <c r="E147" i="21"/>
  <c r="E133" i="21"/>
  <c r="E130" i="21"/>
  <c r="E113" i="21"/>
  <c r="E59" i="21"/>
  <c r="E42" i="21"/>
  <c r="E39" i="21"/>
  <c r="E26" i="21"/>
  <c r="E371" i="21"/>
  <c r="E233" i="21"/>
  <c r="E216" i="21"/>
  <c r="E178" i="21"/>
  <c r="E161" i="21"/>
  <c r="E107" i="21"/>
  <c r="E73" i="21"/>
  <c r="E19" i="21"/>
  <c r="B37" i="18"/>
  <c r="C14" i="21"/>
  <c r="D11" i="18"/>
  <c r="D18" i="18"/>
  <c r="D24" i="18"/>
  <c r="D31" i="18"/>
  <c r="D37" i="18"/>
  <c r="E18" i="18"/>
  <c r="E31" i="18"/>
  <c r="E24" i="18"/>
  <c r="E37" i="18"/>
  <c r="E11" i="18"/>
  <c r="C24" i="18"/>
  <c r="C37" i="18"/>
  <c r="C11" i="18"/>
  <c r="C18" i="18"/>
  <c r="C31" i="18"/>
  <c r="D14" i="18"/>
  <c r="C14" i="18"/>
  <c r="B24" i="18"/>
  <c r="B31" i="18"/>
  <c r="B11" i="18"/>
  <c r="B18" i="18"/>
  <c r="F10" i="2" l="1"/>
  <c r="F9" i="2"/>
  <c r="F8" i="2"/>
  <c r="H9" i="2" l="1"/>
  <c r="G9" i="2"/>
  <c r="X12" i="17"/>
  <c r="B27" i="18"/>
  <c r="C27" i="18"/>
  <c r="D27" i="18"/>
  <c r="E8" i="21"/>
  <c r="D8" i="21"/>
  <c r="C8" i="21"/>
  <c r="G10" i="2"/>
  <c r="H10" i="2"/>
  <c r="H8" i="2"/>
  <c r="N31" i="26" l="1"/>
  <c r="C19" i="19" l="1"/>
  <c r="B19" i="19"/>
  <c r="C20" i="19"/>
  <c r="D19" i="19" l="1"/>
  <c r="F8" i="30" s="1" a="1"/>
  <c r="F8" i="30" s="1"/>
  <c r="G8" i="30" s="1"/>
  <c r="B18" i="19"/>
  <c r="C18" i="19"/>
  <c r="D18" i="19" l="1"/>
  <c r="F11" i="30" s="1" a="1"/>
  <c r="F11" i="30" s="1"/>
  <c r="C21" i="19"/>
  <c r="B21" i="19"/>
  <c r="B20" i="19"/>
  <c r="G11" i="30" l="1"/>
  <c r="E16" i="18"/>
  <c r="D10" i="19"/>
  <c r="D9" i="30" s="1" a="1"/>
  <c r="D9" i="30" s="1"/>
  <c r="A9" i="17"/>
  <c r="B9" i="17"/>
  <c r="A10" i="17"/>
  <c r="B10" i="17"/>
  <c r="E9" i="30" l="1"/>
  <c r="E9" i="17"/>
  <c r="H9" i="17"/>
  <c r="G9" i="17"/>
  <c r="H10" i="17"/>
  <c r="G10" i="17"/>
  <c r="E10" i="17"/>
  <c r="D9" i="17"/>
  <c r="C9" i="17"/>
  <c r="C10" i="17"/>
  <c r="D10" i="17"/>
  <c r="N30" i="26" l="1"/>
  <c r="N29" i="26"/>
  <c r="N28" i="26"/>
  <c r="N27" i="26"/>
  <c r="N26" i="26"/>
  <c r="N25" i="26"/>
  <c r="N24" i="26"/>
  <c r="N23" i="26"/>
  <c r="N22" i="26"/>
  <c r="N21" i="26"/>
  <c r="N20" i="26"/>
  <c r="N19" i="26"/>
  <c r="N18" i="26"/>
  <c r="N17" i="26"/>
  <c r="O16" i="26" l="1"/>
  <c r="O19" i="26"/>
  <c r="O32" i="26"/>
  <c r="O27" i="26"/>
  <c r="O30" i="26"/>
  <c r="O31" i="26"/>
  <c r="O29" i="26"/>
  <c r="O17" i="26"/>
  <c r="O21" i="26"/>
  <c r="O25" i="26"/>
  <c r="O23" i="26"/>
  <c r="O18" i="26"/>
  <c r="O20" i="26"/>
  <c r="O22" i="26"/>
  <c r="O24" i="26"/>
  <c r="O26" i="26"/>
  <c r="O28" i="26"/>
  <c r="C64" i="24" l="1"/>
  <c r="C60" i="24"/>
  <c r="C56" i="24"/>
  <c r="C52" i="24"/>
  <c r="C55" i="24"/>
  <c r="C51" i="24"/>
  <c r="C63" i="24"/>
  <c r="C62" i="24"/>
  <c r="C58" i="24"/>
  <c r="C54" i="24"/>
  <c r="C50" i="24"/>
  <c r="C61" i="24"/>
  <c r="C57" i="24"/>
  <c r="C53" i="24"/>
  <c r="C49" i="24"/>
  <c r="C59" i="24"/>
  <c r="C70" i="24"/>
  <c r="C75" i="24"/>
  <c r="C78" i="24"/>
  <c r="H99" i="24"/>
  <c r="H94" i="24"/>
  <c r="H90" i="24"/>
  <c r="I89" i="24"/>
  <c r="G93" i="24"/>
  <c r="F98" i="24"/>
  <c r="I97" i="24"/>
  <c r="I95" i="24"/>
  <c r="I94" i="24"/>
  <c r="G99" i="24"/>
  <c r="G94" i="24"/>
  <c r="G90" i="24"/>
  <c r="I93" i="24"/>
  <c r="G89" i="24"/>
  <c r="F93" i="24"/>
  <c r="I88" i="24"/>
  <c r="H97" i="24"/>
  <c r="H88" i="24"/>
  <c r="G88" i="24"/>
  <c r="G91" i="24"/>
  <c r="I90" i="24"/>
  <c r="F99" i="24"/>
  <c r="F94" i="24"/>
  <c r="F90" i="24"/>
  <c r="G98" i="24"/>
  <c r="F89" i="24"/>
  <c r="F92" i="24"/>
  <c r="I91" i="24"/>
  <c r="H95" i="24"/>
  <c r="I98" i="24"/>
  <c r="H89" i="24"/>
  <c r="H98" i="24"/>
  <c r="H93" i="24"/>
  <c r="H92" i="24"/>
  <c r="G97" i="24"/>
  <c r="I92" i="24"/>
  <c r="G92" i="24"/>
  <c r="F97" i="24"/>
  <c r="F88" i="24"/>
  <c r="H91" i="24"/>
  <c r="G95" i="24"/>
  <c r="F91" i="24"/>
  <c r="I99" i="24"/>
  <c r="F95" i="24"/>
  <c r="C79" i="24" l="1"/>
  <c r="B8" i="30" s="1" a="1"/>
  <c r="B8" i="30" s="1"/>
  <c r="E17" i="18"/>
  <c r="E23" i="18"/>
  <c r="C11" i="30"/>
  <c r="L11" i="31"/>
  <c r="B107" i="24"/>
  <c r="B10" i="30" s="1" a="1"/>
  <c r="B10" i="30" s="1"/>
  <c r="B102" i="24"/>
  <c r="B9" i="30" s="1" a="1"/>
  <c r="B9" i="30" s="1"/>
  <c r="C17" i="18" l="1"/>
  <c r="C23" i="18"/>
  <c r="C9" i="30"/>
  <c r="J11" i="31"/>
  <c r="C10" i="30"/>
  <c r="K11" i="31"/>
  <c r="D21" i="19"/>
  <c r="F10" i="30" s="1" a="1"/>
  <c r="F10" i="30" s="1"/>
  <c r="D20" i="19"/>
  <c r="F9" i="30" s="1" a="1"/>
  <c r="F9" i="30" s="1"/>
  <c r="D14" i="19"/>
  <c r="D13" i="19"/>
  <c r="D9" i="19"/>
  <c r="D8" i="30" s="1" a="1"/>
  <c r="D8" i="30" s="1"/>
  <c r="D11" i="19"/>
  <c r="D10" i="30" s="1" a="1"/>
  <c r="D10" i="30" s="1"/>
  <c r="E14" i="18" l="1"/>
  <c r="E20" i="18" s="1"/>
  <c r="L13" i="31" s="1"/>
  <c r="H11" i="30" a="1"/>
  <c r="H11" i="30" s="1"/>
  <c r="E33" i="18" s="1"/>
  <c r="B14" i="18"/>
  <c r="H8" i="30" a="1"/>
  <c r="H8" i="30" s="1"/>
  <c r="B22" i="18" s="1"/>
  <c r="B16" i="18"/>
  <c r="E8" i="30"/>
  <c r="C22" i="18"/>
  <c r="C26" i="18" s="1"/>
  <c r="C39" i="18"/>
  <c r="C33" i="18"/>
  <c r="D39" i="18"/>
  <c r="D22" i="18"/>
  <c r="D33" i="18"/>
  <c r="E10" i="30"/>
  <c r="D23" i="18"/>
  <c r="D17" i="18"/>
  <c r="G9" i="30"/>
  <c r="C16" i="18"/>
  <c r="C20" i="18" s="1"/>
  <c r="J13" i="31" s="1"/>
  <c r="G10" i="30"/>
  <c r="D16" i="18"/>
  <c r="I11" i="30" l="1"/>
  <c r="E22" i="18"/>
  <c r="E26" i="18" s="1"/>
  <c r="L14" i="31" s="1"/>
  <c r="E39" i="18"/>
  <c r="B33" i="18"/>
  <c r="B39" i="18"/>
  <c r="I8" i="30"/>
  <c r="B23" i="18"/>
  <c r="B26" i="18" s="1"/>
  <c r="I14" i="31" s="1"/>
  <c r="J14" i="31"/>
  <c r="D26" i="18"/>
  <c r="K14" i="31" s="1"/>
  <c r="B17" i="18"/>
  <c r="B20" i="18" s="1"/>
  <c r="C30" i="33"/>
  <c r="D30" i="33" s="1"/>
  <c r="D20" i="18"/>
  <c r="K13" i="31" s="1"/>
  <c r="C31" i="33"/>
  <c r="D31" i="33" s="1"/>
  <c r="C8" i="30"/>
  <c r="I11" i="31"/>
  <c r="B8" i="17"/>
  <c r="A8" i="17"/>
  <c r="C32" i="33" l="1"/>
  <c r="D32" i="33" s="1"/>
  <c r="C29" i="33"/>
  <c r="D29" i="33" s="1"/>
  <c r="E8" i="17"/>
  <c r="Z8" i="17" s="1"/>
  <c r="H8" i="17"/>
  <c r="G8" i="17"/>
  <c r="C8" i="17"/>
  <c r="D8" i="17"/>
  <c r="F11" i="2"/>
  <c r="E27" i="18" l="1"/>
  <c r="F8" i="21"/>
  <c r="H11" i="2"/>
  <c r="D13" i="31" s="1"/>
  <c r="G11" i="2"/>
  <c r="C13" i="31" s="1"/>
  <c r="D5" i="16"/>
  <c r="O10" i="4" s="1" a="1"/>
  <c r="O10" i="4" s="1"/>
  <c r="P10" i="4" s="1"/>
  <c r="D6" i="16"/>
  <c r="O11" i="4" s="1" a="1"/>
  <c r="O11" i="4" s="1"/>
  <c r="P11" i="4" s="1"/>
  <c r="D7" i="16"/>
  <c r="O12" i="4" s="1" a="1"/>
  <c r="O12" i="4" s="1"/>
  <c r="P12" i="4" s="1"/>
  <c r="D4" i="16"/>
  <c r="F11" i="17" l="1"/>
  <c r="Q11" i="17" l="1"/>
  <c r="O11" i="17"/>
  <c r="T11" i="17"/>
  <c r="M11" i="17"/>
  <c r="P11" i="17"/>
  <c r="K11" i="17"/>
  <c r="S11" i="17"/>
  <c r="I11" i="17"/>
  <c r="N11" i="17"/>
  <c r="R11" i="17"/>
  <c r="L11" i="17"/>
  <c r="J11" i="17"/>
  <c r="X11" i="17"/>
  <c r="V11" i="17"/>
  <c r="W11" i="17"/>
  <c r="Y11" i="17"/>
  <c r="C24" i="33"/>
  <c r="D24" i="33" s="1"/>
  <c r="F9" i="17"/>
  <c r="F8" i="17"/>
  <c r="F10" i="17"/>
  <c r="K15" i="17"/>
  <c r="J10" i="17" l="1"/>
  <c r="R10" i="17"/>
  <c r="L10" i="17"/>
  <c r="S10" i="17"/>
  <c r="Q10" i="17"/>
  <c r="I10" i="17"/>
  <c r="M10" i="17"/>
  <c r="P10" i="17"/>
  <c r="N10" i="17"/>
  <c r="O10" i="17"/>
  <c r="T10" i="17"/>
  <c r="K10" i="17"/>
  <c r="S9" i="17"/>
  <c r="P9" i="17"/>
  <c r="I9" i="17"/>
  <c r="Q9" i="17"/>
  <c r="O9" i="17"/>
  <c r="N9" i="17"/>
  <c r="J9" i="17"/>
  <c r="L9" i="17"/>
  <c r="K9" i="17"/>
  <c r="R9" i="17"/>
  <c r="T9" i="17"/>
  <c r="M9" i="17"/>
  <c r="P8" i="17"/>
  <c r="K8" i="17"/>
  <c r="I8" i="17"/>
  <c r="R8" i="17"/>
  <c r="S8" i="17"/>
  <c r="J8" i="17"/>
  <c r="O8" i="17"/>
  <c r="N8" i="17"/>
  <c r="Q8" i="17"/>
  <c r="L8" i="17"/>
  <c r="T8" i="17"/>
  <c r="M8" i="17"/>
  <c r="U11" i="17"/>
  <c r="V8" i="17"/>
  <c r="X10" i="17"/>
  <c r="V10" i="17"/>
  <c r="W10" i="17"/>
  <c r="Y10" i="17"/>
  <c r="X8" i="17"/>
  <c r="W8" i="17"/>
  <c r="Y8" i="17"/>
  <c r="X9" i="17"/>
  <c r="V9" i="17"/>
  <c r="W9" i="17"/>
  <c r="Y9" i="17"/>
  <c r="J15" i="17"/>
  <c r="J67" i="21" s="1"/>
  <c r="I15" i="17"/>
  <c r="O15" i="17"/>
  <c r="J196" i="21" s="1"/>
  <c r="P15" i="17"/>
  <c r="J236" i="21" s="1"/>
  <c r="T15" i="17"/>
  <c r="J374" i="21" s="1"/>
  <c r="S15" i="17"/>
  <c r="J332" i="21" s="1"/>
  <c r="Q15" i="17"/>
  <c r="J271" i="21" s="1"/>
  <c r="M15" i="17"/>
  <c r="J151" i="21" s="1"/>
  <c r="R15" i="17"/>
  <c r="J303" i="21" s="1"/>
  <c r="N15" i="17"/>
  <c r="J172" i="21" s="1"/>
  <c r="L15" i="17"/>
  <c r="J119" i="21" s="1"/>
  <c r="J100" i="21"/>
  <c r="J75" i="21"/>
  <c r="J101" i="21"/>
  <c r="J94" i="21"/>
  <c r="J98" i="21"/>
  <c r="J91" i="21"/>
  <c r="J79" i="21"/>
  <c r="J90" i="21"/>
  <c r="J85" i="21"/>
  <c r="J86" i="21"/>
  <c r="J103" i="21"/>
  <c r="J87" i="21"/>
  <c r="J92" i="21"/>
  <c r="J93" i="21"/>
  <c r="J97" i="21"/>
  <c r="J82" i="21"/>
  <c r="J81" i="21"/>
  <c r="J80" i="21"/>
  <c r="J73" i="21"/>
  <c r="J99" i="21"/>
  <c r="J83" i="21"/>
  <c r="J76" i="21"/>
  <c r="J74" i="21"/>
  <c r="J102" i="21"/>
  <c r="J78" i="21"/>
  <c r="J89" i="21"/>
  <c r="J96" i="21"/>
  <c r="J84" i="21"/>
  <c r="J95" i="21"/>
  <c r="J88" i="21"/>
  <c r="J77" i="21"/>
  <c r="J14" i="21" l="1"/>
  <c r="I22" i="17"/>
  <c r="C14" i="31"/>
  <c r="J26" i="21"/>
  <c r="S17" i="17"/>
  <c r="K345" i="21" s="1"/>
  <c r="J17" i="17"/>
  <c r="K48" i="21" s="1"/>
  <c r="J54" i="21"/>
  <c r="J58" i="21"/>
  <c r="J47" i="21"/>
  <c r="J70" i="21"/>
  <c r="J65" i="21"/>
  <c r="J51" i="21"/>
  <c r="J61" i="21"/>
  <c r="J72" i="21"/>
  <c r="J69" i="21"/>
  <c r="J52" i="21"/>
  <c r="J63" i="21"/>
  <c r="J66" i="21"/>
  <c r="J71" i="21"/>
  <c r="J68" i="21"/>
  <c r="J48" i="21"/>
  <c r="J56" i="21"/>
  <c r="J45" i="21"/>
  <c r="J59" i="21"/>
  <c r="J64" i="21"/>
  <c r="J46" i="21"/>
  <c r="J60" i="21"/>
  <c r="J62" i="21"/>
  <c r="J50" i="21"/>
  <c r="J53" i="21"/>
  <c r="J57" i="21"/>
  <c r="J49" i="21"/>
  <c r="J55" i="21"/>
  <c r="S16" i="17"/>
  <c r="J208" i="21"/>
  <c r="J16" i="17"/>
  <c r="J195" i="21"/>
  <c r="J211" i="21"/>
  <c r="J221" i="21"/>
  <c r="J220" i="21"/>
  <c r="J223" i="21"/>
  <c r="J219" i="21"/>
  <c r="J224" i="21"/>
  <c r="J210" i="21"/>
  <c r="J199" i="21"/>
  <c r="J213" i="21"/>
  <c r="J215" i="21"/>
  <c r="J216" i="21"/>
  <c r="J200" i="21"/>
  <c r="J214" i="21"/>
  <c r="J222" i="21"/>
  <c r="J202" i="21"/>
  <c r="J217" i="21"/>
  <c r="J225" i="21"/>
  <c r="J205" i="21"/>
  <c r="M18" i="17"/>
  <c r="R17" i="17"/>
  <c r="K288" i="21" s="1"/>
  <c r="P16" i="17"/>
  <c r="J18" i="17"/>
  <c r="S18" i="17"/>
  <c r="J377" i="21"/>
  <c r="R16" i="17"/>
  <c r="J39" i="21"/>
  <c r="J21" i="21"/>
  <c r="O18" i="17"/>
  <c r="K16" i="17"/>
  <c r="J17" i="21"/>
  <c r="J38" i="21"/>
  <c r="J36" i="21"/>
  <c r="T16" i="17"/>
  <c r="J201" i="21"/>
  <c r="J28" i="21"/>
  <c r="J16" i="21"/>
  <c r="J198" i="21"/>
  <c r="J204" i="21"/>
  <c r="J212" i="21"/>
  <c r="J206" i="21"/>
  <c r="J197" i="21"/>
  <c r="J209" i="21"/>
  <c r="J203" i="21"/>
  <c r="J207" i="21"/>
  <c r="J218" i="21"/>
  <c r="N18" i="17"/>
  <c r="N17" i="17"/>
  <c r="K172" i="21" s="1"/>
  <c r="N16" i="17"/>
  <c r="J254" i="21"/>
  <c r="J232" i="21"/>
  <c r="J243" i="21"/>
  <c r="J244" i="21"/>
  <c r="R18" i="17"/>
  <c r="M17" i="17"/>
  <c r="K145" i="21" s="1"/>
  <c r="J33" i="21"/>
  <c r="Q16" i="17"/>
  <c r="L18" i="17"/>
  <c r="U9" i="17"/>
  <c r="J227" i="21"/>
  <c r="P17" i="17"/>
  <c r="K231" i="21" s="1"/>
  <c r="I17" i="17"/>
  <c r="M16" i="17"/>
  <c r="J233" i="21"/>
  <c r="J229" i="21"/>
  <c r="J367" i="21"/>
  <c r="T18" i="17"/>
  <c r="Q18" i="17"/>
  <c r="Q17" i="17"/>
  <c r="K270" i="21" s="1"/>
  <c r="L17" i="17"/>
  <c r="K122" i="21" s="1"/>
  <c r="U10" i="17"/>
  <c r="J357" i="21"/>
  <c r="T17" i="17"/>
  <c r="K18" i="17"/>
  <c r="O16" i="17"/>
  <c r="J360" i="21"/>
  <c r="L16" i="17"/>
  <c r="K17" i="17"/>
  <c r="K91" i="21" s="1"/>
  <c r="O17" i="17"/>
  <c r="K205" i="21" s="1"/>
  <c r="U8" i="17"/>
  <c r="P18" i="17"/>
  <c r="I16" i="17"/>
  <c r="I18" i="17"/>
  <c r="J373" i="21"/>
  <c r="J366" i="21"/>
  <c r="J356" i="21"/>
  <c r="J369" i="21"/>
  <c r="J362" i="21"/>
  <c r="J378" i="21"/>
  <c r="J350" i="21"/>
  <c r="J352" i="21"/>
  <c r="J361" i="21"/>
  <c r="J368" i="21"/>
  <c r="J364" i="21"/>
  <c r="J238" i="21"/>
  <c r="J240" i="21"/>
  <c r="J250" i="21"/>
  <c r="J226" i="21"/>
  <c r="J249" i="21"/>
  <c r="J251" i="21"/>
  <c r="J248" i="21"/>
  <c r="J255" i="21"/>
  <c r="J355" i="21"/>
  <c r="J365" i="21"/>
  <c r="J348" i="21"/>
  <c r="J375" i="21"/>
  <c r="J349" i="21"/>
  <c r="J358" i="21"/>
  <c r="J372" i="21"/>
  <c r="J371" i="21"/>
  <c r="J351" i="21"/>
  <c r="J359" i="21"/>
  <c r="J370" i="21"/>
  <c r="J376" i="21"/>
  <c r="J353" i="21"/>
  <c r="J239" i="21"/>
  <c r="J246" i="21"/>
  <c r="J241" i="21"/>
  <c r="J235" i="21"/>
  <c r="J256" i="21"/>
  <c r="J234" i="21"/>
  <c r="J231" i="21"/>
  <c r="J247" i="21"/>
  <c r="J253" i="21"/>
  <c r="J245" i="21"/>
  <c r="J242" i="21"/>
  <c r="J228" i="21"/>
  <c r="J252" i="21"/>
  <c r="J230" i="21"/>
  <c r="J237" i="21"/>
  <c r="J363" i="21"/>
  <c r="J354" i="21"/>
  <c r="J269" i="21"/>
  <c r="J138" i="21"/>
  <c r="J136" i="21"/>
  <c r="J154" i="21"/>
  <c r="J152" i="21"/>
  <c r="J155" i="21"/>
  <c r="J156" i="21"/>
  <c r="J135" i="21"/>
  <c r="J158" i="21"/>
  <c r="J159" i="21"/>
  <c r="J150" i="21"/>
  <c r="J163" i="21"/>
  <c r="J134" i="21"/>
  <c r="J160" i="21"/>
  <c r="J144" i="21"/>
  <c r="J157" i="21"/>
  <c r="J140" i="21"/>
  <c r="J147" i="21"/>
  <c r="J139" i="21"/>
  <c r="J149" i="21"/>
  <c r="J141" i="21"/>
  <c r="J153" i="21"/>
  <c r="J146" i="21"/>
  <c r="J164" i="21"/>
  <c r="J162" i="21"/>
  <c r="J142" i="21"/>
  <c r="J145" i="21"/>
  <c r="J137" i="21"/>
  <c r="J143" i="21"/>
  <c r="J161" i="21"/>
  <c r="J148" i="21"/>
  <c r="J121" i="21"/>
  <c r="J274" i="21"/>
  <c r="J281" i="21"/>
  <c r="J275" i="21"/>
  <c r="J259" i="21"/>
  <c r="J267" i="21"/>
  <c r="J118" i="21"/>
  <c r="J330" i="21"/>
  <c r="J336" i="21"/>
  <c r="J333" i="21"/>
  <c r="J343" i="21"/>
  <c r="J318" i="21"/>
  <c r="J329" i="21"/>
  <c r="J104" i="21"/>
  <c r="J338" i="21"/>
  <c r="J345" i="21"/>
  <c r="J344" i="21"/>
  <c r="J326" i="21"/>
  <c r="J337" i="21"/>
  <c r="J319" i="21"/>
  <c r="J323" i="21"/>
  <c r="J331" i="21"/>
  <c r="J335" i="21"/>
  <c r="J334" i="21"/>
  <c r="J320" i="21"/>
  <c r="J322" i="21"/>
  <c r="J321" i="21"/>
  <c r="J325" i="21"/>
  <c r="J328" i="21"/>
  <c r="J327" i="21"/>
  <c r="J342" i="21"/>
  <c r="J262" i="21"/>
  <c r="J284" i="21"/>
  <c r="J264" i="21"/>
  <c r="J110" i="21"/>
  <c r="J283" i="21"/>
  <c r="J260" i="21"/>
  <c r="J279" i="21"/>
  <c r="J282" i="21"/>
  <c r="J347" i="21"/>
  <c r="J341" i="21"/>
  <c r="J346" i="21"/>
  <c r="J127" i="21"/>
  <c r="J129" i="21"/>
  <c r="J126" i="21"/>
  <c r="J130" i="21"/>
  <c r="J106" i="21"/>
  <c r="J122" i="21"/>
  <c r="J339" i="21"/>
  <c r="J125" i="21"/>
  <c r="J111" i="21"/>
  <c r="J114" i="21"/>
  <c r="J124" i="21"/>
  <c r="J112" i="21"/>
  <c r="J324" i="21"/>
  <c r="J340" i="21"/>
  <c r="J116" i="21"/>
  <c r="J123" i="21"/>
  <c r="J133" i="21"/>
  <c r="J105" i="21"/>
  <c r="J285" i="21"/>
  <c r="J276" i="21"/>
  <c r="J278" i="21"/>
  <c r="J266" i="21"/>
  <c r="J265" i="21"/>
  <c r="J258" i="21"/>
  <c r="J261" i="21"/>
  <c r="J280" i="21"/>
  <c r="J263" i="21"/>
  <c r="J268" i="21"/>
  <c r="J257" i="21"/>
  <c r="J273" i="21"/>
  <c r="J286" i="21"/>
  <c r="J272" i="21"/>
  <c r="J277" i="21"/>
  <c r="J270" i="21"/>
  <c r="J132" i="21"/>
  <c r="J120" i="21"/>
  <c r="J107" i="21"/>
  <c r="J113" i="21"/>
  <c r="J300" i="21"/>
  <c r="J305" i="21"/>
  <c r="J292" i="21"/>
  <c r="J131" i="21"/>
  <c r="J108" i="21"/>
  <c r="J109" i="21"/>
  <c r="J117" i="21"/>
  <c r="J128" i="21"/>
  <c r="J115" i="21"/>
  <c r="J314" i="21"/>
  <c r="J306" i="21"/>
  <c r="J295" i="21"/>
  <c r="J288" i="21"/>
  <c r="J20" i="21"/>
  <c r="J43" i="21"/>
  <c r="J18" i="21"/>
  <c r="J27" i="21"/>
  <c r="J40" i="21"/>
  <c r="J42" i="21"/>
  <c r="J44" i="21"/>
  <c r="J30" i="21"/>
  <c r="J31" i="21"/>
  <c r="J34" i="21"/>
  <c r="J25" i="21"/>
  <c r="J23" i="21"/>
  <c r="J15" i="21"/>
  <c r="J32" i="21"/>
  <c r="J24" i="21"/>
  <c r="J37" i="21"/>
  <c r="J41" i="21"/>
  <c r="J29" i="21"/>
  <c r="J35" i="21"/>
  <c r="J19" i="21"/>
  <c r="J22" i="21"/>
  <c r="J302" i="21"/>
  <c r="J315" i="21"/>
  <c r="J296" i="21"/>
  <c r="J287" i="21"/>
  <c r="J293" i="21"/>
  <c r="J307" i="21"/>
  <c r="J309" i="21"/>
  <c r="J313" i="21"/>
  <c r="J308" i="21"/>
  <c r="J316" i="21"/>
  <c r="J312" i="21"/>
  <c r="J304" i="21"/>
  <c r="J290" i="21"/>
  <c r="J289" i="21"/>
  <c r="J317" i="21"/>
  <c r="J298" i="21"/>
  <c r="J299" i="21"/>
  <c r="J291" i="21"/>
  <c r="J311" i="21"/>
  <c r="J301" i="21"/>
  <c r="J310" i="21"/>
  <c r="J297" i="21"/>
  <c r="J294" i="21"/>
  <c r="J165" i="21"/>
  <c r="J176" i="21"/>
  <c r="J185" i="21"/>
  <c r="J188" i="21"/>
  <c r="J181" i="21"/>
  <c r="J194" i="21"/>
  <c r="J174" i="21"/>
  <c r="J189" i="21"/>
  <c r="J166" i="21"/>
  <c r="J191" i="21"/>
  <c r="J192" i="21"/>
  <c r="J193" i="21"/>
  <c r="J175" i="21"/>
  <c r="J187" i="21"/>
  <c r="J179" i="21"/>
  <c r="J168" i="21"/>
  <c r="J186" i="21"/>
  <c r="J183" i="21"/>
  <c r="J169" i="21"/>
  <c r="J190" i="21"/>
  <c r="J182" i="21"/>
  <c r="J167" i="21"/>
  <c r="J173" i="21"/>
  <c r="J178" i="21"/>
  <c r="J184" i="21"/>
  <c r="J170" i="21"/>
  <c r="J177" i="21"/>
  <c r="J171" i="21"/>
  <c r="J180" i="21"/>
  <c r="K46" i="21"/>
  <c r="C8" i="33"/>
  <c r="D8" i="33" s="1"/>
  <c r="K332" i="21" l="1"/>
  <c r="K337" i="21"/>
  <c r="K319" i="21"/>
  <c r="K322" i="21"/>
  <c r="K62" i="21"/>
  <c r="K324" i="21"/>
  <c r="K328" i="21"/>
  <c r="K343" i="21"/>
  <c r="K339" i="21"/>
  <c r="K321" i="21"/>
  <c r="K327" i="21"/>
  <c r="K47" i="21"/>
  <c r="K338" i="21"/>
  <c r="K318" i="21"/>
  <c r="K333" i="21"/>
  <c r="K323" i="21"/>
  <c r="K334" i="21"/>
  <c r="K330" i="21"/>
  <c r="K329" i="21"/>
  <c r="K326" i="21"/>
  <c r="K320" i="21"/>
  <c r="K335" i="21"/>
  <c r="K344" i="21"/>
  <c r="K340" i="21"/>
  <c r="K341" i="21"/>
  <c r="K325" i="21"/>
  <c r="K342" i="21"/>
  <c r="K346" i="21"/>
  <c r="K336" i="21"/>
  <c r="K347" i="21"/>
  <c r="K331" i="21"/>
  <c r="K70" i="21"/>
  <c r="K71" i="21"/>
  <c r="K51" i="21"/>
  <c r="K65" i="21"/>
  <c r="D14" i="31"/>
  <c r="C31" i="31" s="1"/>
  <c r="I23" i="17"/>
  <c r="K67" i="21"/>
  <c r="K66" i="21"/>
  <c r="K59" i="21"/>
  <c r="K50" i="21"/>
  <c r="K57" i="21"/>
  <c r="K45" i="21"/>
  <c r="K49" i="21"/>
  <c r="W14" i="17" a="1"/>
  <c r="W14" i="17" s="1"/>
  <c r="C10" i="18" s="1"/>
  <c r="C13" i="18" s="1"/>
  <c r="X14" i="17" a="1"/>
  <c r="X14" i="17" s="1"/>
  <c r="D10" i="18" s="1"/>
  <c r="D13" i="18" s="1"/>
  <c r="Y14" i="17" a="1"/>
  <c r="Y14" i="17" s="1"/>
  <c r="E10" i="18" s="1"/>
  <c r="E13" i="18" s="1"/>
  <c r="L12" i="31" s="1"/>
  <c r="V14" i="17" a="1"/>
  <c r="V14" i="17" s="1"/>
  <c r="B10" i="18" s="1"/>
  <c r="Z14" i="17"/>
  <c r="K33" i="21"/>
  <c r="K14" i="21"/>
  <c r="K362" i="21"/>
  <c r="K378" i="21"/>
  <c r="K72" i="21"/>
  <c r="K63" i="21"/>
  <c r="K58" i="21"/>
  <c r="K61" i="21"/>
  <c r="K68" i="21"/>
  <c r="K60" i="21"/>
  <c r="K52" i="21"/>
  <c r="K54" i="21"/>
  <c r="K55" i="21"/>
  <c r="K69" i="21"/>
  <c r="K53" i="21"/>
  <c r="K64" i="21"/>
  <c r="K56" i="21"/>
  <c r="K358" i="21"/>
  <c r="K179" i="21"/>
  <c r="K186" i="21"/>
  <c r="K353" i="21"/>
  <c r="K364" i="21"/>
  <c r="K348" i="21"/>
  <c r="K365" i="21"/>
  <c r="K375" i="21"/>
  <c r="K300" i="21"/>
  <c r="K307" i="21"/>
  <c r="K237" i="21"/>
  <c r="K289" i="21"/>
  <c r="K309" i="21"/>
  <c r="K18" i="21"/>
  <c r="K87" i="21"/>
  <c r="K146" i="21"/>
  <c r="K202" i="21"/>
  <c r="K152" i="21"/>
  <c r="K163" i="21"/>
  <c r="K147" i="21"/>
  <c r="K84" i="21"/>
  <c r="K32" i="21"/>
  <c r="K112" i="21"/>
  <c r="K89" i="21"/>
  <c r="K26" i="21"/>
  <c r="K108" i="21"/>
  <c r="K85" i="21"/>
  <c r="K41" i="21"/>
  <c r="K104" i="21"/>
  <c r="K103" i="21"/>
  <c r="K35" i="21"/>
  <c r="K123" i="21"/>
  <c r="K101" i="21"/>
  <c r="K29" i="21"/>
  <c r="K118" i="21"/>
  <c r="K17" i="21"/>
  <c r="K117" i="21"/>
  <c r="K77" i="21"/>
  <c r="K44" i="21"/>
  <c r="K107" i="21"/>
  <c r="K349" i="21"/>
  <c r="K81" i="21"/>
  <c r="K40" i="21"/>
  <c r="K130" i="21"/>
  <c r="K129" i="21"/>
  <c r="K132" i="21"/>
  <c r="K28" i="21"/>
  <c r="K100" i="21"/>
  <c r="K79" i="21"/>
  <c r="K78" i="21"/>
  <c r="K97" i="21"/>
  <c r="K19" i="21"/>
  <c r="K30" i="21"/>
  <c r="K25" i="21"/>
  <c r="K105" i="21"/>
  <c r="K114" i="21"/>
  <c r="K119" i="21"/>
  <c r="K126" i="21"/>
  <c r="K83" i="21"/>
  <c r="K31" i="21"/>
  <c r="K96" i="21"/>
  <c r="K98" i="21"/>
  <c r="K80" i="21"/>
  <c r="K95" i="21"/>
  <c r="K16" i="21"/>
  <c r="K24" i="21"/>
  <c r="K37" i="21"/>
  <c r="K27" i="21"/>
  <c r="K113" i="21"/>
  <c r="K131" i="21"/>
  <c r="K125" i="21"/>
  <c r="K120" i="21"/>
  <c r="K92" i="21"/>
  <c r="K75" i="21"/>
  <c r="K90" i="21"/>
  <c r="K86" i="21"/>
  <c r="K38" i="21"/>
  <c r="K20" i="21"/>
  <c r="K39" i="21"/>
  <c r="K21" i="21"/>
  <c r="K109" i="21"/>
  <c r="K106" i="21"/>
  <c r="K115" i="21"/>
  <c r="K110" i="21"/>
  <c r="K99" i="21"/>
  <c r="K102" i="21"/>
  <c r="K82" i="21"/>
  <c r="K76" i="21"/>
  <c r="K93" i="21"/>
  <c r="K36" i="21"/>
  <c r="K42" i="21"/>
  <c r="K22" i="21"/>
  <c r="K23" i="21"/>
  <c r="K128" i="21"/>
  <c r="K127" i="21"/>
  <c r="K121" i="21"/>
  <c r="K116" i="21"/>
  <c r="K73" i="21"/>
  <c r="K43" i="21"/>
  <c r="K88" i="21"/>
  <c r="K94" i="21"/>
  <c r="K74" i="21"/>
  <c r="K34" i="21"/>
  <c r="K15" i="21"/>
  <c r="K124" i="21"/>
  <c r="K133" i="21"/>
  <c r="K111" i="21"/>
  <c r="K193" i="21"/>
  <c r="K185" i="21"/>
  <c r="K166" i="21"/>
  <c r="K165" i="21"/>
  <c r="K184" i="21"/>
  <c r="K189" i="21"/>
  <c r="K168" i="21"/>
  <c r="K173" i="21"/>
  <c r="K174" i="21"/>
  <c r="K175" i="21"/>
  <c r="K169" i="21"/>
  <c r="K180" i="21"/>
  <c r="K194" i="21"/>
  <c r="K171" i="21"/>
  <c r="K192" i="21"/>
  <c r="K176" i="21"/>
  <c r="K181" i="21"/>
  <c r="K191" i="21"/>
  <c r="K187" i="21"/>
  <c r="K170" i="21"/>
  <c r="K178" i="21"/>
  <c r="K182" i="21"/>
  <c r="K167" i="21"/>
  <c r="K188" i="21"/>
  <c r="K183" i="21"/>
  <c r="K177" i="21"/>
  <c r="K190" i="21"/>
  <c r="K275" i="21"/>
  <c r="K296" i="21"/>
  <c r="K306" i="21"/>
  <c r="K287" i="21"/>
  <c r="K301" i="21"/>
  <c r="K303" i="21"/>
  <c r="K290" i="21"/>
  <c r="K298" i="21"/>
  <c r="K297" i="21"/>
  <c r="K294" i="21"/>
  <c r="K314" i="21"/>
  <c r="K312" i="21"/>
  <c r="K315" i="21"/>
  <c r="K299" i="21"/>
  <c r="K316" i="21"/>
  <c r="K291" i="21"/>
  <c r="K272" i="21"/>
  <c r="K308" i="21"/>
  <c r="K317" i="21"/>
  <c r="K310" i="21"/>
  <c r="K292" i="21"/>
  <c r="K304" i="21"/>
  <c r="K311" i="21"/>
  <c r="K293" i="21"/>
  <c r="K313" i="21"/>
  <c r="K302" i="21"/>
  <c r="K305" i="21"/>
  <c r="K295" i="21"/>
  <c r="K245" i="21"/>
  <c r="K236" i="21"/>
  <c r="K285" i="21"/>
  <c r="K259" i="21"/>
  <c r="K281" i="21"/>
  <c r="K265" i="21"/>
  <c r="K274" i="21"/>
  <c r="K282" i="21"/>
  <c r="K230" i="21"/>
  <c r="K253" i="21"/>
  <c r="K260" i="21"/>
  <c r="K271" i="21"/>
  <c r="K284" i="21"/>
  <c r="K268" i="21"/>
  <c r="K239" i="21"/>
  <c r="K254" i="21"/>
  <c r="K261" i="21"/>
  <c r="K227" i="21"/>
  <c r="K277" i="21"/>
  <c r="K266" i="21"/>
  <c r="K283" i="21"/>
  <c r="K280" i="21"/>
  <c r="K255" i="21"/>
  <c r="K258" i="21"/>
  <c r="K267" i="21"/>
  <c r="K264" i="21"/>
  <c r="K273" i="21"/>
  <c r="K257" i="21"/>
  <c r="K286" i="21"/>
  <c r="K244" i="21"/>
  <c r="K251" i="21"/>
  <c r="K279" i="21"/>
  <c r="K263" i="21"/>
  <c r="K276" i="21"/>
  <c r="K248" i="21"/>
  <c r="K234" i="21"/>
  <c r="K278" i="21"/>
  <c r="K269" i="21"/>
  <c r="K262" i="21"/>
  <c r="K241" i="21"/>
  <c r="K228" i="21"/>
  <c r="K252" i="21"/>
  <c r="K233" i="21"/>
  <c r="K250" i="21"/>
  <c r="K246" i="21"/>
  <c r="K249" i="21"/>
  <c r="K232" i="21"/>
  <c r="K229" i="21"/>
  <c r="K242" i="21"/>
  <c r="K238" i="21"/>
  <c r="K226" i="21"/>
  <c r="K240" i="21"/>
  <c r="K247" i="21"/>
  <c r="K256" i="21"/>
  <c r="K243" i="21"/>
  <c r="K235" i="21"/>
  <c r="K197" i="21"/>
  <c r="K142" i="21"/>
  <c r="K144" i="21"/>
  <c r="K157" i="21"/>
  <c r="K141" i="21"/>
  <c r="K213" i="21"/>
  <c r="K164" i="21"/>
  <c r="K150" i="21"/>
  <c r="K159" i="21"/>
  <c r="K139" i="21"/>
  <c r="K219" i="21"/>
  <c r="K160" i="21"/>
  <c r="K154" i="21"/>
  <c r="K153" i="21"/>
  <c r="K135" i="21"/>
  <c r="K214" i="21"/>
  <c r="K156" i="21"/>
  <c r="K140" i="21"/>
  <c r="K155" i="21"/>
  <c r="K137" i="21"/>
  <c r="K212" i="21"/>
  <c r="K148" i="21"/>
  <c r="K138" i="21"/>
  <c r="K149" i="21"/>
  <c r="K143" i="21"/>
  <c r="K210" i="21"/>
  <c r="K134" i="21"/>
  <c r="K136" i="21"/>
  <c r="K151" i="21"/>
  <c r="K206" i="21"/>
  <c r="K162" i="21"/>
  <c r="K158" i="21"/>
  <c r="K161" i="21"/>
  <c r="K372" i="21"/>
  <c r="K367" i="21"/>
  <c r="K374" i="21"/>
  <c r="K368" i="21"/>
  <c r="K355" i="21"/>
  <c r="K351" i="21"/>
  <c r="K366" i="21"/>
  <c r="K377" i="21"/>
  <c r="K361" i="21"/>
  <c r="K363" i="21"/>
  <c r="E14" i="17"/>
  <c r="K376" i="21"/>
  <c r="K360" i="21"/>
  <c r="K371" i="21"/>
  <c r="K370" i="21"/>
  <c r="K350" i="21"/>
  <c r="K373" i="21"/>
  <c r="K357" i="21"/>
  <c r="K359" i="21"/>
  <c r="K356" i="21"/>
  <c r="K354" i="21"/>
  <c r="K352" i="21"/>
  <c r="K369" i="21"/>
  <c r="K224" i="21"/>
  <c r="K208" i="21"/>
  <c r="K200" i="21"/>
  <c r="K207" i="21"/>
  <c r="K199" i="21"/>
  <c r="K221" i="21"/>
  <c r="K209" i="21"/>
  <c r="K201" i="21"/>
  <c r="K220" i="21"/>
  <c r="K198" i="21"/>
  <c r="K222" i="21"/>
  <c r="K218" i="21"/>
  <c r="K195" i="21"/>
  <c r="K196" i="21"/>
  <c r="K223" i="21"/>
  <c r="K215" i="21"/>
  <c r="K216" i="21"/>
  <c r="K204" i="21"/>
  <c r="K211" i="21"/>
  <c r="K203" i="21"/>
  <c r="K225" i="21"/>
  <c r="K217" i="21"/>
  <c r="E14" i="31" l="1"/>
  <c r="B13" i="18"/>
  <c r="I12" i="31" s="1"/>
  <c r="J12" i="31"/>
  <c r="B44" i="31"/>
  <c r="C28" i="18"/>
  <c r="C35" i="18" s="1"/>
  <c r="E28" i="18"/>
  <c r="E35" i="18" s="1"/>
  <c r="D28" i="18"/>
  <c r="D35" i="18" s="1"/>
  <c r="B28" i="18"/>
  <c r="K12" i="31"/>
  <c r="E13" i="31"/>
  <c r="B30" i="18" l="1"/>
  <c r="B34" i="18" s="1"/>
  <c r="I15" i="31" s="1"/>
  <c r="B35" i="18"/>
  <c r="D30" i="18"/>
  <c r="D34" i="18" s="1"/>
  <c r="K15" i="31" s="1"/>
  <c r="E30" i="18"/>
  <c r="E34" i="18" s="1"/>
  <c r="L15" i="31" s="1"/>
  <c r="C30" i="18"/>
  <c r="C34" i="18" s="1"/>
  <c r="J15" i="31" s="1"/>
  <c r="I13" i="31"/>
  <c r="G5" i="6" l="1"/>
  <c r="U11" i="1" s="1" a="1"/>
  <c r="U11" i="1" s="1"/>
  <c r="G6" i="6"/>
  <c r="G7" i="6"/>
  <c r="U12" i="1" s="1" a="1"/>
  <c r="U12" i="1" s="1"/>
  <c r="G8" i="6"/>
  <c r="G9" i="6"/>
  <c r="G10" i="6"/>
  <c r="G11" i="6"/>
  <c r="G12" i="6"/>
  <c r="U9" i="1" s="1" a="1"/>
  <c r="U9" i="1" s="1"/>
  <c r="G13" i="6"/>
  <c r="U10" i="1" s="1" a="1"/>
  <c r="U10" i="1" s="1"/>
  <c r="G14" i="6"/>
  <c r="G15" i="6"/>
  <c r="G4" i="6"/>
  <c r="C13" i="33" l="1"/>
  <c r="D13" i="33" s="1"/>
  <c r="V11" i="1"/>
  <c r="D9" i="18"/>
  <c r="D8" i="18"/>
  <c r="V9" i="1"/>
  <c r="B8" i="18"/>
  <c r="B9" i="18"/>
  <c r="I10" i="31" s="1"/>
  <c r="V10" i="1"/>
  <c r="C8" i="18"/>
  <c r="C9" i="18"/>
  <c r="V12" i="1"/>
  <c r="E8" i="18"/>
  <c r="L9" i="31" s="1"/>
  <c r="E9" i="18"/>
  <c r="L10" i="31" s="1"/>
  <c r="H329" i="21" l="1"/>
  <c r="H265" i="21"/>
  <c r="H201" i="21"/>
  <c r="H137" i="21"/>
  <c r="H73" i="21"/>
  <c r="H376" i="21"/>
  <c r="H312" i="21"/>
  <c r="H240" i="21"/>
  <c r="H343" i="21"/>
  <c r="H279" i="21"/>
  <c r="H215" i="21"/>
  <c r="H151" i="21"/>
  <c r="H87" i="21"/>
  <c r="H23" i="21"/>
  <c r="H326" i="21"/>
  <c r="H262" i="21"/>
  <c r="H198" i="21"/>
  <c r="H134" i="21"/>
  <c r="H70" i="21"/>
  <c r="H372" i="21"/>
  <c r="H308" i="21"/>
  <c r="H244" i="21"/>
  <c r="H180" i="21"/>
  <c r="H116" i="21"/>
  <c r="H52" i="21"/>
  <c r="H347" i="21"/>
  <c r="H283" i="21"/>
  <c r="H219" i="21"/>
  <c r="H155" i="21"/>
  <c r="H91" i="21"/>
  <c r="H27" i="21"/>
  <c r="H181" i="21"/>
  <c r="H357" i="21"/>
  <c r="H157" i="21"/>
  <c r="H184" i="21"/>
  <c r="H197" i="21"/>
  <c r="H26" i="21"/>
  <c r="H21" i="21"/>
  <c r="H245" i="21"/>
  <c r="H66" i="21"/>
  <c r="H85" i="21"/>
  <c r="H189" i="21"/>
  <c r="H18" i="21"/>
  <c r="H120" i="21"/>
  <c r="H208" i="21"/>
  <c r="H209" i="21"/>
  <c r="H223" i="21"/>
  <c r="H78" i="21"/>
  <c r="H355" i="21"/>
  <c r="H202" i="21"/>
  <c r="H277" i="21"/>
  <c r="H234" i="21"/>
  <c r="H321" i="21"/>
  <c r="H257" i="21"/>
  <c r="H193" i="21"/>
  <c r="H129" i="21"/>
  <c r="H65" i="21"/>
  <c r="H368" i="21"/>
  <c r="H304" i="21"/>
  <c r="H232" i="21"/>
  <c r="H335" i="21"/>
  <c r="H271" i="21"/>
  <c r="H207" i="21"/>
  <c r="H143" i="21"/>
  <c r="H79" i="21"/>
  <c r="H15" i="21"/>
  <c r="H318" i="21"/>
  <c r="H254" i="21"/>
  <c r="H190" i="21"/>
  <c r="H126" i="21"/>
  <c r="H62" i="21"/>
  <c r="H364" i="21"/>
  <c r="H300" i="21"/>
  <c r="H236" i="21"/>
  <c r="H172" i="21"/>
  <c r="H108" i="21"/>
  <c r="H44" i="21"/>
  <c r="H339" i="21"/>
  <c r="H275" i="21"/>
  <c r="H211" i="21"/>
  <c r="H147" i="21"/>
  <c r="H83" i="21"/>
  <c r="H19" i="21"/>
  <c r="H160" i="21"/>
  <c r="H349" i="21"/>
  <c r="H136" i="21"/>
  <c r="H77" i="21"/>
  <c r="H176" i="21"/>
  <c r="H338" i="21"/>
  <c r="H293" i="21"/>
  <c r="H216" i="21"/>
  <c r="H45" i="21"/>
  <c r="H42" i="21"/>
  <c r="H168" i="21"/>
  <c r="H165" i="21"/>
  <c r="H98" i="21"/>
  <c r="H186" i="21"/>
  <c r="H145" i="21"/>
  <c r="H95" i="21"/>
  <c r="H14" i="21"/>
  <c r="H291" i="21"/>
  <c r="H178" i="21"/>
  <c r="H128" i="21"/>
  <c r="H377" i="21"/>
  <c r="H313" i="21"/>
  <c r="H249" i="21"/>
  <c r="H185" i="21"/>
  <c r="H121" i="21"/>
  <c r="H57" i="21"/>
  <c r="H360" i="21"/>
  <c r="H296" i="21"/>
  <c r="H224" i="21"/>
  <c r="H327" i="21"/>
  <c r="H263" i="21"/>
  <c r="H199" i="21"/>
  <c r="H135" i="21"/>
  <c r="H71" i="21"/>
  <c r="H374" i="21"/>
  <c r="H310" i="21"/>
  <c r="H246" i="21"/>
  <c r="H182" i="21"/>
  <c r="H118" i="21"/>
  <c r="H54" i="21"/>
  <c r="H356" i="21"/>
  <c r="H292" i="21"/>
  <c r="H228" i="21"/>
  <c r="H164" i="21"/>
  <c r="H100" i="21"/>
  <c r="H36" i="21"/>
  <c r="H331" i="21"/>
  <c r="H267" i="21"/>
  <c r="H203" i="21"/>
  <c r="H139" i="21"/>
  <c r="H75" i="21"/>
  <c r="H354" i="21"/>
  <c r="H138" i="21"/>
  <c r="H317" i="21"/>
  <c r="H114" i="21"/>
  <c r="H378" i="21"/>
  <c r="H154" i="21"/>
  <c r="H274" i="21"/>
  <c r="H141" i="21"/>
  <c r="H194" i="21"/>
  <c r="H24" i="21"/>
  <c r="H365" i="21"/>
  <c r="H146" i="21"/>
  <c r="H37" i="21"/>
  <c r="H34" i="21"/>
  <c r="H144" i="21"/>
  <c r="H81" i="21"/>
  <c r="H248" i="21"/>
  <c r="H334" i="21"/>
  <c r="H252" i="21"/>
  <c r="H163" i="21"/>
  <c r="H218" i="21"/>
  <c r="H210" i="21"/>
  <c r="H369" i="21"/>
  <c r="H305" i="21"/>
  <c r="H241" i="21"/>
  <c r="H177" i="21"/>
  <c r="H113" i="21"/>
  <c r="H49" i="21"/>
  <c r="H352" i="21"/>
  <c r="H288" i="21"/>
  <c r="H272" i="21"/>
  <c r="H319" i="21"/>
  <c r="H255" i="21"/>
  <c r="H191" i="21"/>
  <c r="H127" i="21"/>
  <c r="H63" i="21"/>
  <c r="H366" i="21"/>
  <c r="H302" i="21"/>
  <c r="H238" i="21"/>
  <c r="H174" i="21"/>
  <c r="H110" i="21"/>
  <c r="H46" i="21"/>
  <c r="H348" i="21"/>
  <c r="H284" i="21"/>
  <c r="H220" i="21"/>
  <c r="H156" i="21"/>
  <c r="H92" i="21"/>
  <c r="H28" i="21"/>
  <c r="H323" i="21"/>
  <c r="H259" i="21"/>
  <c r="H195" i="21"/>
  <c r="H131" i="21"/>
  <c r="H67" i="21"/>
  <c r="H322" i="21"/>
  <c r="H117" i="21"/>
  <c r="H285" i="21"/>
  <c r="H93" i="21"/>
  <c r="H346" i="21"/>
  <c r="H133" i="21"/>
  <c r="H213" i="21"/>
  <c r="H56" i="21"/>
  <c r="H173" i="21"/>
  <c r="H370" i="21"/>
  <c r="H333" i="21"/>
  <c r="H125" i="21"/>
  <c r="H325" i="21"/>
  <c r="H362" i="21"/>
  <c r="H122" i="21"/>
  <c r="H17" i="21"/>
  <c r="H270" i="21"/>
  <c r="H60" i="21"/>
  <c r="H32" i="21"/>
  <c r="H88" i="21"/>
  <c r="H361" i="21"/>
  <c r="H297" i="21"/>
  <c r="H233" i="21"/>
  <c r="H169" i="21"/>
  <c r="H105" i="21"/>
  <c r="H41" i="21"/>
  <c r="H344" i="21"/>
  <c r="H280" i="21"/>
  <c r="H375" i="21"/>
  <c r="H311" i="21"/>
  <c r="H247" i="21"/>
  <c r="H183" i="21"/>
  <c r="H119" i="21"/>
  <c r="H55" i="21"/>
  <c r="H358" i="21"/>
  <c r="H294" i="21"/>
  <c r="H230" i="21"/>
  <c r="H166" i="21"/>
  <c r="H102" i="21"/>
  <c r="H38" i="21"/>
  <c r="H340" i="21"/>
  <c r="H276" i="21"/>
  <c r="H212" i="21"/>
  <c r="H148" i="21"/>
  <c r="H84" i="21"/>
  <c r="H20" i="21"/>
  <c r="H315" i="21"/>
  <c r="H251" i="21"/>
  <c r="H187" i="21"/>
  <c r="H123" i="21"/>
  <c r="H59" i="21"/>
  <c r="H290" i="21"/>
  <c r="H96" i="21"/>
  <c r="H253" i="21"/>
  <c r="H72" i="21"/>
  <c r="H314" i="21"/>
  <c r="H112" i="21"/>
  <c r="H192" i="21"/>
  <c r="H373" i="21"/>
  <c r="H152" i="21"/>
  <c r="H306" i="21"/>
  <c r="H301" i="21"/>
  <c r="H104" i="21"/>
  <c r="H261" i="21"/>
  <c r="H330" i="21"/>
  <c r="H101" i="21"/>
  <c r="H273" i="21"/>
  <c r="H351" i="21"/>
  <c r="H31" i="21"/>
  <c r="H316" i="21"/>
  <c r="H227" i="21"/>
  <c r="H40" i="21"/>
  <c r="H353" i="21"/>
  <c r="H289" i="21"/>
  <c r="H225" i="21"/>
  <c r="H161" i="21"/>
  <c r="H97" i="21"/>
  <c r="H33" i="21"/>
  <c r="H336" i="21"/>
  <c r="H264" i="21"/>
  <c r="H367" i="21"/>
  <c r="H303" i="21"/>
  <c r="H239" i="21"/>
  <c r="H175" i="21"/>
  <c r="H111" i="21"/>
  <c r="H47" i="21"/>
  <c r="H350" i="21"/>
  <c r="H286" i="21"/>
  <c r="H222" i="21"/>
  <c r="H158" i="21"/>
  <c r="H94" i="21"/>
  <c r="H30" i="21"/>
  <c r="H332" i="21"/>
  <c r="H268" i="21"/>
  <c r="H204" i="21"/>
  <c r="H140" i="21"/>
  <c r="H76" i="21"/>
  <c r="H371" i="21"/>
  <c r="H307" i="21"/>
  <c r="H243" i="21"/>
  <c r="H179" i="21"/>
  <c r="H115" i="21"/>
  <c r="H51" i="21"/>
  <c r="H258" i="21"/>
  <c r="H74" i="21"/>
  <c r="H221" i="21"/>
  <c r="H50" i="21"/>
  <c r="H282" i="21"/>
  <c r="H90" i="21"/>
  <c r="H149" i="21"/>
  <c r="H341" i="21"/>
  <c r="H130" i="21"/>
  <c r="H242" i="21"/>
  <c r="H269" i="21"/>
  <c r="H82" i="21"/>
  <c r="H229" i="21"/>
  <c r="H298" i="21"/>
  <c r="H80" i="21"/>
  <c r="H337" i="21"/>
  <c r="H287" i="21"/>
  <c r="H142" i="21"/>
  <c r="H124" i="21"/>
  <c r="H35" i="21"/>
  <c r="H64" i="21"/>
  <c r="H16" i="21"/>
  <c r="H345" i="21"/>
  <c r="H281" i="21"/>
  <c r="H217" i="21"/>
  <c r="H153" i="21"/>
  <c r="H89" i="21"/>
  <c r="H25" i="21"/>
  <c r="H328" i="21"/>
  <c r="H256" i="21"/>
  <c r="H359" i="21"/>
  <c r="H295" i="21"/>
  <c r="H231" i="21"/>
  <c r="H167" i="21"/>
  <c r="H103" i="21"/>
  <c r="H39" i="21"/>
  <c r="H342" i="21"/>
  <c r="H278" i="21"/>
  <c r="H214" i="21"/>
  <c r="H150" i="21"/>
  <c r="H86" i="21"/>
  <c r="H22" i="21"/>
  <c r="H324" i="21"/>
  <c r="H260" i="21"/>
  <c r="H196" i="21"/>
  <c r="H132" i="21"/>
  <c r="H68" i="21"/>
  <c r="H363" i="21"/>
  <c r="H299" i="21"/>
  <c r="H235" i="21"/>
  <c r="H171" i="21"/>
  <c r="H107" i="21"/>
  <c r="H43" i="21"/>
  <c r="H226" i="21"/>
  <c r="H53" i="21"/>
  <c r="H200" i="21"/>
  <c r="H29" i="21"/>
  <c r="H250" i="21"/>
  <c r="H69" i="21"/>
  <c r="H106" i="21"/>
  <c r="H309" i="21"/>
  <c r="H109" i="21"/>
  <c r="H170" i="21"/>
  <c r="H237" i="21"/>
  <c r="H61" i="21"/>
  <c r="H205" i="21"/>
  <c r="H266" i="21"/>
  <c r="H58" i="21"/>
  <c r="H320" i="21"/>
  <c r="H159" i="21"/>
  <c r="H206" i="21"/>
  <c r="H188" i="21"/>
  <c r="H99" i="21"/>
  <c r="H48" i="21"/>
  <c r="H162" i="21"/>
  <c r="I9" i="31"/>
  <c r="C15" i="33"/>
  <c r="D15" i="33" s="1"/>
  <c r="J9" i="31"/>
  <c r="J10" i="31"/>
  <c r="K9" i="31"/>
  <c r="K10" i="31"/>
  <c r="I14" i="21" l="1"/>
  <c r="I23" i="21"/>
  <c r="I96" i="21"/>
  <c r="I204" i="21"/>
  <c r="I153" i="21"/>
  <c r="I134" i="21"/>
  <c r="I223" i="21"/>
  <c r="I269" i="21"/>
  <c r="I298" i="21"/>
  <c r="I273" i="21"/>
  <c r="I247" i="21"/>
  <c r="I99" i="21"/>
  <c r="I322" i="21"/>
  <c r="I53" i="21"/>
  <c r="I181" i="21"/>
  <c r="I310" i="21"/>
  <c r="I287" i="21"/>
  <c r="I25" i="21"/>
  <c r="I100" i="21"/>
  <c r="I206" i="21"/>
  <c r="I157" i="21"/>
  <c r="I138" i="21"/>
  <c r="I225" i="21"/>
  <c r="I274" i="21"/>
  <c r="I300" i="21"/>
  <c r="I278" i="21"/>
  <c r="I268" i="21"/>
  <c r="I163" i="21"/>
  <c r="I202" i="21"/>
  <c r="I237" i="21"/>
  <c r="I276" i="21"/>
  <c r="I27" i="21"/>
  <c r="I104" i="21"/>
  <c r="I208" i="21"/>
  <c r="I161" i="21"/>
  <c r="I142" i="21"/>
  <c r="I227" i="21"/>
  <c r="I277" i="21"/>
  <c r="I302" i="21"/>
  <c r="I46" i="21"/>
  <c r="I279" i="21"/>
  <c r="I239" i="21"/>
  <c r="I338" i="21"/>
  <c r="I194" i="21"/>
  <c r="I197" i="21"/>
  <c r="I222" i="21"/>
  <c r="I337" i="21"/>
  <c r="I343" i="21"/>
  <c r="I118" i="21"/>
  <c r="I257" i="21"/>
  <c r="I232" i="21"/>
  <c r="I122" i="21"/>
  <c r="I172" i="21"/>
  <c r="I126" i="21"/>
  <c r="I156" i="21"/>
  <c r="I31" i="21"/>
  <c r="I112" i="21"/>
  <c r="I26" i="21"/>
  <c r="I169" i="21"/>
  <c r="I150" i="21"/>
  <c r="I231" i="21"/>
  <c r="I30" i="21"/>
  <c r="I306" i="21"/>
  <c r="I131" i="21"/>
  <c r="I295" i="21"/>
  <c r="I271" i="21"/>
  <c r="I354" i="21"/>
  <c r="I60" i="21"/>
  <c r="I66" i="21"/>
  <c r="I264" i="21"/>
  <c r="I348" i="21"/>
  <c r="I33" i="21"/>
  <c r="I116" i="21"/>
  <c r="I34" i="21"/>
  <c r="I173" i="21"/>
  <c r="I154" i="21"/>
  <c r="I233" i="21"/>
  <c r="I59" i="21"/>
  <c r="I308" i="21"/>
  <c r="I244" i="21"/>
  <c r="I303" i="21"/>
  <c r="I281" i="21"/>
  <c r="I69" i="21"/>
  <c r="I216" i="21"/>
  <c r="I359" i="21"/>
  <c r="I35" i="21"/>
  <c r="I120" i="21"/>
  <c r="I42" i="21"/>
  <c r="I177" i="21"/>
  <c r="I158" i="21"/>
  <c r="I235" i="21"/>
  <c r="I75" i="21"/>
  <c r="I312" i="21"/>
  <c r="I255" i="21"/>
  <c r="I311" i="21"/>
  <c r="I289" i="21"/>
  <c r="I366" i="21"/>
  <c r="I50" i="21"/>
  <c r="I221" i="21"/>
  <c r="I270" i="21"/>
  <c r="I369" i="21"/>
  <c r="I137" i="21"/>
  <c r="I253" i="21"/>
  <c r="I342" i="21"/>
  <c r="I375" i="21"/>
  <c r="I217" i="21"/>
  <c r="I213" i="21"/>
  <c r="I219" i="21"/>
  <c r="I307" i="21"/>
  <c r="I39" i="21"/>
  <c r="I128" i="21"/>
  <c r="I57" i="21"/>
  <c r="I20" i="21"/>
  <c r="I166" i="21"/>
  <c r="I22" i="21"/>
  <c r="I107" i="21"/>
  <c r="I63" i="21"/>
  <c r="I285" i="21"/>
  <c r="I320" i="21"/>
  <c r="I305" i="21"/>
  <c r="I313" i="21"/>
  <c r="I108" i="21"/>
  <c r="I130" i="21"/>
  <c r="I296" i="21"/>
  <c r="I334" i="21"/>
  <c r="I41" i="21"/>
  <c r="I132" i="21"/>
  <c r="I61" i="21"/>
  <c r="I28" i="21"/>
  <c r="I170" i="21"/>
  <c r="I54" i="21"/>
  <c r="I123" i="21"/>
  <c r="I79" i="21"/>
  <c r="I293" i="21"/>
  <c r="I324" i="21"/>
  <c r="I329" i="21"/>
  <c r="I149" i="21"/>
  <c r="I266" i="21"/>
  <c r="I316" i="21"/>
  <c r="I43" i="21"/>
  <c r="I136" i="21"/>
  <c r="I65" i="21"/>
  <c r="I36" i="21"/>
  <c r="I174" i="21"/>
  <c r="I71" i="21"/>
  <c r="I139" i="21"/>
  <c r="I95" i="21"/>
  <c r="I301" i="21"/>
  <c r="I328" i="21"/>
  <c r="I317" i="21"/>
  <c r="I29" i="21"/>
  <c r="I101" i="21"/>
  <c r="I151" i="21"/>
  <c r="I309" i="21"/>
  <c r="I346" i="21"/>
  <c r="I333" i="21"/>
  <c r="I117" i="21"/>
  <c r="I133" i="21"/>
  <c r="I350" i="21"/>
  <c r="I145" i="21"/>
  <c r="I358" i="21"/>
  <c r="I47" i="21"/>
  <c r="I144" i="21"/>
  <c r="I73" i="21"/>
  <c r="I52" i="21"/>
  <c r="I182" i="21"/>
  <c r="I103" i="21"/>
  <c r="I171" i="21"/>
  <c r="I127" i="21"/>
  <c r="I315" i="21"/>
  <c r="I336" i="21"/>
  <c r="I325" i="21"/>
  <c r="I361" i="21"/>
  <c r="I140" i="21"/>
  <c r="I178" i="21"/>
  <c r="I111" i="21"/>
  <c r="I297" i="21"/>
  <c r="I49" i="21"/>
  <c r="I148" i="21"/>
  <c r="I77" i="21"/>
  <c r="I58" i="21"/>
  <c r="I185" i="21"/>
  <c r="I119" i="21"/>
  <c r="I240" i="21"/>
  <c r="I143" i="21"/>
  <c r="I319" i="21"/>
  <c r="I340" i="21"/>
  <c r="I345" i="21"/>
  <c r="I44" i="21"/>
  <c r="I155" i="21"/>
  <c r="I364" i="21"/>
  <c r="I51" i="21"/>
  <c r="I152" i="21"/>
  <c r="I81" i="21"/>
  <c r="I62" i="21"/>
  <c r="I187" i="21"/>
  <c r="I135" i="21"/>
  <c r="I243" i="21"/>
  <c r="I159" i="21"/>
  <c r="I323" i="21"/>
  <c r="I344" i="21"/>
  <c r="I45" i="21"/>
  <c r="I250" i="21"/>
  <c r="I215" i="21"/>
  <c r="I84" i="21"/>
  <c r="I292" i="21"/>
  <c r="I88" i="21"/>
  <c r="I83" i="21"/>
  <c r="I55" i="21"/>
  <c r="I160" i="21"/>
  <c r="I89" i="21"/>
  <c r="I70" i="21"/>
  <c r="I191" i="21"/>
  <c r="I167" i="21"/>
  <c r="I251" i="21"/>
  <c r="I210" i="21"/>
  <c r="I331" i="21"/>
  <c r="I352" i="21"/>
  <c r="I341" i="21"/>
  <c r="I291" i="21"/>
  <c r="I186" i="21"/>
  <c r="I205" i="21"/>
  <c r="I238" i="21"/>
  <c r="I321" i="21"/>
  <c r="I16" i="21"/>
  <c r="I164" i="21"/>
  <c r="I93" i="21"/>
  <c r="I74" i="21"/>
  <c r="I193" i="21"/>
  <c r="I183" i="21"/>
  <c r="I256" i="21"/>
  <c r="I214" i="21"/>
  <c r="I335" i="21"/>
  <c r="I356" i="21"/>
  <c r="I377" i="21"/>
  <c r="I98" i="21"/>
  <c r="I280" i="21"/>
  <c r="I374" i="21"/>
  <c r="I24" i="21"/>
  <c r="I168" i="21"/>
  <c r="I97" i="21"/>
  <c r="I78" i="21"/>
  <c r="I195" i="21"/>
  <c r="I212" i="21"/>
  <c r="I259" i="21"/>
  <c r="I218" i="21"/>
  <c r="I339" i="21"/>
  <c r="I360" i="21"/>
  <c r="I349" i="21"/>
  <c r="I32" i="21"/>
  <c r="I165" i="21"/>
  <c r="I91" i="21"/>
  <c r="I147" i="21"/>
  <c r="I196" i="21"/>
  <c r="I372" i="21"/>
  <c r="I17" i="21"/>
  <c r="I258" i="21"/>
  <c r="I254" i="21"/>
  <c r="I261" i="21"/>
  <c r="I162" i="21"/>
  <c r="I40" i="21"/>
  <c r="I176" i="21"/>
  <c r="I105" i="21"/>
  <c r="I86" i="21"/>
  <c r="I199" i="21"/>
  <c r="I220" i="21"/>
  <c r="I267" i="21"/>
  <c r="I226" i="21"/>
  <c r="I347" i="21"/>
  <c r="I368" i="21"/>
  <c r="I357" i="21"/>
  <c r="I362" i="21"/>
  <c r="I18" i="21"/>
  <c r="I229" i="21"/>
  <c r="I67" i="21"/>
  <c r="I252" i="21"/>
  <c r="I48" i="21"/>
  <c r="I180" i="21"/>
  <c r="I109" i="21"/>
  <c r="I90" i="21"/>
  <c r="I201" i="21"/>
  <c r="I224" i="21"/>
  <c r="I272" i="21"/>
  <c r="I230" i="21"/>
  <c r="I351" i="21"/>
  <c r="I376" i="21"/>
  <c r="I330" i="21"/>
  <c r="I146" i="21"/>
  <c r="I304" i="21"/>
  <c r="I353" i="21"/>
  <c r="I56" i="21"/>
  <c r="I184" i="21"/>
  <c r="I113" i="21"/>
  <c r="I94" i="21"/>
  <c r="I203" i="21"/>
  <c r="I228" i="21"/>
  <c r="I275" i="21"/>
  <c r="I234" i="21"/>
  <c r="I355" i="21"/>
  <c r="I179" i="21"/>
  <c r="I365" i="21"/>
  <c r="I76" i="21"/>
  <c r="I82" i="21"/>
  <c r="I248" i="21"/>
  <c r="I332" i="21"/>
  <c r="I114" i="21"/>
  <c r="I283" i="21"/>
  <c r="I80" i="21"/>
  <c r="I263" i="21"/>
  <c r="I198" i="21"/>
  <c r="I262" i="21"/>
  <c r="I19" i="21"/>
  <c r="I294" i="21"/>
  <c r="I260" i="21"/>
  <c r="I64" i="21"/>
  <c r="I188" i="21"/>
  <c r="I121" i="21"/>
  <c r="I102" i="21"/>
  <c r="I207" i="21"/>
  <c r="I236" i="21"/>
  <c r="I282" i="21"/>
  <c r="I241" i="21"/>
  <c r="I363" i="21"/>
  <c r="I299" i="21"/>
  <c r="I373" i="21"/>
  <c r="I21" i="21"/>
  <c r="I85" i="21"/>
  <c r="I87" i="21"/>
  <c r="I327" i="21"/>
  <c r="I378" i="21"/>
  <c r="I68" i="21"/>
  <c r="I190" i="21"/>
  <c r="I125" i="21"/>
  <c r="I106" i="21"/>
  <c r="I209" i="21"/>
  <c r="I242" i="21"/>
  <c r="I284" i="21"/>
  <c r="I246" i="21"/>
  <c r="I367" i="21"/>
  <c r="I314" i="21"/>
  <c r="I92" i="21"/>
  <c r="I189" i="21"/>
  <c r="I175" i="21"/>
  <c r="I318" i="21"/>
  <c r="I72" i="21"/>
  <c r="I192" i="21"/>
  <c r="I129" i="21"/>
  <c r="I110" i="21"/>
  <c r="I211" i="21"/>
  <c r="I245" i="21"/>
  <c r="I286" i="21"/>
  <c r="I249" i="21"/>
  <c r="I371" i="21"/>
  <c r="I326" i="21"/>
  <c r="I115" i="21"/>
  <c r="I124" i="21"/>
  <c r="I288" i="21"/>
  <c r="I15" i="21"/>
  <c r="I290" i="21"/>
  <c r="I37" i="21"/>
  <c r="I141" i="21"/>
  <c r="I370" i="21"/>
  <c r="I200" i="21"/>
  <c r="I265" i="21"/>
  <c r="I38" i="21"/>
  <c r="F36" i="18"/>
  <c r="F42" i="18" s="1"/>
  <c r="C39" i="31" l="1"/>
  <c r="C38" i="31"/>
  <c r="L290" i="21"/>
  <c r="M290" i="21"/>
  <c r="L286" i="21"/>
  <c r="M286" i="21"/>
  <c r="L175" i="21"/>
  <c r="M175" i="21"/>
  <c r="M209" i="21"/>
  <c r="L209" i="21"/>
  <c r="L85" i="21"/>
  <c r="M85" i="21"/>
  <c r="L207" i="21"/>
  <c r="M207" i="21"/>
  <c r="M262" i="21"/>
  <c r="L262" i="21"/>
  <c r="M82" i="21"/>
  <c r="L82" i="21"/>
  <c r="M203" i="21"/>
  <c r="L203" i="21"/>
  <c r="L330" i="21"/>
  <c r="M330" i="21"/>
  <c r="M109" i="21"/>
  <c r="L109" i="21"/>
  <c r="M357" i="21"/>
  <c r="L357" i="21"/>
  <c r="M105" i="21"/>
  <c r="L105" i="21"/>
  <c r="M372" i="21"/>
  <c r="L372" i="21"/>
  <c r="M339" i="21"/>
  <c r="L339" i="21"/>
  <c r="M24" i="21"/>
  <c r="L24" i="21"/>
  <c r="M256" i="21"/>
  <c r="L256" i="21"/>
  <c r="L238" i="21"/>
  <c r="M238" i="21"/>
  <c r="M251" i="21"/>
  <c r="L251" i="21"/>
  <c r="L88" i="21"/>
  <c r="M88" i="21"/>
  <c r="M159" i="21"/>
  <c r="L159" i="21"/>
  <c r="M364" i="21"/>
  <c r="L364" i="21"/>
  <c r="M119" i="21"/>
  <c r="L119" i="21"/>
  <c r="M178" i="21"/>
  <c r="L178" i="21"/>
  <c r="L103" i="21"/>
  <c r="M103" i="21"/>
  <c r="L350" i="21"/>
  <c r="M350" i="21"/>
  <c r="L29" i="21"/>
  <c r="M29" i="21"/>
  <c r="M36" i="21"/>
  <c r="L36" i="21"/>
  <c r="M324" i="21"/>
  <c r="L324" i="21"/>
  <c r="L132" i="21"/>
  <c r="M132" i="21"/>
  <c r="M320" i="21"/>
  <c r="L320" i="21"/>
  <c r="M128" i="21"/>
  <c r="L128" i="21"/>
  <c r="L253" i="21"/>
  <c r="M253" i="21"/>
  <c r="M311" i="21"/>
  <c r="L311" i="21"/>
  <c r="M120" i="21"/>
  <c r="L120" i="21"/>
  <c r="M308" i="21"/>
  <c r="L308" i="21"/>
  <c r="L348" i="21"/>
  <c r="M348" i="21"/>
  <c r="L306" i="21"/>
  <c r="M306" i="21"/>
  <c r="L156" i="21"/>
  <c r="M156" i="21"/>
  <c r="M337" i="21"/>
  <c r="L337" i="21"/>
  <c r="M302" i="21"/>
  <c r="L302" i="21"/>
  <c r="M276" i="21"/>
  <c r="L276" i="21"/>
  <c r="M225" i="21"/>
  <c r="L225" i="21"/>
  <c r="M181" i="21"/>
  <c r="L181" i="21"/>
  <c r="L223" i="21"/>
  <c r="M223" i="21"/>
  <c r="L15" i="21"/>
  <c r="M15" i="21"/>
  <c r="M245" i="21"/>
  <c r="L245" i="21"/>
  <c r="M189" i="21"/>
  <c r="L189" i="21"/>
  <c r="M106" i="21"/>
  <c r="L106" i="21"/>
  <c r="L21" i="21"/>
  <c r="M21" i="21"/>
  <c r="M102" i="21"/>
  <c r="L102" i="21"/>
  <c r="M198" i="21"/>
  <c r="L198" i="21"/>
  <c r="M76" i="21"/>
  <c r="L76" i="21"/>
  <c r="L94" i="21"/>
  <c r="M94" i="21"/>
  <c r="M376" i="21"/>
  <c r="L376" i="21"/>
  <c r="L180" i="21"/>
  <c r="M180" i="21"/>
  <c r="M368" i="21"/>
  <c r="L368" i="21"/>
  <c r="M176" i="21"/>
  <c r="L176" i="21"/>
  <c r="L196" i="21"/>
  <c r="M196" i="21"/>
  <c r="L218" i="21"/>
  <c r="M218" i="21"/>
  <c r="M374" i="21"/>
  <c r="L374" i="21"/>
  <c r="M183" i="21"/>
  <c r="L183" i="21"/>
  <c r="M205" i="21"/>
  <c r="L205" i="21"/>
  <c r="M167" i="21"/>
  <c r="L167" i="21"/>
  <c r="M292" i="21"/>
  <c r="L292" i="21"/>
  <c r="M243" i="21"/>
  <c r="L243" i="21"/>
  <c r="M155" i="21"/>
  <c r="L155" i="21"/>
  <c r="L185" i="21"/>
  <c r="M185" i="21"/>
  <c r="M140" i="21"/>
  <c r="L140" i="21"/>
  <c r="M182" i="21"/>
  <c r="L182" i="21"/>
  <c r="L133" i="21"/>
  <c r="M133" i="21"/>
  <c r="M317" i="21"/>
  <c r="L317" i="21"/>
  <c r="M65" i="21"/>
  <c r="L65" i="21"/>
  <c r="M293" i="21"/>
  <c r="L293" i="21"/>
  <c r="M41" i="21"/>
  <c r="L41" i="21"/>
  <c r="L285" i="21"/>
  <c r="M285" i="21"/>
  <c r="L39" i="21"/>
  <c r="M39" i="21"/>
  <c r="L137" i="21"/>
  <c r="M137" i="21"/>
  <c r="M255" i="21"/>
  <c r="L255" i="21"/>
  <c r="M35" i="21"/>
  <c r="L35" i="21"/>
  <c r="L59" i="21"/>
  <c r="M59" i="21"/>
  <c r="L264" i="21"/>
  <c r="M264" i="21"/>
  <c r="M30" i="21"/>
  <c r="L30" i="21"/>
  <c r="M126" i="21"/>
  <c r="L126" i="21"/>
  <c r="M222" i="21"/>
  <c r="L222" i="21"/>
  <c r="M277" i="21"/>
  <c r="L277" i="21"/>
  <c r="L237" i="21"/>
  <c r="M237" i="21"/>
  <c r="M138" i="21"/>
  <c r="L138" i="21"/>
  <c r="L53" i="21"/>
  <c r="M53" i="21"/>
  <c r="M134" i="21"/>
  <c r="L134" i="21"/>
  <c r="M249" i="21"/>
  <c r="L249" i="21"/>
  <c r="M19" i="21"/>
  <c r="L19" i="21"/>
  <c r="L362" i="21"/>
  <c r="M362" i="21"/>
  <c r="M321" i="21"/>
  <c r="L321" i="21"/>
  <c r="L240" i="21"/>
  <c r="M240" i="21"/>
  <c r="M174" i="21"/>
  <c r="L174" i="21"/>
  <c r="M289" i="21"/>
  <c r="L289" i="21"/>
  <c r="L274" i="21"/>
  <c r="M274" i="21"/>
  <c r="M38" i="21"/>
  <c r="L38" i="21"/>
  <c r="M288" i="21"/>
  <c r="L288" i="21"/>
  <c r="M211" i="21"/>
  <c r="L211" i="21"/>
  <c r="M92" i="21"/>
  <c r="L92" i="21"/>
  <c r="L125" i="21"/>
  <c r="M125" i="21"/>
  <c r="M373" i="21"/>
  <c r="L373" i="21"/>
  <c r="L121" i="21"/>
  <c r="M121" i="21"/>
  <c r="L263" i="21"/>
  <c r="M263" i="21"/>
  <c r="M365" i="21"/>
  <c r="L365" i="21"/>
  <c r="L113" i="21"/>
  <c r="M113" i="21"/>
  <c r="L351" i="21"/>
  <c r="M351" i="21"/>
  <c r="M48" i="21"/>
  <c r="L48" i="21"/>
  <c r="M347" i="21"/>
  <c r="L347" i="21"/>
  <c r="L40" i="21"/>
  <c r="M40" i="21"/>
  <c r="L147" i="21"/>
  <c r="M147" i="21"/>
  <c r="M259" i="21"/>
  <c r="L259" i="21"/>
  <c r="L280" i="21"/>
  <c r="M280" i="21"/>
  <c r="L193" i="21"/>
  <c r="M193" i="21"/>
  <c r="M186" i="21"/>
  <c r="L186" i="21"/>
  <c r="M191" i="21"/>
  <c r="L191" i="21"/>
  <c r="L84" i="21"/>
  <c r="M84" i="21"/>
  <c r="L135" i="21"/>
  <c r="M135" i="21"/>
  <c r="M44" i="21"/>
  <c r="L44" i="21"/>
  <c r="M58" i="21"/>
  <c r="L58" i="21"/>
  <c r="M361" i="21"/>
  <c r="L361" i="21"/>
  <c r="L52" i="21"/>
  <c r="M52" i="21"/>
  <c r="L117" i="21"/>
  <c r="M117" i="21"/>
  <c r="M328" i="21"/>
  <c r="L328" i="21"/>
  <c r="M136" i="21"/>
  <c r="L136" i="21"/>
  <c r="L79" i="21"/>
  <c r="M79" i="21"/>
  <c r="L334" i="21"/>
  <c r="M334" i="21"/>
  <c r="L63" i="21"/>
  <c r="M63" i="21"/>
  <c r="M307" i="21"/>
  <c r="L307" i="21"/>
  <c r="M369" i="21"/>
  <c r="L369" i="21"/>
  <c r="M312" i="21"/>
  <c r="L312" i="21"/>
  <c r="M359" i="21"/>
  <c r="L359" i="21"/>
  <c r="M233" i="21"/>
  <c r="L233" i="21"/>
  <c r="M66" i="21"/>
  <c r="L66" i="21"/>
  <c r="M231" i="21"/>
  <c r="L231" i="21"/>
  <c r="M172" i="21"/>
  <c r="L172" i="21"/>
  <c r="L197" i="21"/>
  <c r="M197" i="21"/>
  <c r="L227" i="21"/>
  <c r="M227" i="21"/>
  <c r="M202" i="21"/>
  <c r="L202" i="21"/>
  <c r="M157" i="21"/>
  <c r="L157" i="21"/>
  <c r="L322" i="21"/>
  <c r="M322" i="21"/>
  <c r="M153" i="21"/>
  <c r="L153" i="21"/>
  <c r="L37" i="21"/>
  <c r="M37" i="21"/>
  <c r="M87" i="21"/>
  <c r="L87" i="21"/>
  <c r="L228" i="21"/>
  <c r="M228" i="21"/>
  <c r="L17" i="21"/>
  <c r="M17" i="21"/>
  <c r="M214" i="21"/>
  <c r="L214" i="21"/>
  <c r="M51" i="21"/>
  <c r="L51" i="21"/>
  <c r="L145" i="21"/>
  <c r="M145" i="21"/>
  <c r="M61" i="21"/>
  <c r="L61" i="21"/>
  <c r="M57" i="21"/>
  <c r="L57" i="21"/>
  <c r="L33" i="21"/>
  <c r="M33" i="21"/>
  <c r="M31" i="21"/>
  <c r="L31" i="21"/>
  <c r="L343" i="21"/>
  <c r="M343" i="21"/>
  <c r="M269" i="21"/>
  <c r="L269" i="21"/>
  <c r="M265" i="21"/>
  <c r="L265" i="21"/>
  <c r="M124" i="21"/>
  <c r="L124" i="21"/>
  <c r="M110" i="21"/>
  <c r="L110" i="21"/>
  <c r="L314" i="21"/>
  <c r="M314" i="21"/>
  <c r="L190" i="21"/>
  <c r="M190" i="21"/>
  <c r="M299" i="21"/>
  <c r="L299" i="21"/>
  <c r="M188" i="21"/>
  <c r="L188" i="21"/>
  <c r="L80" i="21"/>
  <c r="M80" i="21"/>
  <c r="M179" i="21"/>
  <c r="L179" i="21"/>
  <c r="M184" i="21"/>
  <c r="L184" i="21"/>
  <c r="L230" i="21"/>
  <c r="M230" i="21"/>
  <c r="M252" i="21"/>
  <c r="L252" i="21"/>
  <c r="M226" i="21"/>
  <c r="L226" i="21"/>
  <c r="M162" i="21"/>
  <c r="L162" i="21"/>
  <c r="M91" i="21"/>
  <c r="L91" i="21"/>
  <c r="L212" i="21"/>
  <c r="M212" i="21"/>
  <c r="M98" i="21"/>
  <c r="L98" i="21"/>
  <c r="L74" i="21"/>
  <c r="M74" i="21"/>
  <c r="L291" i="21"/>
  <c r="M291" i="21"/>
  <c r="M70" i="21"/>
  <c r="L70" i="21"/>
  <c r="M215" i="21"/>
  <c r="L215" i="21"/>
  <c r="L187" i="21"/>
  <c r="M187" i="21"/>
  <c r="L345" i="21"/>
  <c r="M345" i="21"/>
  <c r="L77" i="21"/>
  <c r="M77" i="21"/>
  <c r="M325" i="21"/>
  <c r="L325" i="21"/>
  <c r="L73" i="21"/>
  <c r="M73" i="21"/>
  <c r="M333" i="21"/>
  <c r="L333" i="21"/>
  <c r="M301" i="21"/>
  <c r="L301" i="21"/>
  <c r="M43" i="21"/>
  <c r="L43" i="21"/>
  <c r="M123" i="21"/>
  <c r="L123" i="21"/>
  <c r="M296" i="21"/>
  <c r="L296" i="21"/>
  <c r="M107" i="21"/>
  <c r="L107" i="21"/>
  <c r="L219" i="21"/>
  <c r="M219" i="21"/>
  <c r="M270" i="21"/>
  <c r="L270" i="21"/>
  <c r="M75" i="21"/>
  <c r="L75" i="21"/>
  <c r="M216" i="21"/>
  <c r="L216" i="21"/>
  <c r="M154" i="21"/>
  <c r="L154" i="21"/>
  <c r="L60" i="21"/>
  <c r="M60" i="21"/>
  <c r="M150" i="21"/>
  <c r="L150" i="21"/>
  <c r="M122" i="21"/>
  <c r="L122" i="21"/>
  <c r="M194" i="21"/>
  <c r="L194" i="21"/>
  <c r="L142" i="21"/>
  <c r="M142" i="21"/>
  <c r="M163" i="21"/>
  <c r="L163" i="21"/>
  <c r="M206" i="21"/>
  <c r="L206" i="21"/>
  <c r="M99" i="21"/>
  <c r="L99" i="21"/>
  <c r="L204" i="21"/>
  <c r="M204" i="21"/>
  <c r="M318" i="21"/>
  <c r="L318" i="21"/>
  <c r="M248" i="21"/>
  <c r="L248" i="21"/>
  <c r="M86" i="21"/>
  <c r="L86" i="21"/>
  <c r="M210" i="21"/>
  <c r="L210" i="21"/>
  <c r="M111" i="21"/>
  <c r="L111" i="21"/>
  <c r="L329" i="21"/>
  <c r="M329" i="21"/>
  <c r="M342" i="21"/>
  <c r="L342" i="21"/>
  <c r="M27" i="21"/>
  <c r="L27" i="21"/>
  <c r="M200" i="21"/>
  <c r="L200" i="21"/>
  <c r="L115" i="21"/>
  <c r="M115" i="21"/>
  <c r="M129" i="21"/>
  <c r="L129" i="21"/>
  <c r="M367" i="21"/>
  <c r="L367" i="21"/>
  <c r="L68" i="21"/>
  <c r="M68" i="21"/>
  <c r="M363" i="21"/>
  <c r="L363" i="21"/>
  <c r="M64" i="21"/>
  <c r="L64" i="21"/>
  <c r="M283" i="21"/>
  <c r="L283" i="21"/>
  <c r="M355" i="21"/>
  <c r="L355" i="21"/>
  <c r="M56" i="21"/>
  <c r="L56" i="21"/>
  <c r="M272" i="21"/>
  <c r="L272" i="21"/>
  <c r="M67" i="21"/>
  <c r="L67" i="21"/>
  <c r="M267" i="21"/>
  <c r="L267" i="21"/>
  <c r="M261" i="21"/>
  <c r="L261" i="21"/>
  <c r="M165" i="21"/>
  <c r="L165" i="21"/>
  <c r="M195" i="21"/>
  <c r="L195" i="21"/>
  <c r="M377" i="21"/>
  <c r="L377" i="21"/>
  <c r="L93" i="21"/>
  <c r="M93" i="21"/>
  <c r="L341" i="21"/>
  <c r="M341" i="21"/>
  <c r="M89" i="21"/>
  <c r="L89" i="21"/>
  <c r="M250" i="21"/>
  <c r="L250" i="21"/>
  <c r="L62" i="21"/>
  <c r="M62" i="21"/>
  <c r="M340" i="21"/>
  <c r="L340" i="21"/>
  <c r="L148" i="21"/>
  <c r="M148" i="21"/>
  <c r="L336" i="21"/>
  <c r="M336" i="21"/>
  <c r="M144" i="21"/>
  <c r="L144" i="21"/>
  <c r="L346" i="21"/>
  <c r="M346" i="21"/>
  <c r="L95" i="21"/>
  <c r="M95" i="21"/>
  <c r="L316" i="21"/>
  <c r="M316" i="21"/>
  <c r="M54" i="21"/>
  <c r="L54" i="21"/>
  <c r="M130" i="21"/>
  <c r="L130" i="21"/>
  <c r="M22" i="21"/>
  <c r="L22" i="21"/>
  <c r="M213" i="21"/>
  <c r="L213" i="21"/>
  <c r="M221" i="21"/>
  <c r="L221" i="21"/>
  <c r="M235" i="21"/>
  <c r="L235" i="21"/>
  <c r="M69" i="21"/>
  <c r="L69" i="21"/>
  <c r="M173" i="21"/>
  <c r="L173" i="21"/>
  <c r="L354" i="21"/>
  <c r="M354" i="21"/>
  <c r="M169" i="21"/>
  <c r="L169" i="21"/>
  <c r="M232" i="21"/>
  <c r="L232" i="21"/>
  <c r="M338" i="21"/>
  <c r="L338" i="21"/>
  <c r="L161" i="21"/>
  <c r="M161" i="21"/>
  <c r="L268" i="21"/>
  <c r="M268" i="21"/>
  <c r="L100" i="21"/>
  <c r="M100" i="21"/>
  <c r="M247" i="21"/>
  <c r="L247" i="21"/>
  <c r="M96" i="21"/>
  <c r="L96" i="21"/>
  <c r="M242" i="21"/>
  <c r="L242" i="21"/>
  <c r="M146" i="21"/>
  <c r="L146" i="21"/>
  <c r="M360" i="21"/>
  <c r="L360" i="21"/>
  <c r="L83" i="21"/>
  <c r="M83" i="21"/>
  <c r="M171" i="21"/>
  <c r="L171" i="21"/>
  <c r="M244" i="21"/>
  <c r="L244" i="21"/>
  <c r="M370" i="21"/>
  <c r="L370" i="21"/>
  <c r="M326" i="21"/>
  <c r="L326" i="21"/>
  <c r="L192" i="21"/>
  <c r="M192" i="21"/>
  <c r="M246" i="21"/>
  <c r="L246" i="21"/>
  <c r="M378" i="21"/>
  <c r="L378" i="21"/>
  <c r="L241" i="21"/>
  <c r="M241" i="21"/>
  <c r="M260" i="21"/>
  <c r="L260" i="21"/>
  <c r="L114" i="21"/>
  <c r="M114" i="21"/>
  <c r="M234" i="21"/>
  <c r="L234" i="21"/>
  <c r="M353" i="21"/>
  <c r="L353" i="21"/>
  <c r="L224" i="21"/>
  <c r="M224" i="21"/>
  <c r="L229" i="21"/>
  <c r="M229" i="21"/>
  <c r="M220" i="21"/>
  <c r="L220" i="21"/>
  <c r="M254" i="21"/>
  <c r="L254" i="21"/>
  <c r="M32" i="21"/>
  <c r="L32" i="21"/>
  <c r="M78" i="21"/>
  <c r="L78" i="21"/>
  <c r="M356" i="21"/>
  <c r="L356" i="21"/>
  <c r="L164" i="21"/>
  <c r="M164" i="21"/>
  <c r="M352" i="21"/>
  <c r="L352" i="21"/>
  <c r="M160" i="21"/>
  <c r="L160" i="21"/>
  <c r="M45" i="21"/>
  <c r="L45" i="21"/>
  <c r="L81" i="21"/>
  <c r="M81" i="21"/>
  <c r="M319" i="21"/>
  <c r="L319" i="21"/>
  <c r="L49" i="21"/>
  <c r="M49" i="21"/>
  <c r="M315" i="21"/>
  <c r="L315" i="21"/>
  <c r="M47" i="21"/>
  <c r="L47" i="21"/>
  <c r="M309" i="21"/>
  <c r="L309" i="21"/>
  <c r="M139" i="21"/>
  <c r="L139" i="21"/>
  <c r="M266" i="21"/>
  <c r="L266" i="21"/>
  <c r="M170" i="21"/>
  <c r="L170" i="21"/>
  <c r="L108" i="21"/>
  <c r="M108" i="21"/>
  <c r="M166" i="21"/>
  <c r="L166" i="21"/>
  <c r="M217" i="21"/>
  <c r="L217" i="21"/>
  <c r="M50" i="21"/>
  <c r="L50" i="21"/>
  <c r="M158" i="21"/>
  <c r="L158" i="21"/>
  <c r="M281" i="21"/>
  <c r="L281" i="21"/>
  <c r="L34" i="21"/>
  <c r="M34" i="21"/>
  <c r="M271" i="21"/>
  <c r="L271" i="21"/>
  <c r="M26" i="21"/>
  <c r="L26" i="21"/>
  <c r="L257" i="21"/>
  <c r="M257" i="21"/>
  <c r="M239" i="21"/>
  <c r="L239" i="21"/>
  <c r="M208" i="21"/>
  <c r="L208" i="21"/>
  <c r="M278" i="21"/>
  <c r="L278" i="21"/>
  <c r="L25" i="21"/>
  <c r="M25" i="21"/>
  <c r="M273" i="21"/>
  <c r="L273" i="21"/>
  <c r="M23" i="21"/>
  <c r="L23" i="21"/>
  <c r="M236" i="21"/>
  <c r="L236" i="21"/>
  <c r="M90" i="21"/>
  <c r="L90" i="21"/>
  <c r="M168" i="21"/>
  <c r="L168" i="21"/>
  <c r="M323" i="21"/>
  <c r="L323" i="21"/>
  <c r="L101" i="21"/>
  <c r="M101" i="21"/>
  <c r="M305" i="21"/>
  <c r="L305" i="21"/>
  <c r="M42" i="21"/>
  <c r="L42" i="21"/>
  <c r="M131" i="21"/>
  <c r="L131" i="21"/>
  <c r="M46" i="21"/>
  <c r="L46" i="21"/>
  <c r="M310" i="21"/>
  <c r="L310" i="21"/>
  <c r="C36" i="18"/>
  <c r="E36" i="18"/>
  <c r="D36" i="18"/>
  <c r="B36" i="18"/>
  <c r="M141" i="21"/>
  <c r="L141" i="21"/>
  <c r="L371" i="21"/>
  <c r="M371" i="21"/>
  <c r="M72" i="21"/>
  <c r="L72" i="21"/>
  <c r="M284" i="21"/>
  <c r="L284" i="21"/>
  <c r="L327" i="21"/>
  <c r="M327" i="21"/>
  <c r="L282" i="21"/>
  <c r="M282" i="21"/>
  <c r="M294" i="21"/>
  <c r="L294" i="21"/>
  <c r="M332" i="21"/>
  <c r="L332" i="21"/>
  <c r="L275" i="21"/>
  <c r="M275" i="21"/>
  <c r="M304" i="21"/>
  <c r="L304" i="21"/>
  <c r="M201" i="21"/>
  <c r="L201" i="21"/>
  <c r="M18" i="21"/>
  <c r="L18" i="21"/>
  <c r="M199" i="21"/>
  <c r="L199" i="21"/>
  <c r="L258" i="21"/>
  <c r="M258" i="21"/>
  <c r="L349" i="21"/>
  <c r="M349" i="21"/>
  <c r="L97" i="21"/>
  <c r="M97" i="21"/>
  <c r="L335" i="21"/>
  <c r="M335" i="21"/>
  <c r="M16" i="21"/>
  <c r="L16" i="21"/>
  <c r="M331" i="21"/>
  <c r="L331" i="21"/>
  <c r="M55" i="21"/>
  <c r="L55" i="21"/>
  <c r="M344" i="21"/>
  <c r="L344" i="21"/>
  <c r="M152" i="21"/>
  <c r="L152" i="21"/>
  <c r="L143" i="21"/>
  <c r="M143" i="21"/>
  <c r="L297" i="21"/>
  <c r="M297" i="21"/>
  <c r="M127" i="21"/>
  <c r="L127" i="21"/>
  <c r="M358" i="21"/>
  <c r="L358" i="21"/>
  <c r="M151" i="21"/>
  <c r="L151" i="21"/>
  <c r="M71" i="21"/>
  <c r="L71" i="21"/>
  <c r="M149" i="21"/>
  <c r="L149" i="21"/>
  <c r="M28" i="21"/>
  <c r="L28" i="21"/>
  <c r="L313" i="21"/>
  <c r="M313" i="21"/>
  <c r="L20" i="21"/>
  <c r="M20" i="21"/>
  <c r="L375" i="21"/>
  <c r="M375" i="21"/>
  <c r="L366" i="21"/>
  <c r="M366" i="21"/>
  <c r="M177" i="21"/>
  <c r="L177" i="21"/>
  <c r="M303" i="21"/>
  <c r="L303" i="21"/>
  <c r="L116" i="21"/>
  <c r="M116" i="21"/>
  <c r="M295" i="21"/>
  <c r="L295" i="21"/>
  <c r="M112" i="21"/>
  <c r="L112" i="21"/>
  <c r="M118" i="21"/>
  <c r="L118" i="21"/>
  <c r="M279" i="21"/>
  <c r="L279" i="21"/>
  <c r="M104" i="21"/>
  <c r="L104" i="21"/>
  <c r="M300" i="21"/>
  <c r="L300" i="21"/>
  <c r="M287" i="21"/>
  <c r="L287" i="21"/>
  <c r="M298" i="21"/>
  <c r="L298" i="21"/>
  <c r="M14" i="21"/>
  <c r="I4" i="21"/>
  <c r="L14" i="21"/>
  <c r="C41" i="31" l="1"/>
  <c r="C40" i="31"/>
  <c r="B40" i="18" l="1"/>
  <c r="B41" i="18" s="1"/>
  <c r="I16" i="31" s="1"/>
  <c r="I18" i="31" s="1"/>
  <c r="C40" i="18"/>
  <c r="C41" i="18" s="1"/>
  <c r="J16" i="31" s="1"/>
  <c r="J18" i="31" s="1"/>
  <c r="E40" i="18"/>
  <c r="D40" i="18"/>
  <c r="B42" i="18" l="1"/>
  <c r="I17" i="31" s="1"/>
  <c r="I19" i="31" s="1"/>
  <c r="C42" i="18"/>
  <c r="J17" i="31" s="1"/>
  <c r="J19" i="31" s="1"/>
  <c r="D41" i="18"/>
  <c r="K16" i="31" s="1"/>
  <c r="K18" i="31" s="1"/>
  <c r="E41" i="18"/>
  <c r="E42" i="18" l="1"/>
  <c r="L17" i="31" s="1"/>
  <c r="L19" i="31" s="1"/>
  <c r="L16" i="31"/>
  <c r="L18" i="31" s="1"/>
  <c r="D42" i="18"/>
  <c r="K17" i="31" s="1"/>
  <c r="K19"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<sst xmlns="http://schemas.openxmlformats.org/spreadsheetml/2006/main" count="722" uniqueCount="458">
  <si>
    <r>
      <rPr>
        <b/>
        <sz val="11"/>
        <color theme="1"/>
        <rFont val="Arial"/>
        <family val="2"/>
      </rPr>
      <t>Overview:</t>
    </r>
    <r>
      <rPr>
        <sz val="11"/>
        <color theme="1"/>
        <rFont val="Arial"/>
        <family val="2"/>
      </rPr>
      <t xml:space="preserve"> This tool assesses existing pumpout capacity and the potential cost impact of designating a No-Discharge Zone (NDZ). The analysis is composed of two main steps:</t>
    </r>
  </si>
  <si>
    <t>(1) Assess the ability of existing pumpout facilities to meet demand, by focusing on sewage-generating, non-oceangoing commercial vessels and comparing the pumpout capacity within the entire NDZ to total estimated vessel demand; and</t>
  </si>
  <si>
    <t>(2) Perform a cost impact analysis to assess changes in vessel operating costs.</t>
  </si>
  <si>
    <r>
      <rPr>
        <b/>
        <sz val="11"/>
        <color theme="1"/>
        <rFont val="Arial"/>
        <family val="2"/>
      </rPr>
      <t>Instructions:</t>
    </r>
    <r>
      <rPr>
        <sz val="11"/>
        <color theme="1"/>
        <rFont val="Arial"/>
        <family val="2"/>
      </rPr>
      <t xml:space="preserve"> The tool is divided into four sections:</t>
    </r>
  </si>
  <si>
    <t>Tool overview and instructions</t>
  </si>
  <si>
    <t>Inputs</t>
  </si>
  <si>
    <t>Output</t>
  </si>
  <si>
    <t>Supporting calculations</t>
  </si>
  <si>
    <t>The tool overview and instructions section consists of a description of the tool and instructions for use (current tab), a data dictionary describing all input parameters ("Data Dictionary"), and a summary of parameters required to complete the analyses ("Required Inputs"). After reviewing the information in this section, the user should enter information in the three following tabs:</t>
  </si>
  <si>
    <t>(1) Vessel Inputs</t>
  </si>
  <si>
    <t>(2) Facility Inputs</t>
  </si>
  <si>
    <t>(3) Cost Inputs</t>
  </si>
  <si>
    <t xml:space="preserve">Some parameters require user input, some have default values available if the value is unknown, and some are optional. Cells are formatted to indicate which parameters are required, which have default values, and which the user should leave blank, as follows:
</t>
  </si>
  <si>
    <t>Required input</t>
  </si>
  <si>
    <t>Default value available</t>
  </si>
  <si>
    <t>Optional input</t>
  </si>
  <si>
    <t>Leave blank</t>
  </si>
  <si>
    <t>The descriptions below the tables in the three input tabs refer to Type A and Type B vessel classes. These two vessel classes consist of the following types of vessels:</t>
  </si>
  <si>
    <r>
      <rPr>
        <b/>
        <sz val="11"/>
        <color theme="1"/>
        <rFont val="Arial"/>
        <family val="2"/>
      </rPr>
      <t xml:space="preserve">Type A: </t>
    </r>
    <r>
      <rPr>
        <sz val="11"/>
        <color theme="1"/>
        <rFont val="Arial"/>
        <family val="2"/>
      </rPr>
      <t>Tugboats, Commercial Fishing Boats, Excursion, and Ferries.</t>
    </r>
  </si>
  <si>
    <r>
      <rPr>
        <b/>
        <sz val="11"/>
        <color theme="1"/>
        <rFont val="Arial"/>
        <family val="2"/>
      </rPr>
      <t xml:space="preserve">Type B: </t>
    </r>
    <r>
      <rPr>
        <sz val="11"/>
        <color theme="1"/>
        <rFont val="Arial"/>
        <family val="2"/>
      </rPr>
      <t>Large Cruise Ships, Ferries with Overnight Accommodations, Cargo Ships, Great Lake Freighters, Off-Shore Vessels, Public Unclassified Vessels, Military Vessels, and Recreational Vessels</t>
    </r>
  </si>
  <si>
    <t>The outputs of the analysis are summarized on the "Output" tab. Outputs will not calculate if any required user inputs are missing. If any outputs show "Unknown; user input required," the user should return to the "Required Inputs" tab to identify the missing inputs.
The remaining tabs provide supporting calculations and assumptions. The user may review these tabs for additional detail on the analyses performed in this tool, if desired. However, review of these tabs is not required to use the tool.</t>
  </si>
  <si>
    <t>Figure 1: Overview of analysis</t>
  </si>
  <si>
    <r>
      <t xml:space="preserve">Description: </t>
    </r>
    <r>
      <rPr>
        <sz val="11"/>
        <color theme="1"/>
        <rFont val="Arial"/>
        <family val="2"/>
      </rPr>
      <t xml:space="preserve">Figure 1 shows the relationships between each type of input, supporting calculations, and output values. Vessel inputs are used to estimate NDZ-wide commercial vessel demand. Facility inputs are used to estimate NDZ-wide existing commercial facility capacity. Estimates for demand and capacity are then used in a screening analysis to determine whether sufficient capacity exists within the NDZ. Cost inputs, along with the results of the screening analysis, are used to calculate compliance costs. Compliance costs are then used to perform an expenditure test and assess economic impact. The results of the screening analysis and the expenditure test are used to determine whether there is reasonable availability of pumpout facilities. </t>
    </r>
  </si>
  <si>
    <t>Tab</t>
  </si>
  <si>
    <t>Input</t>
  </si>
  <si>
    <t>Description</t>
  </si>
  <si>
    <t>Enter the number of non-oceangoing, sewage-generating vessels operating within the proposed NDZ in each vessel class. Include vessels that already have a holding tank installed in the baseline. If no tugboats, commercial fishing vessels, excursion vessels, or ferries operate in the proposed NDZ, enter '0' for that class.</t>
  </si>
  <si>
    <t xml:space="preserve">Enter the starting date of the vessel class operating months. This is the first day in the year that vessels in each specified class are operating within the proposed NDZ. Enter the value in a month day format (e.g., January 15). The operating months start date may be later in the year than the operating months end date. For example, if a vessel class operates from December 1 to March 1, enter December 1 in the operating months start date and March 1 in the operating months end date. If unknown, select the default value from the drop-down menu. </t>
  </si>
  <si>
    <t xml:space="preserve">Enter the end date of the vessel class operating months. This is the last day in the year that vessels in each specified class are operating within the proposed NDZ boundaries. Enter the value in a month day format (e.g., January 15). The operating months end date may be earlier in the year than the operating months start date. For example, if a vessel class operates from December 1 to March 1, enter December 1 in the operating months start date and March 1 in the operating months end date. If unknown, select the default value from the drop-down menu. </t>
  </si>
  <si>
    <t xml:space="preserve">If the vessel class has two distinct operating periods, enter the starting date of the second operating period. The secondary operating period should not overlap with the first operating period. Enter the value in a month day format (e.g., January 15). The secondary operating months start date may be later in the year than the secondary operating months end date. For example, if a vessel class operates from December 1 to March 1, enter December 1 in the operating months start date and March 1 in the operating months end date. If the vessel class only has one operating period leave blank. </t>
  </si>
  <si>
    <t xml:space="preserve">If the vessel class has two distinct operating periods, enter the end date of the second operating period. The secondary operating period should not overlap with the first operating period. Enter the value in a month day format (e.g., January 15). The secondary operating months end date may be earlier in the year than the secondary operating months start date. For example, if a vessel class operates from December 1 to March 1, enter December 1 in the operating months start date and March 1 in the operating months end date. If the vessel class only has one operating period leave blank. </t>
  </si>
  <si>
    <t xml:space="preserve">Enter the average number of crew and passengers aboard a vessel in each vessel class. If there are no passengers, then only report the average number of crew members. If unknown, select the default value from the drop-down menu. </t>
  </si>
  <si>
    <t xml:space="preserve">Enter the average sewage generation rate, meaning the average amount of waste generated, in  gallons per person per day (g/p/d) for each vessel class. If unknown, select the default value from the drop down menu. </t>
  </si>
  <si>
    <t xml:space="preserve">Enter the average number of days vessels in each class would operate between pumping out their holding tanks. Values can be whole numbers or decimals. For example, if a vessel class pumps out twice per day, enter 0.5. If unknown, select the default value from the drop-down menu. Default values are only available for tugboats, commercial fishing boats, excursion vessels, and ferries. </t>
  </si>
  <si>
    <t xml:space="preserve">This is the average distance vessels would have to travel outside of their normal operating route to pumpout their holding tanks. The default assumes that pumpout facilities are co-located with fueling stations (therefore vessels would travel 0 nautical miles outside their normal route to pump out). If this is the case, select the default from the drop-down menu. If this is not the case, then enter the average distance, in nautical miles, vessels would travel to a pumpout facility. </t>
  </si>
  <si>
    <t xml:space="preserve">Enter the percent of vessels in each class that already have holding tanks installed. If unknown, select the default from the drop-down menu. </t>
  </si>
  <si>
    <t>Enter the additional time, in minutes, associated with pumping out (e.g., positioning the vessel), other than the time spent pumping.</t>
  </si>
  <si>
    <t xml:space="preserve">Enter the name of the pumpout facility that is capable of servicing commercial vessels. If there are multiple facilities with the same name, such as one company that operates multiple pumpout boats, enter each facility separately. </t>
  </si>
  <si>
    <t xml:space="preserve">Enter the type of pumpout facility by selecting from the drop-down menu. Options include stationary, truck, boat, and barge. </t>
  </si>
  <si>
    <t xml:space="preserve">Enter the number of hours per day the pumpout facility operates. If hours of operation vary, enter the average number of hours the facility is open per day. </t>
  </si>
  <si>
    <t>Enter the number of days per week the facility operates.</t>
  </si>
  <si>
    <t>If the pumpout facility is directly connected to a municipal sewage system, then select "Yes." If the facility is not directly connected to a municipal sewage system, then select "No."</t>
  </si>
  <si>
    <t xml:space="preserve">For all facilities that are not connected to a municipal sewage system, enter the maximum tank capacity, in gallons, of the facility. If a facility uses multiple tanks (e.g., a mobile unit offloads into another, stationary, on-site tank), enter the value for the smaller tank.  If unknown, select the default value from the drop-down menu. </t>
  </si>
  <si>
    <t xml:space="preserve">Enter the working flow, in gallons per minute (gpm), of the facility pumpout(s). If the facility has multiple pumpouts, then enter the sum of the working flow of all pumpouts (e.g., if a facility has 3 pumpouts each with a working flow of 90 gpm, then the user should enter a total working flow of 270 gpm).  If unknown, select the default value from the drop-down menu. </t>
  </si>
  <si>
    <r>
      <t xml:space="preserve">If the facility charges a service fee to use the pumpout, or a flat fee for the first </t>
    </r>
    <r>
      <rPr>
        <i/>
        <sz val="11"/>
        <color theme="1"/>
        <rFont val="Arial"/>
        <family val="2"/>
      </rPr>
      <t>X</t>
    </r>
    <r>
      <rPr>
        <sz val="11"/>
        <color theme="1"/>
        <rFont val="Arial"/>
        <family val="2"/>
      </rPr>
      <t xml:space="preserve"> gallons, enter the fee, in dollars, here. For example, if a facility charges $50 for the first 30 gallons of pumpout, enter $50. </t>
    </r>
  </si>
  <si>
    <t xml:space="preserve">Enter the number of gallons covered by the base fee. For example, if a facility charges $50 for the first 30 gallons of pumpout, enter 30. If a facility charges a service fee to use the pumpout, then enter 0. If the facility does not charge a base fee, then leave blank. </t>
  </si>
  <si>
    <t>If the facility charges a fee structured as dollars per gallon, enter the fee the facility charges to pumpout. If the facility does not use this fee structure, leave blank. If the facility charges a fee per hour and per gallon, enter a value in both "Fee ($/gallon)" and "Fee ($/hour)".</t>
  </si>
  <si>
    <t>If the facility charges a fee structured as dollars per hour, enter the facility fee here. If the facility does not use this fee structure, leave blank. If the facility charges a fee per hour and per gallon, enter a value in both "Fee ($/gallon)" and "Fee ($/hour)".</t>
  </si>
  <si>
    <t>Enter the baseline annual operating costs of an average vessel in each vessel class. This includes fuel, labor, maintenance, and equipment costs that vessel operators face regardless of an NDZ designation. If unknown, select the default value from the drop-down menu. Default values are only available for tugboats, commercials fishing vessels, excursion vessels, and ferries.</t>
  </si>
  <si>
    <t>Enter the average traveling speed, in nautical miles per hour, of each vessel class. If unknown, select the default value from the drop-down menu. Default values are only available for tugboats, commercials fishing vessels, excursion vessels, and ferries.</t>
  </si>
  <si>
    <t>Enter the average fuel consumption, in gallons per hour, for each vessel class. If unknown, select the default value from the drop-down menu. Default values are only available for tugboats, commercials fishing vessels, excursion vessels, and ferries.</t>
  </si>
  <si>
    <t>Enter the average hourly revenue, in dollars per hour, for a vessel in each vessel class. If unknown, select the default value from the drop-down menu. Default values are only available for tugboats, commercials fishing vessels, excursion vessels, and ferries.</t>
  </si>
  <si>
    <t>Enter the price, in dollars per gallon, of the fuel used by each vessel class. If unknown, select the default value from the drop-down menu. The default value is the price for No. 2 diesel in 2018.</t>
  </si>
  <si>
    <t>Required Inputs</t>
  </si>
  <si>
    <t>All inputs required to complete the analysis are listed here. If an input appears in red (Status column reads "Input required"), the Note column will explain which cell or cells are missing a value. Click the input item name to go to that item in the corresponding input tab.</t>
  </si>
  <si>
    <t xml:space="preserve"> Inputs</t>
  </si>
  <si>
    <t>Input tab</t>
  </si>
  <si>
    <t>Input item</t>
  </si>
  <si>
    <t>Status</t>
  </si>
  <si>
    <t>Note</t>
  </si>
  <si>
    <t>Vessel Class</t>
  </si>
  <si>
    <t>Number Operating in Potential NDZ</t>
  </si>
  <si>
    <t>Operating months start date (month and day)</t>
  </si>
  <si>
    <t>Operating months end date (month and day)</t>
  </si>
  <si>
    <t>Average number of crew and passengers per vessel</t>
  </si>
  <si>
    <t>Sewage generation rate (gallons per person per day (g/p/d))</t>
  </si>
  <si>
    <t>Pumpout interval (number of days between pumpout)</t>
  </si>
  <si>
    <t>Average distance traveled (nautical miles)</t>
  </si>
  <si>
    <t>Percent of vessels with holding tank installed</t>
  </si>
  <si>
    <t>Buffer time when pumping out</t>
  </si>
  <si>
    <t>Facility Name</t>
  </si>
  <si>
    <t>Facility Type</t>
  </si>
  <si>
    <t>Number of hours in operation per day</t>
  </si>
  <si>
    <t>Days per week in operation</t>
  </si>
  <si>
    <t>Opening month</t>
  </si>
  <si>
    <t>Closing month</t>
  </si>
  <si>
    <t>Connection to sewer?</t>
  </si>
  <si>
    <t>Tank Capacity (gallons)</t>
  </si>
  <si>
    <t xml:space="preserve">Total working flow (gpm) </t>
  </si>
  <si>
    <t>Base/Service Fee</t>
  </si>
  <si>
    <t>Base Gallons</t>
  </si>
  <si>
    <t>Fee</t>
  </si>
  <si>
    <t>Annual baseline operating costs ($/vessel)</t>
  </si>
  <si>
    <t>Vessel speed (nautical miles per hour)</t>
  </si>
  <si>
    <t>Fuel consumption (gallons per hour)</t>
  </si>
  <si>
    <t>Hourly revenue ($/hour/vessel)</t>
  </si>
  <si>
    <t>Fuel price ($/gallon)</t>
  </si>
  <si>
    <t>Vessel Inputs</t>
  </si>
  <si>
    <t>Instructions:</t>
  </si>
  <si>
    <t>Fill out this table for all non-oceangoing, sewage-generating commercial vessels. All green cells are required and black cells do not need to be filled in. Yellow cells contain default values; enter a different value if known. To return to the default value, select the default value from the drop down menu. Do not leave yellow or green cells blank. Select the header for more information about that input, or refer to the Data Dictionary.</t>
  </si>
  <si>
    <t>Class check</t>
  </si>
  <si>
    <t>Vessel input check</t>
  </si>
  <si>
    <t>Start date check</t>
  </si>
  <si>
    <t>End date check</t>
  </si>
  <si>
    <t>Secondary operating months start date (month and day)</t>
  </si>
  <si>
    <t>2nd Start date check</t>
  </si>
  <si>
    <t>Secondary operating months end date (month and day)</t>
  </si>
  <si>
    <t>2nd End date check</t>
  </si>
  <si>
    <t>Crew passenger check</t>
  </si>
  <si>
    <t>Sewage check</t>
  </si>
  <si>
    <t>interval check</t>
  </si>
  <si>
    <t>Distance check</t>
  </si>
  <si>
    <t>% HT check</t>
  </si>
  <si>
    <t>Buffer time when pumping out (minutes)</t>
  </si>
  <si>
    <t>Buffer check</t>
  </si>
  <si>
    <t>End of table</t>
  </si>
  <si>
    <t>Tugboats</t>
  </si>
  <si>
    <t>Commercial Fishing Vessels</t>
  </si>
  <si>
    <t>Excursion</t>
  </si>
  <si>
    <t>Ferries</t>
  </si>
  <si>
    <t>end</t>
  </si>
  <si>
    <t>Required</t>
  </si>
  <si>
    <t>If not applicable leave blank</t>
  </si>
  <si>
    <t>Default value available for Type A vessel classes. Input required for Type B vessel classes.</t>
  </si>
  <si>
    <t>To add a new vessel class to the table, please click "Add Row" (or "Ctrl + e") --&gt;</t>
  </si>
  <si>
    <t>To remove a user-added vessel class from the table, please select any cell in the row you wish to remove, then click "Delete Row" (or "Ctrl + f") --&gt;</t>
  </si>
  <si>
    <t>Facility Inputs</t>
  </si>
  <si>
    <t>Enter information for all pumpout facilities, including pumpout boats, barges, and trucks, that serve commercial vessels. All green cells are required and black cells do not need to be filled in. Yellow cells contain default values; enter a different value if known. To return to the default value, select the default value from the drop down menu. Do not leave yellow or green cells blank. Gray cells are optional values. Select the header for more information about that input, or refer to the Data Dictionary.</t>
  </si>
  <si>
    <t>Name Check</t>
  </si>
  <si>
    <t>Type check</t>
  </si>
  <si>
    <t>Number of hours of operation per day</t>
  </si>
  <si>
    <t>Hours Check</t>
  </si>
  <si>
    <t>Days Check</t>
  </si>
  <si>
    <t>Opening month (if facility operates year-round, enter 1)</t>
  </si>
  <si>
    <t>Opening month check</t>
  </si>
  <si>
    <t>Closing month (if facility operates year-round, enter 12)</t>
  </si>
  <si>
    <t>Closing month check</t>
  </si>
  <si>
    <t>Sewer check</t>
  </si>
  <si>
    <t>Capacity check</t>
  </si>
  <si>
    <t>WF check</t>
  </si>
  <si>
    <t>Fee check</t>
  </si>
  <si>
    <t>Gallon check</t>
  </si>
  <si>
    <t>Fee ($/gallon)</t>
  </si>
  <si>
    <t>Fee ($/hour)</t>
  </si>
  <si>
    <t>Pumpout Facility #1</t>
  </si>
  <si>
    <t>Stationary</t>
  </si>
  <si>
    <t>Yes</t>
  </si>
  <si>
    <t>Pumpout Facility #2</t>
  </si>
  <si>
    <t>Truck</t>
  </si>
  <si>
    <t>No</t>
  </si>
  <si>
    <t>Pumpout Facility #3</t>
  </si>
  <si>
    <t>Boat</t>
  </si>
  <si>
    <t>Pumpout Facility #4</t>
  </si>
  <si>
    <t>Barge</t>
  </si>
  <si>
    <t>End</t>
  </si>
  <si>
    <t>If "Connection is sewer?" is yes, leave blank. If "Connection is sewer?" is no, then default value is available.</t>
  </si>
  <si>
    <t>A base fee, a fee in dollars per gallon, or a fee in dollars per hour is required.</t>
  </si>
  <si>
    <t xml:space="preserve">If there is no Base/Service fee, then leave blank. If there is a Base/Service fee, then input is required. </t>
  </si>
  <si>
    <t>To add a row to the end of the table, please click "Add Row" (or "Ctrl + y") --&gt;</t>
  </si>
  <si>
    <t>To remove a row from the table, please select any cell in the row you wish to remove, then click "Delete Row" (or "Ctrl + d") --&gt;</t>
  </si>
  <si>
    <t>Cost Inputs</t>
  </si>
  <si>
    <t>Enter information for inputs to the cost analysis. Green cells are required. Yellow cells contain default values; enter a different value if known. To return to the default value, select the default value from the drop down menu. Do not leave cells blank. Select the header for more information about that input, or refer to the Data Dictionary.</t>
  </si>
  <si>
    <t>Vessel Type</t>
  </si>
  <si>
    <t>Baseline check</t>
  </si>
  <si>
    <t>Speed check</t>
  </si>
  <si>
    <t>Consumption check</t>
  </si>
  <si>
    <t>Revenue check</t>
  </si>
  <si>
    <t>Fuel price check</t>
  </si>
  <si>
    <t>Analysis Results</t>
  </si>
  <si>
    <t>(1) Screening Analysis</t>
  </si>
  <si>
    <t>(2) Cost Analysis</t>
  </si>
  <si>
    <t xml:space="preserve">The screening analysis compares pumpout capacity at existing commercial pumpout facilities to estimated commercial vessel demand for pumpout services. The daily pumpout capacity varies by month and day, as facilities may not operate year-round or 7 days per week. Daily vessel demand also varies day-to-day, depending on how many vessels utilize pumpout services each day. </t>
  </si>
  <si>
    <t xml:space="preserve">An NDZ designation may impose costs on owners/operators of sewage-generating commercial vessels. Table 3, below, summarizes these costs per vessel by cost category for each vessel class. The expenditure test evaluates the percentage increase in baseline operating costs due to the NDZ designation. Figures 2 graphically depicts the results of the expenditure test for each vessel class. The number of vessels in each class incurring the full set of compliance costs is dependent on the percent of vessels that already have a holding tank. </t>
  </si>
  <si>
    <r>
      <rPr>
        <b/>
        <i/>
        <sz val="10"/>
        <color theme="1"/>
        <rFont val="Arial"/>
        <family val="2"/>
      </rPr>
      <t>Minimum capacity</t>
    </r>
    <r>
      <rPr>
        <i/>
        <sz val="10"/>
        <color theme="1"/>
        <rFont val="Arial"/>
        <family val="2"/>
      </rPr>
      <t xml:space="preserve"> - reflects the day and month in which the fewest/smallest facilities are operating</t>
    </r>
  </si>
  <si>
    <t>Table 3: Cost analysis ($2018)</t>
  </si>
  <si>
    <r>
      <rPr>
        <b/>
        <i/>
        <sz val="10"/>
        <color theme="1"/>
        <rFont val="Arial"/>
        <family val="2"/>
      </rPr>
      <t>Maximum capacity</t>
    </r>
    <r>
      <rPr>
        <i/>
        <sz val="10"/>
        <color theme="1"/>
        <rFont val="Arial"/>
        <family val="2"/>
      </rPr>
      <t xml:space="preserve"> - reflects the day/month in which the most/largest facilities are operating</t>
    </r>
  </si>
  <si>
    <r>
      <rPr>
        <b/>
        <i/>
        <sz val="10"/>
        <color theme="1"/>
        <rFont val="Arial"/>
        <family val="2"/>
      </rPr>
      <t>Minimum demand</t>
    </r>
    <r>
      <rPr>
        <i/>
        <sz val="10"/>
        <color theme="1"/>
        <rFont val="Arial"/>
        <family val="2"/>
      </rPr>
      <t xml:space="preserve"> - reflects the daily demand from vessels utilizing pumpout facilities every day</t>
    </r>
  </si>
  <si>
    <t>Total number of vessels</t>
  </si>
  <si>
    <r>
      <rPr>
        <b/>
        <i/>
        <sz val="10"/>
        <color theme="1"/>
        <rFont val="Arial"/>
        <family val="2"/>
      </rPr>
      <t>Maximum demand</t>
    </r>
    <r>
      <rPr>
        <i/>
        <sz val="10"/>
        <color theme="1"/>
        <rFont val="Arial"/>
        <family val="2"/>
      </rPr>
      <t xml:space="preserve"> - reflects the daily demand from all vessels operating in the NDZ</t>
    </r>
  </si>
  <si>
    <t>Number of vessels w/ holding tanks</t>
  </si>
  <si>
    <t>Number of vessels w/o holding tanks</t>
  </si>
  <si>
    <t>Table 1: Minimum and maximum demand and capacity</t>
  </si>
  <si>
    <t>Annual baseline operating costs ($/year)</t>
  </si>
  <si>
    <t>Item</t>
  </si>
  <si>
    <t>Total - minimum</t>
  </si>
  <si>
    <t>Total - maximum</t>
  </si>
  <si>
    <t>Difference</t>
  </si>
  <si>
    <t>Annual facility use costs ($/year)</t>
  </si>
  <si>
    <t>Demand (gallons per day)</t>
  </si>
  <si>
    <t>Annual travel costs - fuel ($/year)</t>
  </si>
  <si>
    <t>Capacity (gallons per day)</t>
  </si>
  <si>
    <t>Annual travel costs - lost revenue ($/year)</t>
  </si>
  <si>
    <t>Annual pumpout time costs - lost revenue ($/year)</t>
  </si>
  <si>
    <t>Annual wait time costs - lost revenue ($/year)</t>
  </si>
  <si>
    <t>Total annualized compliance costs ($/year)</t>
  </si>
  <si>
    <t>Expenditure test - vessels w/ holding tank</t>
  </si>
  <si>
    <t>Expenditure test - vessels w/o holding tank</t>
  </si>
  <si>
    <r>
      <rPr>
        <b/>
        <i/>
        <sz val="11"/>
        <color theme="1"/>
        <rFont val="Arial"/>
        <family val="2"/>
      </rPr>
      <t xml:space="preserve">The Expenditure Test </t>
    </r>
    <r>
      <rPr>
        <i/>
        <sz val="11"/>
        <color theme="1"/>
        <rFont val="Arial"/>
        <family val="2"/>
      </rPr>
      <t>compares incremental costs attributable to the NDZ to annual baseline operating costs. Total annualized compliance costs equal:</t>
    </r>
  </si>
  <si>
    <t>- Wait time costs, for vessels with a holding tank already installed in the baseline.</t>
  </si>
  <si>
    <t>- Facility use costs, travel costs, pumpout time costs, and wait time costs, for vessels without a holding tank installed in the baseline.</t>
  </si>
  <si>
    <t>max</t>
  </si>
  <si>
    <t>min</t>
  </si>
  <si>
    <r>
      <rPr>
        <b/>
        <i/>
        <sz val="11"/>
        <color theme="1"/>
        <rFont val="Arial"/>
        <family val="2"/>
      </rPr>
      <t>Description:</t>
    </r>
    <r>
      <rPr>
        <i/>
        <sz val="11"/>
        <color theme="1"/>
        <rFont val="Arial"/>
        <family val="2"/>
      </rPr>
      <t xml:space="preserve"> Figure 1 presents the results from Table 1 to compare the demand, in gallons per day, to the capacity, in gallons per day, in the NDZ.</t>
    </r>
  </si>
  <si>
    <t>To understand the likelihood that demand on a given day would exceed existing capacity, the tool evaluates a scenario based on each vessel class's operating months and days between pumpouts, assuming uniform demand (the same number of vessels within each class pumps out each day of the operating period). The minimum and maximum daily demand and the fraction of days where demand is satisfied by existing capacity, estimated under this scenario, are summarized in Table 2, below.</t>
  </si>
  <si>
    <t>Table 2: Uniform demand scenario</t>
  </si>
  <si>
    <t>Value</t>
  </si>
  <si>
    <t>Minimum daily demand (gallons per day)</t>
  </si>
  <si>
    <t>Maximum daily demand (gallons per day)</t>
  </si>
  <si>
    <t>% of days where min. capacity meets demand</t>
  </si>
  <si>
    <t>% of days where max. capacity meets demand</t>
  </si>
  <si>
    <r>
      <rPr>
        <b/>
        <i/>
        <sz val="11"/>
        <color theme="1"/>
        <rFont val="Arial"/>
        <family val="2"/>
      </rPr>
      <t xml:space="preserve">Description: </t>
    </r>
    <r>
      <rPr>
        <i/>
        <sz val="11"/>
        <color theme="1"/>
        <rFont val="Arial"/>
        <family val="2"/>
      </rPr>
      <t>Figure 2 presents results from Table 2 to illustrate, for each vessel class, the percentage increase in baseline operating costs due to the NDZ designation. The percentage increase is shown for vessels with and without holding tanks. Annual baseline operating costs, in dollars per year, are also included for each vessel class.</t>
    </r>
  </si>
  <si>
    <t>Recommendation</t>
  </si>
  <si>
    <t>Detail - Screening Analysis</t>
  </si>
  <si>
    <t>Note - This section shows supporting calculations. The user may review these tabs for additional detail on the analyses performed in this tool if desired. However, review of these tabs is not required to use the tool.</t>
  </si>
  <si>
    <t xml:space="preserve">The following tabs show the steps used in the screening analysis. The Demand tab shows the calculations of minimum and maximum demand for each vessel class, the Capacity tab shows the calculations of minimum and maximum capacity based on weekly facility operations, and Demand Scenario estimates the number of days per year that demand exceeds minimum or maximum capacity. </t>
  </si>
  <si>
    <t>Demand Calculations</t>
  </si>
  <si>
    <t>This tab shows how minimum and maximum demand are calculated for each vessel class. Minimum demand includes demand only from vessel classes that pumpout at least every day. Maximum demand includes the demand of all vessel classes.</t>
  </si>
  <si>
    <t>Number of vessels</t>
  </si>
  <si>
    <t>Average # crew and passengers</t>
  </si>
  <si>
    <t>Sewage generation rate (g/p/d)</t>
  </si>
  <si>
    <t># days between pumpouts</t>
  </si>
  <si>
    <t>Demand per pumpout per vessel (gallons)</t>
  </si>
  <si>
    <t>Total min. demand per day (gpd)</t>
  </si>
  <si>
    <t>Total max. demand per day (gpd)</t>
  </si>
  <si>
    <t>Capacity Calculations</t>
  </si>
  <si>
    <t xml:space="preserve">This tab shows how minimum and maximum capacity is calculated. Minimum and maximum capacity is calculated for each month, dependent on the number of days per week facilities operate. Columns W-Z show the cost per pumpout for each vessel class at each facility. </t>
  </si>
  <si>
    <t>Vessel Cost per Pumpout</t>
  </si>
  <si>
    <t>Operating hours per day</t>
  </si>
  <si>
    <t>Operating days per week</t>
  </si>
  <si>
    <t>Total facility working flow (gpm)</t>
  </si>
  <si>
    <t>Daily capacity (gpd) - January</t>
  </si>
  <si>
    <t>Daily capacity (gpd) - February</t>
  </si>
  <si>
    <t>Daily capacity (gpd) - March</t>
  </si>
  <si>
    <t>Daily capacity (gpd) - April</t>
  </si>
  <si>
    <t>Daily capacity (gpd) - May</t>
  </si>
  <si>
    <t>Daily capacity (gpd) - June</t>
  </si>
  <si>
    <t>Daily capacity (gpd) - July</t>
  </si>
  <si>
    <t>Daily capacity (gpd) - August</t>
  </si>
  <si>
    <t>Daily capacity (gpd) - September</t>
  </si>
  <si>
    <t>Daily capacity (gpd) - October</t>
  </si>
  <si>
    <t>Daily capacity (gpd) - November</t>
  </si>
  <si>
    <t>Daily capacity (gpd) - December</t>
  </si>
  <si>
    <t>Average daily capacity (gpd) - Jan-Dec</t>
  </si>
  <si>
    <t>Average</t>
  </si>
  <si>
    <t>Min daily capacity</t>
  </si>
  <si>
    <t>% of days at min capacity</t>
  </si>
  <si>
    <t>Max daily capacity</t>
  </si>
  <si>
    <t>% of days at max capacity</t>
  </si>
  <si>
    <t>Uniform demand scenario</t>
  </si>
  <si>
    <t xml:space="preserve">This tab shows how the number of days demand exceed minimum and maximum demand is calculated. Uniform demand is assumed. </t>
  </si>
  <si>
    <t>Date</t>
  </si>
  <si>
    <t>Day</t>
  </si>
  <si>
    <t>End of vessel classes</t>
  </si>
  <si>
    <t>Number of vessel classes accessing facilities</t>
  </si>
  <si>
    <t>Total Demand (gallons)</t>
  </si>
  <si>
    <t>Minimum capacity (gallons)</t>
  </si>
  <si>
    <t>Maximum capacity (gallons)</t>
  </si>
  <si>
    <t>Demand &lt;= Min capacity</t>
  </si>
  <si>
    <t>Demand &lt;= Max capacity</t>
  </si>
  <si>
    <t>Pumpout interval</t>
  </si>
  <si>
    <t>Length of operating period (days)</t>
  </si>
  <si>
    <t>Operating months start -1</t>
  </si>
  <si>
    <t>Operating months end -1</t>
  </si>
  <si>
    <t>Operating months start -2</t>
  </si>
  <si>
    <t>Operating months end -2</t>
  </si>
  <si>
    <t>Detail - Cost Analysis</t>
  </si>
  <si>
    <t>Note - This section shows supporting calculations. The user may review these tabs for additional detail on the analyses performed in this tool if desired. However, these tabs are not required to be reviewed in order to use the tool.</t>
  </si>
  <si>
    <t xml:space="preserve">The following tab shows the steps used in the cost analysis. The compliance cost tab shows all the costs considered in the expenditure tests, as well as inputs used to determine costs. </t>
  </si>
  <si>
    <t>Compliance Costs ($2018)</t>
  </si>
  <si>
    <t>This tab shows the calculation of compliance costs per vessel by vessel class.</t>
  </si>
  <si>
    <t>Discount rate</t>
  </si>
  <si>
    <t>Facility use cost per pumpout</t>
  </si>
  <si>
    <t>Number of days between pumpout</t>
  </si>
  <si>
    <t>Average distance traveled (nautical miles roundtrip)</t>
  </si>
  <si>
    <t>Fuel use rate (gallons per hour)</t>
  </si>
  <si>
    <t>Vessel speed (knots)</t>
  </si>
  <si>
    <t>Distance traveled (nautical miles roundtrip)</t>
  </si>
  <si>
    <t>Average hourly revenue ($/hour)</t>
  </si>
  <si>
    <t>Average demand per pumpout (gallons)</t>
  </si>
  <si>
    <t>Buffer time (minutes)</t>
  </si>
  <si>
    <t>Average time to pump out (minutes per pumpout trip)</t>
  </si>
  <si>
    <t>Average pumpout time (minutes)</t>
  </si>
  <si>
    <r>
      <t>Average wait time (minutes per pumpout trip)</t>
    </r>
    <r>
      <rPr>
        <vertAlign val="superscript"/>
        <sz val="11"/>
        <color theme="1"/>
        <rFont val="Arial"/>
        <family val="2"/>
      </rPr>
      <t>b</t>
    </r>
  </si>
  <si>
    <t>Fraction of pumpouts with wait time</t>
  </si>
  <si>
    <t>a. Annualized over 20 years.
b. Assumes each vessel would wait for one other vessel to pump out ahead of it. Uses weighted average demand per pumpout, weighted by number of vessels in each class.</t>
  </si>
  <si>
    <t>Detail - Assumptions</t>
  </si>
  <si>
    <t>Note - This section shows supporting assumptions. The user may review these tabs for additional detail on the analyses performed in this tool if desired. However, these tabs are not required to be reviewed in order to use the tool.</t>
  </si>
  <si>
    <t>The following tabs explain assumptions used for default values and calculations throughout this analysis. The Sewage Gen &amp; Pumpout Int tab include default values for number of crew and passengers, sewage generation rates, and pumpout intervals for each vessel class. Bsln Cost Assumptions includes data used to determine baseline operating costs for each vessel class. Compliance Cost Assumptions includes the data and sources used in the compliance cost analysis.</t>
  </si>
  <si>
    <t>National Data: Sewage Generation</t>
  </si>
  <si>
    <t>Estimated Annual Sewage Generation by Vessel Class.</t>
  </si>
  <si>
    <t>Vessel Class2</t>
  </si>
  <si>
    <t>Estimated Number of Vessels Using Type I MSDs</t>
  </si>
  <si>
    <t>Estimated Number of Vessels Using Type II MSDs</t>
  </si>
  <si>
    <t>Estimated Number of Vessels Using AWTS</t>
  </si>
  <si>
    <t>Estimated % of Vessels with Type III or AWTS</t>
  </si>
  <si>
    <t>Average Number of Passengers and Crew Per Vessel</t>
  </si>
  <si>
    <t>Number of Days Vessel is Discharging Sewage in U.S. Waters (days/yr)</t>
  </si>
  <si>
    <t>Sewage Generation Rate (gal/day/person)</t>
  </si>
  <si>
    <t>Large Cruise Ships</t>
  </si>
  <si>
    <r>
      <t>Large Cruise Ships</t>
    </r>
    <r>
      <rPr>
        <b/>
        <vertAlign val="superscript"/>
        <sz val="12"/>
        <color theme="1"/>
        <rFont val="Calibri"/>
        <family val="2"/>
        <scheme val="minor"/>
      </rPr>
      <t>a</t>
    </r>
  </si>
  <si>
    <r>
      <t>Medium and Small Cruise Ships</t>
    </r>
    <r>
      <rPr>
        <b/>
        <vertAlign val="superscript"/>
        <sz val="12"/>
        <color theme="1"/>
        <rFont val="Calibri"/>
        <family val="2"/>
        <scheme val="minor"/>
      </rPr>
      <t>b</t>
    </r>
  </si>
  <si>
    <t>Ferries with Overnight Accommodations</t>
  </si>
  <si>
    <r>
      <t>Passenger Ferries with Overnight Accommodations</t>
    </r>
    <r>
      <rPr>
        <b/>
        <vertAlign val="superscript"/>
        <sz val="12"/>
        <color theme="1"/>
        <rFont val="Calibri"/>
        <family val="2"/>
        <scheme val="minor"/>
      </rPr>
      <t>c</t>
    </r>
  </si>
  <si>
    <t>Cargo Ships</t>
  </si>
  <si>
    <r>
      <t>Cargo/Container/Tanker Ships</t>
    </r>
    <r>
      <rPr>
        <b/>
        <vertAlign val="superscript"/>
        <sz val="12"/>
        <color theme="1"/>
        <rFont val="Calibri"/>
        <family val="2"/>
        <scheme val="minor"/>
      </rPr>
      <t>e</t>
    </r>
  </si>
  <si>
    <t>Great Lake Freighters</t>
  </si>
  <si>
    <r>
      <t>Great Lakes Freighters</t>
    </r>
    <r>
      <rPr>
        <b/>
        <vertAlign val="superscript"/>
        <sz val="12"/>
        <color theme="1"/>
        <rFont val="Calibri"/>
        <family val="2"/>
        <scheme val="minor"/>
      </rPr>
      <t>f</t>
    </r>
    <r>
      <rPr>
        <b/>
        <sz val="12"/>
        <color theme="1"/>
        <rFont val="Calibri"/>
        <family val="2"/>
        <scheme val="minor"/>
      </rPr>
      <t xml:space="preserve"> </t>
    </r>
  </si>
  <si>
    <t>Off-Shore Vessels</t>
  </si>
  <si>
    <r>
      <t>Off-Shore Utility Vessels</t>
    </r>
    <r>
      <rPr>
        <b/>
        <vertAlign val="superscript"/>
        <sz val="12"/>
        <color theme="1"/>
        <rFont val="Calibri"/>
        <family val="2"/>
        <scheme val="minor"/>
      </rPr>
      <t>g</t>
    </r>
  </si>
  <si>
    <t>NA</t>
  </si>
  <si>
    <t>Public Unclassified Vessels</t>
  </si>
  <si>
    <r>
      <t>Public Vessels, Unclassified</t>
    </r>
    <r>
      <rPr>
        <b/>
        <vertAlign val="superscript"/>
        <sz val="12"/>
        <color theme="1"/>
        <rFont val="Calibri"/>
        <family val="2"/>
        <scheme val="minor"/>
      </rPr>
      <t>h</t>
    </r>
    <r>
      <rPr>
        <b/>
        <sz val="12"/>
        <color theme="1"/>
        <rFont val="Calibri"/>
        <family val="2"/>
        <scheme val="minor"/>
      </rPr>
      <t xml:space="preserve"> </t>
    </r>
  </si>
  <si>
    <r>
      <t>Tug Boats/Push Boats</t>
    </r>
    <r>
      <rPr>
        <b/>
        <vertAlign val="superscript"/>
        <sz val="12"/>
        <color theme="1"/>
        <rFont val="Calibri"/>
        <family val="2"/>
        <scheme val="minor"/>
      </rPr>
      <t>i</t>
    </r>
  </si>
  <si>
    <r>
      <t>Commercial Fishing Vessels</t>
    </r>
    <r>
      <rPr>
        <b/>
        <vertAlign val="superscript"/>
        <sz val="12"/>
        <color theme="1"/>
        <rFont val="Calibri"/>
        <family val="2"/>
        <scheme val="minor"/>
      </rPr>
      <t>j</t>
    </r>
    <r>
      <rPr>
        <b/>
        <sz val="12"/>
        <color theme="1"/>
        <rFont val="Calibri"/>
        <family val="2"/>
        <scheme val="minor"/>
      </rPr>
      <t xml:space="preserve"> </t>
    </r>
  </si>
  <si>
    <t>Military Vessels</t>
  </si>
  <si>
    <r>
      <t>Military Vessels</t>
    </r>
    <r>
      <rPr>
        <b/>
        <vertAlign val="superscript"/>
        <sz val="12"/>
        <color theme="1"/>
        <rFont val="Calibri"/>
        <family val="2"/>
        <scheme val="minor"/>
      </rPr>
      <t>k</t>
    </r>
  </si>
  <si>
    <t>Recreational Vessels</t>
  </si>
  <si>
    <r>
      <t>Recreational Vessels</t>
    </r>
    <r>
      <rPr>
        <b/>
        <vertAlign val="superscript"/>
        <sz val="12"/>
        <color theme="1"/>
        <rFont val="Calibri"/>
        <family val="2"/>
        <scheme val="minor"/>
      </rPr>
      <t>l</t>
    </r>
  </si>
  <si>
    <t>Total Volume</t>
  </si>
  <si>
    <r>
      <t xml:space="preserve">NA – not available.
AWTS - advanced wastewater treatment systems.
</t>
    </r>
    <r>
      <rPr>
        <b/>
        <i/>
        <sz val="10"/>
        <color theme="1"/>
        <rFont val="Calibri"/>
        <family val="2"/>
        <scheme val="minor"/>
      </rPr>
      <t>Notes:</t>
    </r>
    <r>
      <rPr>
        <i/>
        <sz val="10"/>
        <color theme="1"/>
        <rFont val="Calibri"/>
        <family val="2"/>
        <scheme val="minor"/>
      </rPr>
      <t xml:space="preserve"> 
(1) Some vessels operating flow-through devices (i.e., Type I, Type II, or AWTS) are also equipped with holding capacity.
(2) See "Guidance  for Vessel Sewage No-Discharge Zone Applications (Clean Water Act §312(f))" for explantions of superscripts.
(3) For military vessels, the default values for the number of vessels using each type of MSD and the average number of passengers and crew per vessel should not be used for purposes of calculation. </t>
    </r>
  </si>
  <si>
    <t>Pumpout Interval</t>
  </si>
  <si>
    <t>Pumpout Facility Assumptions</t>
  </si>
  <si>
    <t>Holding tank capacity - min (gallons)</t>
  </si>
  <si>
    <t>Holding tank capacity - max (gallons)</t>
  </si>
  <si>
    <t>Holding tank capacity - average (gallons)</t>
  </si>
  <si>
    <t>Working flow (gpm)</t>
  </si>
  <si>
    <t>Data and assumptions for use in analysis of baseline costs</t>
  </si>
  <si>
    <t>Source</t>
  </si>
  <si>
    <t>Cost ($2018)</t>
  </si>
  <si>
    <t>State of Washington Joint Transportation Committee (JTC) (2006). Passenger-Only Ferry Cost Analysis. Retrieved from: http://leg.wa.gov/JTC/Documents/POFCostAnalysis.pdf.</t>
  </si>
  <si>
    <t>U.S. Department of Transportation (2011a). Ferry Lifecycle Cost Model. December 2011. Retrieved from: https://www.volpe.dot.gov/sites/volpe.dot.gov/files/docs/ferry_lifecycle_cost_model.xlsx</t>
  </si>
  <si>
    <t>Berentson, Dan and Paul Randall-Grutter (2019). Guemes Island Ferry Replacement Project Replacement Ferry Size [Memorandum]. Skagit County Board of Skagit County Commissioners. Retrieved from: https://www.skagitcounty.net/PublicWorksFerryReplacement/Documents/Project%20Memo%20to%20BCC%20RE_Vessel%20Size.pdf.</t>
  </si>
  <si>
    <t>Whitman, Requardt, &amp; Associates (2015). City Alternative Transportation Expansion Study: Water Transit Strategic Plan. Prepared for Baltimore City Department of Transportation (BCDOT). Retrieved from: http://baltimorewaterfront.com/wp-content/uploads/2016/06/Water-Transit-Strategic-Plan-Final-8-6-15.pdf.</t>
  </si>
  <si>
    <t>U.S. Department of the Interior National Park Service (U.S. DOI) (2010). Passenger Ferry Transportation Feasibility Study: Cape Lookout National Seashore. Retrieved from: https://parkplanning.nps.gov/showFile.cfm?projectID=27607&amp;MIMEType=application%252Fpdf&amp;filename=CALO%20Feasibility%20Study%5Flowres2.pdf&amp;sfid=101258.</t>
  </si>
  <si>
    <t>Economic &amp; Planning Systems, Inc. (2015). Financial Feasibility of Contra Costa County Ferry Service, 2015-2024. Prepared for Contra Costa Transportation Authority. Retrieved from: https://ccta.net/wp-content/uploads/2018/10/54c0124fe52d8.pdf.</t>
  </si>
  <si>
    <t>Cambridge Systematics, Inc. (2011). Hillsborough County Water Ferry Feasibility Study. Prepared for Hillsborough County Metropolitan Planning Organization. Retrieved from: http://www.planhillsborough.org/wp-content/uploads/2012/08/Water-Ferry-Feasibility-Study-Final-Report1.pdf.</t>
  </si>
  <si>
    <t>Economic &amp; Planning Systems, Inc. (2019). Water Transit Feasibility Study. Prepared for Solano Transportation Authority. Retrieved from: https://sta.ca.gov/wp-content/uploads/2019/07/Water-Transit-Services-Feasibility-Study-7-22-19-2.pdf.</t>
  </si>
  <si>
    <t>Whatcom County Public Works (2018). Ferry Operations Report: Fiscal Year 2018 with 2019-2020 Projections. Retrieved from: https://www.whatcomcounty.us/DocumentCenter/View/42034/Ferry-Ops-Report-2018---Final.</t>
  </si>
  <si>
    <t>Nelson Nygaard Consulting Associates (2006). Willamette River Ferry Feasibility Study: City of Portland River Renaissance Initiative. Prepared for Portland Department of Transportation. Retrieved from: https://www.portland.gov/sites/default/files/2020-01/willamette-river-ferry-feasibility-study-2006.pdf.</t>
  </si>
  <si>
    <t>Table - 1 FY 2004 Estimated Daily Operating Costs for Mississippi River System Towboats</t>
  </si>
  <si>
    <t>Economic Guidance Memorandum 05-06: Shallow Draft Vessels Operating Costs, Fiscal Year 2004 (2004)</t>
  </si>
  <si>
    <t>https://planning.erdc.dren.mil/toolbox/library/EGMs/egm05-06.pdf</t>
  </si>
  <si>
    <t>$2004</t>
  </si>
  <si>
    <t>$2018</t>
  </si>
  <si>
    <t>Horsepower</t>
  </si>
  <si>
    <t>400-600</t>
  </si>
  <si>
    <t>Type</t>
  </si>
  <si>
    <t>Harbor or Linehaul</t>
  </si>
  <si>
    <t>Average Operating Costs</t>
  </si>
  <si>
    <t>Crew Wages</t>
  </si>
  <si>
    <t>Fringe Benefits</t>
  </si>
  <si>
    <t>Food &amp; Subsistence</t>
  </si>
  <si>
    <t>Crew Transportation</t>
  </si>
  <si>
    <t>Total Crew Costs</t>
  </si>
  <si>
    <t>Maintenance &amp; Repair</t>
  </si>
  <si>
    <t>Supplies</t>
  </si>
  <si>
    <t>Insurance</t>
  </si>
  <si>
    <t>Taxes &amp; Other</t>
  </si>
  <si>
    <t>Total Boat Costs</t>
  </si>
  <si>
    <t>Total Operating Costs</t>
  </si>
  <si>
    <t>Administration</t>
  </si>
  <si>
    <t>Average Fuel Use (GPD) - HiPower Use</t>
  </si>
  <si>
    <t>Average Fuel Use (GPD) - Actual Use</t>
  </si>
  <si>
    <t>Average Fuel Cost - HiPower Use</t>
  </si>
  <si>
    <t>Average Fuel Cost - Actual Power Use</t>
  </si>
  <si>
    <t>Total Daily Costs</t>
  </si>
  <si>
    <t>HiPower Use</t>
  </si>
  <si>
    <t>Actual Power Use</t>
  </si>
  <si>
    <t>Operating days per year</t>
  </si>
  <si>
    <t>Average crew size</t>
  </si>
  <si>
    <t>Total annual costs</t>
  </si>
  <si>
    <t>Table 20: Estimated Vessel Operating Costs</t>
  </si>
  <si>
    <t>Tugboat most likely vessel operating cost in port</t>
  </si>
  <si>
    <t>Alaska Deep Draft Arctic Port System Feasibility Study A Subset of the Alaska Regional Ports Study Economics Appendix B (2015)</t>
  </si>
  <si>
    <t>https://www.poa.usace.army.mil/Portals/34/docs/civilworks/arcticdeepdraft/AppendixBEconomics.pdf</t>
  </si>
  <si>
    <t>$2011</t>
  </si>
  <si>
    <t>Daily tugboat operating cost in port</t>
  </si>
  <si>
    <t>Hours per day in operation</t>
  </si>
  <si>
    <t>Table B-51. Annual Commercial Vessel Operating Costs Summary by Vessel Size</t>
  </si>
  <si>
    <t>Valdez Harbor Expansion Feasibility Study Economics Appendix B, September 2010</t>
  </si>
  <si>
    <t>https://www.poa.usace.army.mil/Portals/34/docs/civilworks/currentproj/vol2appendixbeconomicanalysis%20(2).pdf</t>
  </si>
  <si>
    <t>$2010</t>
  </si>
  <si>
    <t>&lt;6.7 m net ($2010)</t>
  </si>
  <si>
    <t>6.7-11 m Longline/net ($2010)</t>
  </si>
  <si>
    <t>11.3-16.8 m Seine/Longline/pot/jig ($2010)</t>
  </si>
  <si>
    <t>16.8-30 m Seine/Longline/Crab ($2010)</t>
  </si>
  <si>
    <t>&lt;6.7 m net ($2018)</t>
  </si>
  <si>
    <t>6.7-11 m Longline/net ($2018)</t>
  </si>
  <si>
    <t>11.3-16.8 m Seine/Longline/pot/jig ($2018)</t>
  </si>
  <si>
    <t>16.8-30 m Seine/Longline/Crab ($2018)</t>
  </si>
  <si>
    <t>Fixed Costs</t>
  </si>
  <si>
    <t>Hull Insurance</t>
  </si>
  <si>
    <t>P&amp;I Insurance</t>
  </si>
  <si>
    <t>License/permit fees</t>
  </si>
  <si>
    <t>Association dues</t>
  </si>
  <si>
    <t>Business expenses</t>
  </si>
  <si>
    <t>Food</t>
  </si>
  <si>
    <t>Return on capital</t>
  </si>
  <si>
    <t>Crew share (commercial)</t>
  </si>
  <si>
    <t>Variable Costs</t>
  </si>
  <si>
    <t>Fuel</t>
  </si>
  <si>
    <t>Repair/maintenance</t>
  </si>
  <si>
    <t>Annual costs - commercial fishing</t>
  </si>
  <si>
    <t>No information; assumed same as ferries</t>
  </si>
  <si>
    <t>Total Cost ($2018)</t>
  </si>
  <si>
    <t>Data and assumptions for use in analysis of compliance costs</t>
  </si>
  <si>
    <t xml:space="preserve">This tab shows the data and sources used in the compliance cost analysis. Average values are applied in the analysis. </t>
  </si>
  <si>
    <t>Units</t>
  </si>
  <si>
    <t>[Blank column]</t>
  </si>
  <si>
    <t>Fuel price (No. 2 diesel fuel)</t>
  </si>
  <si>
    <t>$2018/gallon</t>
  </si>
  <si>
    <r>
      <rPr>
        <sz val="11"/>
        <rFont val="Calibri"/>
        <family val="2"/>
        <scheme val="minor"/>
      </rPr>
      <t xml:space="preserve">2018 annual value from </t>
    </r>
    <r>
      <rPr>
        <u/>
        <sz val="11"/>
        <color theme="10"/>
        <rFont val="Calibri"/>
        <family val="2"/>
        <scheme val="minor"/>
      </rPr>
      <t>https://www.eia.gov/dnav/pet/pet_pri_refoth_dcu_nus_a.htm</t>
    </r>
  </si>
  <si>
    <t>Vessel speed</t>
  </si>
  <si>
    <t>Min value</t>
  </si>
  <si>
    <t>Max value</t>
  </si>
  <si>
    <t>Average value</t>
  </si>
  <si>
    <t>2016 National Census of Ferry Operators, Typical Speed</t>
  </si>
  <si>
    <t>knots (nautical miles per hour)</t>
  </si>
  <si>
    <t>https://www.weeksmarine.com/equipment-division/tugboats</t>
  </si>
  <si>
    <t>https://www.mauric.ecagroup.com/tuna-seiner-350</t>
  </si>
  <si>
    <r>
      <t>https://www.bostonharborcruises.com/whale-watch/</t>
    </r>
    <r>
      <rPr>
        <sz val="11"/>
        <rFont val="Calibri"/>
        <family val="2"/>
        <scheme val="minor"/>
      </rPr>
      <t xml:space="preserve">; </t>
    </r>
    <r>
      <rPr>
        <u/>
        <sz val="11"/>
        <color theme="10"/>
        <rFont val="Calibri"/>
        <family val="2"/>
        <scheme val="minor"/>
      </rPr>
      <t>https://www.newportwhales.com/Long_Beach_Whale_Watching.html</t>
    </r>
  </si>
  <si>
    <t>Hourly revenue</t>
  </si>
  <si>
    <t>https://www.sanjuanco.com/DocumentCenter/View/1824/Ferry-Fact-Sheet-PDF?bidId=</t>
  </si>
  <si>
    <t>https://fortress.wa.gov/ecy/publications/documents/1610015.pdf</t>
  </si>
  <si>
    <t>https://reports.psmfc.org/pacfin/f?p=501:1000:3129454948353:::::
https://safis.accsp.org:8443/accsp_prod/f?p=1490:1:10966397088518:::::</t>
  </si>
  <si>
    <t xml:space="preserve"> </t>
  </si>
  <si>
    <t>no data; assumed same as ferries</t>
  </si>
  <si>
    <t>Fuel consumption</t>
  </si>
  <si>
    <t>https://ww3.arb.ca.gov/msprog/tech/techreport/draft_chc_technology_assessment.pdf</t>
  </si>
  <si>
    <t>gallons per hour</t>
  </si>
  <si>
    <t>Producer Price Index, NAICS 483: Water Transportation</t>
  </si>
  <si>
    <t>Data extracted on: September 12, 2019</t>
  </si>
  <si>
    <t>https://www.bls.gov/ppi/</t>
  </si>
  <si>
    <t>PPI Industry Data</t>
  </si>
  <si>
    <t>Original Data Value</t>
  </si>
  <si>
    <t>Series Id:</t>
  </si>
  <si>
    <t>PCU483---483---</t>
  </si>
  <si>
    <t>Series Title:</t>
  </si>
  <si>
    <t>PPI industry sub-sector data for Water transportation, not seasonally adjusted</t>
  </si>
  <si>
    <t>Industry:</t>
  </si>
  <si>
    <t>Water transportation</t>
  </si>
  <si>
    <t>Product:</t>
  </si>
  <si>
    <t>Base Date:</t>
  </si>
  <si>
    <t>200312</t>
  </si>
  <si>
    <t>Years:</t>
  </si>
  <si>
    <t>2004 to 2019</t>
  </si>
  <si>
    <t>Year</t>
  </si>
  <si>
    <t>Jan</t>
  </si>
  <si>
    <t>Feb</t>
  </si>
  <si>
    <t>Mar</t>
  </si>
  <si>
    <t>Apr</t>
  </si>
  <si>
    <t>May</t>
  </si>
  <si>
    <t>Jun</t>
  </si>
  <si>
    <t>Jul</t>
  </si>
  <si>
    <t>Aug</t>
  </si>
  <si>
    <t>Sep</t>
  </si>
  <si>
    <t>Oct</t>
  </si>
  <si>
    <t>Nov</t>
  </si>
  <si>
    <t>Dec</t>
  </si>
  <si>
    <t>Annual Average</t>
  </si>
  <si>
    <t>Conversion factor to $2018</t>
  </si>
  <si>
    <t>Enter the month, in number format (e.g., January = 1), that the facility begins operating. If the facility is operates year-round, enter 1.</t>
  </si>
  <si>
    <t>Enter the last month, in number format (e.g., January = 1), that the facility operates in the year. If the facility operates year-round, enter 12.</t>
  </si>
  <si>
    <t>No-Discharge Zone Cost Analysis Tool</t>
  </si>
  <si>
    <t>Estimated Number of Vessels Having Only Type III MSDs (not discharging)</t>
  </si>
  <si>
    <t>Total Annual Treated Sewage Possibly Discharged in U.S. Waters by Vessels Having Type I MSDs, Type II MSDs or AWTS (gal/yr)</t>
  </si>
  <si>
    <r>
      <t>Passenger Vessels (Including Ferries) Without Overnight Accommodations</t>
    </r>
    <r>
      <rPr>
        <b/>
        <vertAlign val="superscript"/>
        <sz val="12"/>
        <color theme="1"/>
        <rFont val="Calibri"/>
        <family val="2"/>
        <scheme val="minor"/>
      </rPr>
      <t>d</t>
    </r>
  </si>
  <si>
    <t>Version 1.0 - May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</si>
</sst>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0_);[Red]\(&quot;$&quot;#,##0\)"/>
    <numFmt numFmtId="8" formatCode="&quot;$&quot;#,##0.00_);[Red]\(&quot;$&quot;#,##0.00\)"/>
    <numFmt numFmtId="164" formatCode="&quot;$&quot;#,##0"/>
    <numFmt numFmtId="165" formatCode="#,##0.0"/>
    <numFmt numFmtId="166" formatCode="&quot;$&quot;#,##0.00"/>
    <numFmt numFmtId="167" formatCode="0.0"/>
    <numFmt numFmtId="168" formatCode="#0.0"/>
    <numFmt numFmtId="169" formatCode="[$-409]d\-mmm;@"/>
    <numFmt numFmtId="170" formatCode="0.0%"/>
  </numFmts>
  <fonts count="54" x14ac:knownFonts="1">
    <font>
      <sz val="11"/>
      <color theme="1"/>
      <name val="Calibri"/>
      <family val="2"/>
      <scheme val="minor"/>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b/>
      <sz val="11"/>
      <color theme="1"/>
      <name val="Calibri"/>
      <family val="2"/>
      <scheme val="minor"/>
    </font>
    <font>
      <i/>
      <sz val="11"/>
      <color theme="1"/>
      <name val="Calibri"/>
      <family val="2"/>
      <scheme val="minor"/>
    </font>
    <font>
      <sz val="11"/>
      <color theme="1"/>
      <name val="Calibri"/>
      <family val="2"/>
      <scheme val="minor"/>
    </font>
    <font>
      <b/>
      <sz val="12"/>
      <color theme="1"/>
      <name val="Calibri"/>
      <family val="2"/>
    </font>
    <font>
      <b/>
      <sz val="12"/>
      <color theme="1"/>
      <name val="Calibri"/>
      <family val="2"/>
      <scheme val="minor"/>
    </font>
    <font>
      <b/>
      <vertAlign val="superscript"/>
      <sz val="12"/>
      <color theme="1"/>
      <name val="Calibri"/>
      <family val="2"/>
      <scheme val="minor"/>
    </font>
    <font>
      <sz val="12"/>
      <color theme="1"/>
      <name val="Calibri"/>
      <family val="2"/>
      <scheme val="minor"/>
    </font>
    <font>
      <i/>
      <sz val="10"/>
      <color theme="1"/>
      <name val="Calibri"/>
      <family val="2"/>
      <scheme val="minor"/>
    </font>
    <font>
      <b/>
      <sz val="14"/>
      <color theme="1"/>
      <name val="Calibri"/>
      <family val="2"/>
      <scheme val="minor"/>
    </font>
    <font>
      <u/>
      <sz val="11"/>
      <color theme="10"/>
      <name val="Calibri"/>
      <family val="2"/>
      <scheme val="minor"/>
    </font>
    <font>
      <sz val="11"/>
      <name val="Calibri"/>
      <family val="2"/>
      <scheme val="minor"/>
    </font>
    <font>
      <b/>
      <sz val="11"/>
      <name val="Calibri"/>
      <family val="2"/>
      <scheme val="minor"/>
    </font>
    <font>
      <b/>
      <sz val="12"/>
      <color indexed="8"/>
      <name val="Arial"/>
      <family val="2"/>
    </font>
    <font>
      <b/>
      <sz val="10"/>
      <color indexed="8"/>
      <name val="Arial"/>
      <family val="2"/>
    </font>
    <font>
      <sz val="10"/>
      <color indexed="8"/>
      <name val="Arial"/>
      <family val="2"/>
    </font>
    <font>
      <sz val="11"/>
      <color indexed="8"/>
      <name val="Calibri"/>
      <family val="2"/>
      <scheme val="minor"/>
    </font>
    <font>
      <b/>
      <sz val="11"/>
      <color theme="1"/>
      <name val="Arial"/>
      <family val="2"/>
    </font>
    <font>
      <sz val="11"/>
      <color theme="0"/>
      <name val="Arial"/>
      <family val="2"/>
    </font>
    <font>
      <b/>
      <u/>
      <sz val="11"/>
      <color rgb="FF0000FF"/>
      <name val="Arial"/>
      <family val="2"/>
    </font>
    <font>
      <i/>
      <sz val="11"/>
      <color theme="9" tint="-0.499984740745262"/>
      <name val="Arial"/>
      <family val="2"/>
    </font>
    <font>
      <i/>
      <sz val="11"/>
      <color theme="7" tint="-0.499984740745262"/>
      <name val="Arial"/>
      <family val="2"/>
    </font>
    <font>
      <b/>
      <sz val="12"/>
      <color theme="1"/>
      <name val="Arial"/>
      <family val="2"/>
    </font>
    <font>
      <b/>
      <i/>
      <sz val="12"/>
      <color theme="1"/>
      <name val="Arial"/>
      <family val="2"/>
    </font>
    <font>
      <i/>
      <sz val="11"/>
      <color theme="1"/>
      <name val="Arial"/>
      <family val="2"/>
    </font>
    <font>
      <vertAlign val="superscript"/>
      <sz val="11"/>
      <color theme="1"/>
      <name val="Arial"/>
      <family val="2"/>
    </font>
    <font>
      <b/>
      <sz val="14"/>
      <color theme="1"/>
      <name val="Arial"/>
      <family val="2"/>
    </font>
    <font>
      <sz val="11"/>
      <name val="Arial"/>
      <family val="2"/>
    </font>
    <font>
      <b/>
      <sz val="16"/>
      <color theme="1"/>
      <name val="Arial"/>
      <family val="2"/>
    </font>
    <font>
      <b/>
      <sz val="16"/>
      <color theme="1"/>
      <name val="Calibri"/>
      <family val="2"/>
      <scheme val="minor"/>
    </font>
    <font>
      <b/>
      <sz val="18"/>
      <color theme="1"/>
      <name val="Calibri"/>
      <family val="2"/>
      <scheme val="minor"/>
    </font>
    <font>
      <i/>
      <sz val="10"/>
      <color theme="1"/>
      <name val="Arial"/>
      <family val="2"/>
    </font>
    <font>
      <b/>
      <i/>
      <sz val="10"/>
      <color theme="1"/>
      <name val="Arial"/>
      <family val="2"/>
    </font>
    <font>
      <i/>
      <sz val="10"/>
      <name val="Arial"/>
      <family val="2"/>
    </font>
    <font>
      <b/>
      <i/>
      <sz val="11"/>
      <color theme="1"/>
      <name val="Arial"/>
      <family val="2"/>
    </font>
    <font>
      <sz val="12"/>
      <color theme="1"/>
      <name val="Arial"/>
      <family val="2"/>
    </font>
    <font>
      <i/>
      <sz val="11"/>
      <name val="Arial"/>
      <family val="2"/>
    </font>
    <font>
      <sz val="8"/>
      <name val="Calibri"/>
      <family val="2"/>
      <scheme val="minor"/>
    </font>
    <font>
      <b/>
      <i/>
      <sz val="10"/>
      <color theme="1"/>
      <name val="Calibri"/>
      <family val="2"/>
      <scheme val="minor"/>
    </font>
    <font>
      <i/>
      <sz val="14"/>
      <color rgb="FFFF0000"/>
      <name val="Calibri"/>
      <family val="2"/>
      <scheme val="minor"/>
    </font>
    <font>
      <sz val="12"/>
      <color rgb="FF000000"/>
      <name val="Arial"/>
      <family val="2"/>
    </font>
    <font>
      <b/>
      <sz val="12"/>
      <name val="Calibri"/>
      <family val="2"/>
      <scheme val="minor"/>
    </font>
    <font>
      <b/>
      <sz val="11"/>
      <color rgb="FFFF0000"/>
      <name val="Calibri"/>
      <family val="2"/>
      <scheme val="minor"/>
    </font>
    <font>
      <sz val="11"/>
      <color rgb="FFFF0000"/>
      <name val="Calibri"/>
      <family val="2"/>
      <scheme val="minor"/>
    </font>
    <font>
      <b/>
      <sz val="18"/>
      <color theme="1"/>
      <name val="Arial"/>
      <family val="2"/>
    </font>
  </fonts>
  <fills count="16">
    <fill>
      <patternFill patternType="none"/>
    </fill>
    <fill>
      <patternFill patternType="gray125"/>
    </fill>
    <fill>
      <patternFill patternType="solid">
        <fgColor theme="0"/>
        <bgColor indexed="64"/>
      </patternFill>
    </fill>
    <fill>
      <patternFill patternType="solid">
        <fgColor rgb="FFD9D9D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1"/>
        <bgColor indexed="64"/>
      </patternFill>
    </fill>
    <fill>
      <patternFill patternType="solid">
        <fgColor theme="6" tint="0.59999389629810485"/>
        <bgColor indexed="64"/>
      </patternFill>
    </fill>
    <fill>
      <patternFill patternType="solid">
        <fgColor rgb="FFCCFFCC"/>
        <bgColor indexed="64"/>
      </patternFill>
    </fill>
    <fill>
      <patternFill patternType="solid">
        <fgColor rgb="FFFFFF99"/>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rgb="FFFFFF00"/>
        <bgColor indexed="64"/>
      </patternFill>
    </fill>
    <fill>
      <patternFill patternType="solid">
        <fgColor rgb="FF000000"/>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double">
        <color indexed="64"/>
      </left>
      <right style="medium">
        <color indexed="64"/>
      </right>
      <top/>
      <bottom style="medium">
        <color indexed="64"/>
      </bottom>
      <diagonal/>
    </border>
    <border>
      <left/>
      <right style="medium">
        <color indexed="64"/>
      </right>
      <top/>
      <bottom style="medium">
        <color indexed="64"/>
      </bottom>
      <diagonal/>
    </border>
    <border>
      <left style="double">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double">
        <color indexed="64"/>
      </left>
      <right style="double">
        <color indexed="64"/>
      </right>
      <top style="double">
        <color indexed="64"/>
      </top>
      <bottom style="medium">
        <color indexed="64"/>
      </bottom>
      <diagonal/>
    </border>
    <border>
      <left style="double">
        <color indexed="64"/>
      </left>
      <right style="double">
        <color indexed="64"/>
      </right>
      <top/>
      <bottom style="medium">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bottom style="thin">
        <color indexed="64"/>
      </bottom>
      <diagonal/>
    </border>
    <border>
      <left/>
      <right/>
      <top style="thin">
        <color indexed="64"/>
      </top>
      <bottom style="double">
        <color indexed="64"/>
      </bottom>
      <diagonal/>
    </border>
    <border>
      <left/>
      <right/>
      <top style="thin">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ck">
        <color auto="1"/>
      </bottom>
      <diagonal/>
    </border>
    <border>
      <left/>
      <right/>
      <top style="double">
        <color indexed="64"/>
      </top>
      <bottom style="double">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double">
        <color indexed="64"/>
      </top>
      <bottom style="thin">
        <color indexed="64"/>
      </bottom>
      <diagonal/>
    </border>
    <border>
      <left/>
      <right/>
      <top style="medium">
        <color indexed="64"/>
      </top>
      <bottom style="thin">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thin">
        <color indexed="64"/>
      </bottom>
      <diagonal/>
    </border>
    <border>
      <left style="thin">
        <color indexed="64"/>
      </left>
      <right/>
      <top style="thin">
        <color indexed="64"/>
      </top>
      <bottom style="double">
        <color indexed="64"/>
      </bottom>
      <diagonal/>
    </border>
    <border>
      <left style="thin">
        <color indexed="64"/>
      </left>
      <right/>
      <top style="double">
        <color indexed="64"/>
      </top>
      <bottom style="thin">
        <color indexed="64"/>
      </bottom>
      <diagonal/>
    </border>
    <border>
      <left style="thin">
        <color indexed="64"/>
      </left>
      <right/>
      <top/>
      <bottom style="double">
        <color indexed="64"/>
      </bottom>
      <diagonal/>
    </border>
    <border>
      <left/>
      <right/>
      <top/>
      <bottom style="double">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double">
        <color indexed="64"/>
      </top>
      <bottom/>
      <diagonal/>
    </border>
  </borders>
  <cellStyleXfs count="4">
    <xf numFmtId="0" fontId="0" fillId="0" borderId="0"/>
    <xf numFmtId="9" fontId="12" fillId="0" borderId="0" applyFont="0" applyFill="0" applyBorder="0" applyAlignment="0" applyProtection="0"/>
    <xf numFmtId="0" fontId="19" fillId="0" borderId="0" applyNumberFormat="0" applyFill="0" applyBorder="0" applyAlignment="0" applyProtection="0"/>
    <xf numFmtId="0" fontId="25" fillId="0" borderId="0"/>
  </cellStyleXfs>
  <cellXfs count="454">
    <xf numFmtId="0" fontId="0" fillId="0" borderId="0" xfId="0"/>
    <xf numFmtId="0" fontId="14" fillId="3" borderId="3" xfId="0" applyFont="1" applyFill="1" applyBorder="1" applyAlignment="1">
      <alignment horizontal="center" vertical="center"/>
    </xf>
    <xf numFmtId="0" fontId="14" fillId="0" borderId="3" xfId="0" applyFont="1" applyBorder="1" applyAlignment="1">
      <alignment vertical="center"/>
    </xf>
    <xf numFmtId="0" fontId="16" fillId="0" borderId="4" xfId="0" applyFont="1" applyBorder="1" applyAlignment="1">
      <alignment horizontal="center" vertical="center"/>
    </xf>
    <xf numFmtId="0" fontId="16" fillId="4" borderId="9" xfId="0" applyFont="1" applyFill="1" applyBorder="1" applyAlignment="1">
      <alignment horizontal="center" vertical="center"/>
    </xf>
    <xf numFmtId="3" fontId="16" fillId="0" borderId="4" xfId="0" applyNumberFormat="1" applyFont="1" applyBorder="1" applyAlignment="1">
      <alignment horizontal="center" vertical="center"/>
    </xf>
    <xf numFmtId="3" fontId="16" fillId="4" borderId="9" xfId="0" applyNumberFormat="1" applyFont="1" applyFill="1" applyBorder="1" applyAlignment="1">
      <alignment horizontal="center" vertical="center"/>
    </xf>
    <xf numFmtId="0" fontId="14" fillId="3" borderId="4" xfId="0" applyFont="1" applyFill="1" applyBorder="1" applyAlignment="1">
      <alignment horizontal="center" vertical="center" wrapText="1"/>
    </xf>
    <xf numFmtId="9" fontId="16" fillId="0" borderId="4" xfId="1" applyFont="1" applyBorder="1" applyAlignment="1">
      <alignment horizontal="center" vertical="center"/>
    </xf>
    <xf numFmtId="0" fontId="18" fillId="0" borderId="0" xfId="0" applyFont="1"/>
    <xf numFmtId="0" fontId="16" fillId="0" borderId="0" xfId="0" applyFont="1" applyAlignment="1">
      <alignment vertical="center"/>
    </xf>
    <xf numFmtId="3" fontId="0" fillId="2" borderId="1" xfId="0" applyNumberFormat="1" applyFill="1" applyBorder="1" applyAlignment="1">
      <alignment horizontal="right"/>
    </xf>
    <xf numFmtId="0" fontId="19" fillId="0" borderId="0" xfId="2"/>
    <xf numFmtId="0" fontId="23" fillId="0" borderId="0" xfId="0" applyFont="1" applyAlignment="1">
      <alignment horizontal="left" vertical="top" wrapText="1"/>
    </xf>
    <xf numFmtId="0" fontId="23" fillId="0" borderId="29" xfId="0" applyFont="1" applyBorder="1" applyAlignment="1">
      <alignment horizontal="center" wrapText="1"/>
    </xf>
    <xf numFmtId="0" fontId="23" fillId="0" borderId="0" xfId="0" applyFont="1" applyAlignment="1">
      <alignment horizontal="left"/>
    </xf>
    <xf numFmtId="168" fontId="24" fillId="0" borderId="0" xfId="0" applyNumberFormat="1" applyFont="1" applyAlignment="1">
      <alignment horizontal="right"/>
    </xf>
    <xf numFmtId="168" fontId="0" fillId="0" borderId="0" xfId="0" applyNumberFormat="1"/>
    <xf numFmtId="0" fontId="28" fillId="0" borderId="0" xfId="0" applyFont="1" applyAlignment="1">
      <alignment vertical="center" wrapText="1"/>
    </xf>
    <xf numFmtId="0" fontId="9" fillId="0" borderId="0" xfId="0" applyFont="1"/>
    <xf numFmtId="0" fontId="26" fillId="0" borderId="0" xfId="0" applyFont="1"/>
    <xf numFmtId="0" fontId="26" fillId="5" borderId="1" xfId="0" applyFont="1" applyFill="1" applyBorder="1" applyAlignment="1">
      <alignment horizontal="center" wrapText="1"/>
    </xf>
    <xf numFmtId="0" fontId="27" fillId="6" borderId="0" xfId="0" applyFont="1" applyFill="1"/>
    <xf numFmtId="0" fontId="26" fillId="0" borderId="0" xfId="0" applyFont="1" applyAlignment="1">
      <alignment wrapText="1"/>
    </xf>
    <xf numFmtId="0" fontId="26" fillId="0" borderId="0" xfId="0" applyFont="1" applyAlignment="1">
      <alignment horizontal="center" wrapText="1"/>
    </xf>
    <xf numFmtId="0" fontId="9" fillId="2" borderId="0" xfId="0" applyFont="1" applyFill="1"/>
    <xf numFmtId="0" fontId="27" fillId="6" borderId="1" xfId="0" applyFont="1" applyFill="1" applyBorder="1"/>
    <xf numFmtId="0" fontId="26" fillId="5" borderId="1" xfId="0" applyFont="1" applyFill="1" applyBorder="1" applyAlignment="1">
      <alignment wrapText="1"/>
    </xf>
    <xf numFmtId="0" fontId="31" fillId="0" borderId="0" xfId="0" applyFont="1"/>
    <xf numFmtId="1" fontId="9" fillId="0" borderId="0" xfId="0" applyNumberFormat="1" applyFont="1"/>
    <xf numFmtId="0" fontId="31" fillId="0" borderId="21" xfId="0" applyFont="1" applyBorder="1" applyAlignment="1">
      <alignment horizontal="left" wrapText="1"/>
    </xf>
    <xf numFmtId="0" fontId="8" fillId="0" borderId="0" xfId="0" applyFont="1"/>
    <xf numFmtId="0" fontId="7" fillId="0" borderId="0" xfId="0" applyFont="1"/>
    <xf numFmtId="0" fontId="6" fillId="0" borderId="0" xfId="0" applyFont="1"/>
    <xf numFmtId="0" fontId="26" fillId="7" borderId="31" xfId="0" applyFont="1" applyFill="1" applyBorder="1"/>
    <xf numFmtId="0" fontId="33" fillId="0" borderId="0" xfId="0" applyFont="1"/>
    <xf numFmtId="0" fontId="5" fillId="0" borderId="0" xfId="0" applyFont="1"/>
    <xf numFmtId="0" fontId="33" fillId="0" borderId="0" xfId="0" applyFont="1" applyAlignment="1">
      <alignment horizontal="right"/>
    </xf>
    <xf numFmtId="16" fontId="36" fillId="0" borderId="12" xfId="0" applyNumberFormat="1" applyFont="1" applyBorder="1"/>
    <xf numFmtId="0" fontId="36" fillId="0" borderId="0" xfId="0" applyFont="1"/>
    <xf numFmtId="0" fontId="26" fillId="0" borderId="22" xfId="0" applyFont="1" applyBorder="1" applyAlignment="1">
      <alignment wrapText="1"/>
    </xf>
    <xf numFmtId="0" fontId="0" fillId="0" borderId="0" xfId="0" applyAlignment="1">
      <alignment wrapText="1"/>
    </xf>
    <xf numFmtId="0" fontId="37" fillId="0" borderId="0" xfId="0" applyFont="1"/>
    <xf numFmtId="0" fontId="35" fillId="0" borderId="0" xfId="0" applyFont="1"/>
    <xf numFmtId="0" fontId="31" fillId="0" borderId="0" xfId="0" applyFont="1" applyAlignment="1">
      <alignment horizontal="left" wrapText="1"/>
    </xf>
    <xf numFmtId="0" fontId="32" fillId="0" borderId="0" xfId="0" applyFont="1"/>
    <xf numFmtId="0" fontId="29" fillId="0" borderId="0" xfId="0" applyFont="1"/>
    <xf numFmtId="0" fontId="30" fillId="0" borderId="0" xfId="0" applyFont="1"/>
    <xf numFmtId="0" fontId="30" fillId="0" borderId="13" xfId="0" applyFont="1" applyBorder="1"/>
    <xf numFmtId="0" fontId="27" fillId="6" borderId="0" xfId="0" applyFont="1" applyFill="1" applyAlignment="1">
      <alignment vertical="top"/>
    </xf>
    <xf numFmtId="0" fontId="26" fillId="5" borderId="0" xfId="0" applyFont="1" applyFill="1" applyAlignment="1">
      <alignment horizontal="center" wrapText="1"/>
    </xf>
    <xf numFmtId="0" fontId="27" fillId="0" borderId="13" xfId="0" applyFont="1" applyBorder="1"/>
    <xf numFmtId="0" fontId="27" fillId="10" borderId="0" xfId="0" applyFont="1" applyFill="1"/>
    <xf numFmtId="3" fontId="27" fillId="10" borderId="0" xfId="0" applyNumberFormat="1" applyFont="1" applyFill="1"/>
    <xf numFmtId="0" fontId="26" fillId="7" borderId="37" xfId="0" applyFont="1" applyFill="1" applyBorder="1"/>
    <xf numFmtId="0" fontId="37" fillId="10" borderId="0" xfId="0" applyFont="1" applyFill="1"/>
    <xf numFmtId="0" fontId="0" fillId="0" borderId="0" xfId="0" applyAlignment="1">
      <alignment vertical="top" wrapText="1"/>
    </xf>
    <xf numFmtId="0" fontId="27" fillId="6" borderId="10" xfId="0" applyFont="1" applyFill="1" applyBorder="1" applyAlignment="1">
      <alignment horizontal="left" vertical="top"/>
    </xf>
    <xf numFmtId="0" fontId="27" fillId="6" borderId="15" xfId="0" applyFont="1" applyFill="1" applyBorder="1" applyAlignment="1">
      <alignment horizontal="left" vertical="top" wrapText="1"/>
    </xf>
    <xf numFmtId="0" fontId="27" fillId="6" borderId="16" xfId="0" applyFont="1" applyFill="1" applyBorder="1" applyAlignment="1">
      <alignment horizontal="left" vertical="top" wrapText="1"/>
    </xf>
    <xf numFmtId="0" fontId="26" fillId="2" borderId="0" xfId="0" applyFont="1" applyFill="1"/>
    <xf numFmtId="0" fontId="4" fillId="0" borderId="0" xfId="0" applyFont="1" applyAlignment="1">
      <alignment wrapText="1"/>
    </xf>
    <xf numFmtId="0" fontId="10" fillId="0" borderId="0" xfId="0" applyFont="1"/>
    <xf numFmtId="0" fontId="10" fillId="0" borderId="13" xfId="0" applyFont="1" applyBorder="1"/>
    <xf numFmtId="0" fontId="10" fillId="0" borderId="2" xfId="0" applyFont="1" applyBorder="1"/>
    <xf numFmtId="0" fontId="10" fillId="0" borderId="4" xfId="0" applyFont="1" applyBorder="1"/>
    <xf numFmtId="0" fontId="19" fillId="0" borderId="12" xfId="2" applyBorder="1"/>
    <xf numFmtId="0" fontId="26" fillId="0" borderId="38" xfId="0" applyFont="1" applyBorder="1"/>
    <xf numFmtId="0" fontId="26" fillId="0" borderId="39" xfId="0" applyFont="1" applyBorder="1"/>
    <xf numFmtId="0" fontId="26" fillId="0" borderId="39" xfId="0" applyFont="1" applyBorder="1" applyAlignment="1">
      <alignment horizontal="center" wrapText="1"/>
    </xf>
    <xf numFmtId="0" fontId="26" fillId="0" borderId="40" xfId="0" applyFont="1" applyBorder="1" applyAlignment="1">
      <alignment horizontal="center" wrapText="1"/>
    </xf>
    <xf numFmtId="0" fontId="0" fillId="0" borderId="13" xfId="0" applyBorder="1"/>
    <xf numFmtId="0" fontId="0" fillId="0" borderId="2" xfId="0" applyBorder="1"/>
    <xf numFmtId="0" fontId="0" fillId="0" borderId="4" xfId="0" applyBorder="1"/>
    <xf numFmtId="0" fontId="39" fillId="0" borderId="0" xfId="0" applyFont="1"/>
    <xf numFmtId="0" fontId="10" fillId="5" borderId="1" xfId="0" applyFont="1" applyFill="1" applyBorder="1" applyAlignment="1">
      <alignment horizontal="center" wrapText="1"/>
    </xf>
    <xf numFmtId="164" fontId="0" fillId="0" borderId="0" xfId="0" applyNumberFormat="1"/>
    <xf numFmtId="0" fontId="0" fillId="0" borderId="18" xfId="0" applyBorder="1"/>
    <xf numFmtId="0" fontId="0" fillId="0" borderId="19" xfId="0" applyBorder="1"/>
    <xf numFmtId="164" fontId="0" fillId="0" borderId="18" xfId="0" applyNumberFormat="1" applyBorder="1"/>
    <xf numFmtId="164" fontId="0" fillId="0" borderId="19" xfId="0" applyNumberFormat="1" applyBorder="1"/>
    <xf numFmtId="0" fontId="0" fillId="0" borderId="20" xfId="0" applyBorder="1"/>
    <xf numFmtId="0" fontId="0" fillId="0" borderId="23" xfId="0" applyBorder="1"/>
    <xf numFmtId="166" fontId="0" fillId="0" borderId="18" xfId="0" applyNumberFormat="1" applyBorder="1"/>
    <xf numFmtId="166" fontId="0" fillId="0" borderId="0" xfId="0" applyNumberFormat="1"/>
    <xf numFmtId="0" fontId="0" fillId="0" borderId="26" xfId="0" applyBorder="1"/>
    <xf numFmtId="0" fontId="0" fillId="0" borderId="27" xfId="0" applyBorder="1"/>
    <xf numFmtId="0" fontId="0" fillId="0" borderId="28" xfId="0" applyBorder="1"/>
    <xf numFmtId="0" fontId="0" fillId="0" borderId="12" xfId="0" applyBorder="1"/>
    <xf numFmtId="0" fontId="0" fillId="0" borderId="14" xfId="0" applyBorder="1"/>
    <xf numFmtId="0" fontId="20" fillId="0" borderId="12" xfId="2" applyFont="1" applyBorder="1"/>
    <xf numFmtId="0" fontId="20" fillId="0" borderId="0" xfId="0" applyFont="1"/>
    <xf numFmtId="0" fontId="20" fillId="0" borderId="12" xfId="0" applyFont="1" applyBorder="1"/>
    <xf numFmtId="0" fontId="19" fillId="0" borderId="14" xfId="2" applyBorder="1"/>
    <xf numFmtId="166" fontId="0" fillId="0" borderId="13" xfId="0" applyNumberFormat="1" applyBorder="1"/>
    <xf numFmtId="164" fontId="0" fillId="0" borderId="2" xfId="0" applyNumberFormat="1" applyBorder="1"/>
    <xf numFmtId="164" fontId="0" fillId="0" borderId="4" xfId="0" applyNumberFormat="1" applyBorder="1"/>
    <xf numFmtId="49" fontId="0" fillId="0" borderId="11" xfId="0" applyNumberFormat="1" applyBorder="1" applyAlignment="1">
      <alignment horizontal="centerContinuous"/>
    </xf>
    <xf numFmtId="0" fontId="0" fillId="0" borderId="21" xfId="0" applyBorder="1" applyAlignment="1">
      <alignment horizontal="centerContinuous"/>
    </xf>
    <xf numFmtId="0" fontId="0" fillId="0" borderId="24" xfId="0" applyBorder="1" applyAlignment="1">
      <alignment horizontal="centerContinuous"/>
    </xf>
    <xf numFmtId="0" fontId="0" fillId="0" borderId="41" xfId="0" applyBorder="1" applyAlignment="1">
      <alignment horizontal="centerContinuous"/>
    </xf>
    <xf numFmtId="0" fontId="11" fillId="0" borderId="12" xfId="0" applyFont="1" applyBorder="1"/>
    <xf numFmtId="0" fontId="38" fillId="0" borderId="0" xfId="0" applyFont="1"/>
    <xf numFmtId="49" fontId="0" fillId="0" borderId="0" xfId="0" applyNumberFormat="1" applyAlignment="1">
      <alignment horizontal="center"/>
    </xf>
    <xf numFmtId="49" fontId="0" fillId="0" borderId="13" xfId="0" applyNumberFormat="1" applyBorder="1" applyAlignment="1">
      <alignment horizontal="center"/>
    </xf>
    <xf numFmtId="0" fontId="10" fillId="5" borderId="38" xfId="0" applyFont="1" applyFill="1" applyBorder="1"/>
    <xf numFmtId="0" fontId="0" fillId="5" borderId="39" xfId="0" applyFill="1" applyBorder="1"/>
    <xf numFmtId="0" fontId="0" fillId="5" borderId="40" xfId="0" applyFill="1" applyBorder="1"/>
    <xf numFmtId="0" fontId="26" fillId="5" borderId="1" xfId="0" applyFont="1" applyFill="1" applyBorder="1"/>
    <xf numFmtId="2" fontId="0" fillId="0" borderId="0" xfId="0" applyNumberFormat="1"/>
    <xf numFmtId="0" fontId="19" fillId="0" borderId="0" xfId="2" applyBorder="1"/>
    <xf numFmtId="1" fontId="0" fillId="0" borderId="0" xfId="0" applyNumberFormat="1"/>
    <xf numFmtId="0" fontId="26" fillId="0" borderId="42" xfId="0" applyFont="1" applyBorder="1"/>
    <xf numFmtId="0" fontId="26" fillId="0" borderId="43" xfId="0" applyFont="1" applyBorder="1"/>
    <xf numFmtId="0" fontId="40" fillId="0" borderId="0" xfId="0" applyFont="1" applyAlignment="1">
      <alignment horizontal="left" vertical="top" indent="1"/>
    </xf>
    <xf numFmtId="0" fontId="26" fillId="0" borderId="21" xfId="0" applyFont="1" applyBorder="1"/>
    <xf numFmtId="0" fontId="40" fillId="0" borderId="0" xfId="0" applyFont="1" applyAlignment="1">
      <alignment horizontal="left" indent="1"/>
    </xf>
    <xf numFmtId="0" fontId="31" fillId="2" borderId="0" xfId="0" applyFont="1" applyFill="1"/>
    <xf numFmtId="0" fontId="27" fillId="0" borderId="0" xfId="0" applyFont="1"/>
    <xf numFmtId="0" fontId="40" fillId="0" borderId="0" xfId="0" applyFont="1" applyAlignment="1">
      <alignment vertical="top" wrapText="1"/>
    </xf>
    <xf numFmtId="0" fontId="23" fillId="0" borderId="0" xfId="0" applyFont="1" applyAlignment="1">
      <alignment horizontal="center" wrapText="1"/>
    </xf>
    <xf numFmtId="0" fontId="26" fillId="0" borderId="45" xfId="0" applyFont="1" applyBorder="1" applyAlignment="1">
      <alignment wrapText="1"/>
    </xf>
    <xf numFmtId="0" fontId="33" fillId="0" borderId="0" xfId="0" applyFont="1" applyAlignment="1">
      <alignment vertical="top" wrapText="1"/>
    </xf>
    <xf numFmtId="0" fontId="33" fillId="0" borderId="0" xfId="0" quotePrefix="1" applyFont="1" applyAlignment="1">
      <alignment horizontal="left" vertical="top" wrapText="1" indent="1"/>
    </xf>
    <xf numFmtId="0" fontId="26" fillId="14" borderId="33" xfId="0" applyFont="1" applyFill="1" applyBorder="1" applyAlignment="1">
      <alignment wrapText="1"/>
    </xf>
    <xf numFmtId="0" fontId="26" fillId="14" borderId="22" xfId="0" applyFont="1" applyFill="1" applyBorder="1" applyAlignment="1">
      <alignment wrapText="1"/>
    </xf>
    <xf numFmtId="0" fontId="44" fillId="0" borderId="0" xfId="0" applyFont="1" applyAlignment="1">
      <alignment wrapText="1"/>
    </xf>
    <xf numFmtId="0" fontId="32" fillId="0" borderId="0" xfId="0" applyFont="1" applyAlignment="1">
      <alignment horizontal="left"/>
    </xf>
    <xf numFmtId="0" fontId="31" fillId="0" borderId="0" xfId="0" applyFont="1" applyAlignment="1">
      <alignment horizontal="left"/>
    </xf>
    <xf numFmtId="0" fontId="26" fillId="0" borderId="0" xfId="0" applyFont="1" applyAlignment="1">
      <alignment horizontal="left" wrapText="1"/>
    </xf>
    <xf numFmtId="0" fontId="14" fillId="0" borderId="5" xfId="0" applyFont="1" applyBorder="1" applyAlignment="1">
      <alignment horizontal="right" vertical="center"/>
    </xf>
    <xf numFmtId="0" fontId="14" fillId="0" borderId="6" xfId="0" applyFont="1" applyBorder="1" applyAlignment="1">
      <alignment horizontal="right" vertical="center"/>
    </xf>
    <xf numFmtId="0" fontId="14" fillId="0" borderId="7" xfId="0" applyFont="1" applyBorder="1" applyAlignment="1">
      <alignment horizontal="right" vertical="center"/>
    </xf>
    <xf numFmtId="6" fontId="33" fillId="0" borderId="0" xfId="0" applyNumberFormat="1" applyFont="1" applyAlignment="1">
      <alignment vertical="center" wrapText="1"/>
    </xf>
    <xf numFmtId="0" fontId="33" fillId="0" borderId="0" xfId="0" applyFont="1" applyAlignment="1">
      <alignment vertical="center" wrapText="1"/>
    </xf>
    <xf numFmtId="6" fontId="33" fillId="0" borderId="0" xfId="0" applyNumberFormat="1" applyFont="1" applyAlignment="1">
      <alignment vertical="top" wrapText="1"/>
    </xf>
    <xf numFmtId="0" fontId="27" fillId="0" borderId="0" xfId="0" applyFont="1" applyAlignment="1">
      <alignment horizontal="left" vertical="top" wrapText="1"/>
    </xf>
    <xf numFmtId="0" fontId="33" fillId="0" borderId="2" xfId="0" applyFont="1" applyBorder="1" applyAlignment="1">
      <alignment vertical="top" wrapText="1"/>
    </xf>
    <xf numFmtId="0" fontId="36" fillId="0" borderId="17" xfId="2" applyFont="1" applyBorder="1" applyAlignment="1">
      <alignment vertical="top" wrapText="1"/>
    </xf>
    <xf numFmtId="0" fontId="36" fillId="0" borderId="1" xfId="2" applyFont="1" applyBorder="1" applyAlignment="1">
      <alignment vertical="top" wrapText="1"/>
    </xf>
    <xf numFmtId="0" fontId="26" fillId="0" borderId="0" xfId="0" applyFont="1" applyAlignment="1">
      <alignment vertical="top" wrapText="1"/>
    </xf>
    <xf numFmtId="0" fontId="36" fillId="0" borderId="25" xfId="2" applyFont="1" applyBorder="1" applyAlignment="1">
      <alignment vertical="top" wrapText="1"/>
    </xf>
    <xf numFmtId="0" fontId="36" fillId="0" borderId="25" xfId="2" applyFont="1" applyFill="1" applyBorder="1" applyAlignment="1">
      <alignment vertical="top" wrapText="1"/>
    </xf>
    <xf numFmtId="0" fontId="36" fillId="0" borderId="16" xfId="2" applyFont="1" applyBorder="1" applyAlignment="1">
      <alignment vertical="top" wrapText="1"/>
    </xf>
    <xf numFmtId="0" fontId="26" fillId="5" borderId="24" xfId="0" applyFont="1" applyFill="1" applyBorder="1" applyAlignment="1">
      <alignment vertical="top" wrapText="1"/>
    </xf>
    <xf numFmtId="0" fontId="26" fillId="5" borderId="49" xfId="0" applyFont="1" applyFill="1" applyBorder="1" applyAlignment="1">
      <alignment vertical="top" wrapText="1"/>
    </xf>
    <xf numFmtId="0" fontId="26" fillId="5" borderId="11" xfId="0" applyFont="1" applyFill="1" applyBorder="1" applyAlignment="1">
      <alignment vertical="top" wrapText="1"/>
    </xf>
    <xf numFmtId="0" fontId="36" fillId="0" borderId="1" xfId="2" applyFont="1" applyFill="1" applyBorder="1" applyAlignment="1">
      <alignment vertical="top" wrapText="1"/>
    </xf>
    <xf numFmtId="0" fontId="26" fillId="5" borderId="24" xfId="0" applyFont="1" applyFill="1" applyBorder="1"/>
    <xf numFmtId="0" fontId="26" fillId="5" borderId="11" xfId="0" applyFont="1" applyFill="1" applyBorder="1"/>
    <xf numFmtId="3" fontId="16" fillId="0" borderId="2" xfId="0" applyNumberFormat="1" applyFont="1" applyBorder="1" applyAlignment="1">
      <alignment horizontal="center" vertical="center"/>
    </xf>
    <xf numFmtId="0" fontId="16" fillId="0" borderId="2" xfId="0" applyFont="1" applyBorder="1" applyAlignment="1">
      <alignment horizontal="center" vertical="center"/>
    </xf>
    <xf numFmtId="3" fontId="14" fillId="0" borderId="45" xfId="0" applyNumberFormat="1" applyFont="1" applyBorder="1" applyAlignment="1">
      <alignment horizontal="center" vertical="center"/>
    </xf>
    <xf numFmtId="0" fontId="0" fillId="2" borderId="16" xfId="0" applyFill="1" applyBorder="1"/>
    <xf numFmtId="3" fontId="0" fillId="2" borderId="10" xfId="0" applyNumberFormat="1" applyFill="1" applyBorder="1" applyAlignment="1">
      <alignment horizontal="right"/>
    </xf>
    <xf numFmtId="0" fontId="10" fillId="5" borderId="19" xfId="0" applyFont="1" applyFill="1" applyBorder="1" applyAlignment="1">
      <alignment wrapText="1"/>
    </xf>
    <xf numFmtId="0" fontId="10" fillId="5" borderId="50" xfId="0" applyFont="1" applyFill="1" applyBorder="1" applyAlignment="1">
      <alignment horizontal="center" wrapText="1"/>
    </xf>
    <xf numFmtId="0" fontId="10" fillId="5" borderId="18" xfId="0" applyFont="1" applyFill="1" applyBorder="1" applyAlignment="1">
      <alignment horizontal="center" wrapText="1"/>
    </xf>
    <xf numFmtId="0" fontId="0" fillId="2" borderId="25" xfId="0" applyFill="1" applyBorder="1"/>
    <xf numFmtId="3" fontId="0" fillId="2" borderId="17" xfId="0" applyNumberFormat="1" applyFill="1" applyBorder="1" applyAlignment="1">
      <alignment horizontal="right"/>
    </xf>
    <xf numFmtId="3" fontId="0" fillId="2" borderId="20" xfId="0" applyNumberFormat="1" applyFill="1" applyBorder="1" applyAlignment="1">
      <alignment horizontal="right"/>
    </xf>
    <xf numFmtId="0" fontId="21" fillId="0" borderId="48" xfId="2" applyFont="1" applyBorder="1" applyAlignment="1">
      <alignment horizontal="center"/>
    </xf>
    <xf numFmtId="0" fontId="20" fillId="0" borderId="25" xfId="2" applyFont="1" applyBorder="1" applyAlignment="1">
      <alignment horizontal="left" vertical="top" wrapText="1"/>
    </xf>
    <xf numFmtId="0" fontId="20" fillId="0" borderId="19" xfId="2" applyFont="1" applyBorder="1" applyAlignment="1">
      <alignment horizontal="left" vertical="top" wrapText="1"/>
    </xf>
    <xf numFmtId="0" fontId="20" fillId="0" borderId="24" xfId="2" applyFont="1" applyBorder="1" applyAlignment="1">
      <alignment horizontal="left" vertical="top" wrapText="1"/>
    </xf>
    <xf numFmtId="0" fontId="21" fillId="0" borderId="0" xfId="0" applyFont="1" applyAlignment="1">
      <alignment horizontal="center"/>
    </xf>
    <xf numFmtId="164" fontId="0" fillId="0" borderId="10" xfId="0" applyNumberFormat="1" applyBorder="1" applyAlignment="1">
      <alignment vertical="top"/>
    </xf>
    <xf numFmtId="164" fontId="0" fillId="0" borderId="15" xfId="0" applyNumberFormat="1" applyBorder="1" applyAlignment="1">
      <alignment vertical="top"/>
    </xf>
    <xf numFmtId="0" fontId="10" fillId="5" borderId="26" xfId="0" applyFont="1" applyFill="1" applyBorder="1"/>
    <xf numFmtId="0" fontId="0" fillId="5" borderId="28" xfId="0" applyFill="1" applyBorder="1"/>
    <xf numFmtId="164" fontId="0" fillId="0" borderId="23" xfId="0" applyNumberFormat="1" applyBorder="1" applyAlignment="1">
      <alignment vertical="top"/>
    </xf>
    <xf numFmtId="164" fontId="0" fillId="0" borderId="0" xfId="0" applyNumberFormat="1" applyAlignment="1">
      <alignment vertical="top"/>
    </xf>
    <xf numFmtId="164" fontId="0" fillId="0" borderId="21" xfId="0" applyNumberFormat="1" applyBorder="1" applyAlignment="1">
      <alignment vertical="top"/>
    </xf>
    <xf numFmtId="164" fontId="0" fillId="0" borderId="11" xfId="0" applyNumberFormat="1" applyBorder="1" applyAlignment="1">
      <alignment vertical="top"/>
    </xf>
    <xf numFmtId="0" fontId="20" fillId="0" borderId="15" xfId="2" applyFont="1" applyBorder="1" applyAlignment="1">
      <alignment vertical="top" wrapText="1"/>
    </xf>
    <xf numFmtId="0" fontId="20" fillId="0" borderId="16" xfId="2" applyFont="1" applyBorder="1" applyAlignment="1">
      <alignment vertical="top" wrapText="1"/>
    </xf>
    <xf numFmtId="0" fontId="20" fillId="0" borderId="16" xfId="0" applyFont="1" applyBorder="1" applyAlignment="1">
      <alignment vertical="top" wrapText="1"/>
    </xf>
    <xf numFmtId="0" fontId="21" fillId="0" borderId="25" xfId="0" applyFont="1" applyBorder="1" applyAlignment="1">
      <alignment vertical="top"/>
    </xf>
    <xf numFmtId="164" fontId="20" fillId="0" borderId="0" xfId="0" applyNumberFormat="1" applyFont="1" applyAlignment="1">
      <alignment vertical="top"/>
    </xf>
    <xf numFmtId="0" fontId="10" fillId="0" borderId="25" xfId="0" applyFont="1" applyBorder="1"/>
    <xf numFmtId="0" fontId="0" fillId="0" borderId="19" xfId="0" applyBorder="1" applyAlignment="1">
      <alignment horizontal="left" indent="1"/>
    </xf>
    <xf numFmtId="0" fontId="10" fillId="0" borderId="19" xfId="0" applyFont="1" applyBorder="1"/>
    <xf numFmtId="0" fontId="10" fillId="5" borderId="10" xfId="0" applyFont="1" applyFill="1" applyBorder="1" applyAlignment="1">
      <alignment horizontal="center" wrapText="1"/>
    </xf>
    <xf numFmtId="0" fontId="10" fillId="0" borderId="0" xfId="0" applyFont="1" applyAlignment="1">
      <alignment horizontal="center"/>
    </xf>
    <xf numFmtId="0" fontId="0" fillId="0" borderId="0" xfId="0" applyAlignment="1">
      <alignment horizontal="right"/>
    </xf>
    <xf numFmtId="0" fontId="0" fillId="0" borderId="0" xfId="0" applyAlignment="1">
      <alignment vertical="top"/>
    </xf>
    <xf numFmtId="0" fontId="19" fillId="0" borderId="0" xfId="2" applyBorder="1" applyAlignment="1">
      <alignment vertical="center" wrapText="1"/>
    </xf>
    <xf numFmtId="0" fontId="27" fillId="6" borderId="16" xfId="0" applyFont="1" applyFill="1" applyBorder="1"/>
    <xf numFmtId="0" fontId="26" fillId="5" borderId="49" xfId="0" applyFont="1" applyFill="1" applyBorder="1"/>
    <xf numFmtId="0" fontId="26" fillId="5" borderId="49" xfId="0" applyFont="1" applyFill="1" applyBorder="1" applyAlignment="1">
      <alignment horizontal="center" wrapText="1"/>
    </xf>
    <xf numFmtId="0" fontId="26" fillId="5" borderId="11" xfId="0" applyFont="1" applyFill="1" applyBorder="1" applyAlignment="1">
      <alignment horizontal="center" wrapText="1"/>
    </xf>
    <xf numFmtId="0" fontId="45" fillId="0" borderId="25" xfId="0" applyFont="1" applyBorder="1" applyAlignment="1">
      <alignment vertical="top"/>
    </xf>
    <xf numFmtId="0" fontId="27" fillId="0" borderId="17" xfId="0" applyFont="1" applyBorder="1"/>
    <xf numFmtId="0" fontId="33" fillId="0" borderId="17" xfId="0" applyFont="1" applyBorder="1" applyAlignment="1">
      <alignment vertical="top" wrapText="1"/>
    </xf>
    <xf numFmtId="0" fontId="33" fillId="0" borderId="20" xfId="0" applyFont="1" applyBorder="1" applyAlignment="1">
      <alignment vertical="top" wrapText="1"/>
    </xf>
    <xf numFmtId="0" fontId="26" fillId="5" borderId="49" xfId="0" applyFont="1" applyFill="1" applyBorder="1" applyAlignment="1">
      <alignment wrapText="1"/>
    </xf>
    <xf numFmtId="0" fontId="45" fillId="0" borderId="17" xfId="0" applyFont="1" applyBorder="1" applyAlignment="1">
      <alignment horizontal="left" vertical="top" wrapText="1"/>
    </xf>
    <xf numFmtId="0" fontId="33" fillId="0" borderId="17" xfId="0" applyFont="1" applyBorder="1" applyAlignment="1">
      <alignment horizontal="left" vertical="top" wrapText="1"/>
    </xf>
    <xf numFmtId="6" fontId="33" fillId="0" borderId="17" xfId="0" applyNumberFormat="1" applyFont="1" applyBorder="1" applyAlignment="1">
      <alignment vertical="top" wrapText="1"/>
    </xf>
    <xf numFmtId="0" fontId="26" fillId="5" borderId="19" xfId="0" applyFont="1" applyFill="1" applyBorder="1" applyAlignment="1">
      <alignment wrapText="1"/>
    </xf>
    <xf numFmtId="0" fontId="26" fillId="5" borderId="50" xfId="0" applyFont="1" applyFill="1" applyBorder="1" applyAlignment="1">
      <alignment horizontal="center" wrapText="1"/>
    </xf>
    <xf numFmtId="0" fontId="26" fillId="5" borderId="18" xfId="0" applyFont="1" applyFill="1" applyBorder="1" applyAlignment="1">
      <alignment horizontal="center" wrapText="1"/>
    </xf>
    <xf numFmtId="0" fontId="26" fillId="0" borderId="16" xfId="0" applyFont="1" applyBorder="1"/>
    <xf numFmtId="0" fontId="26" fillId="0" borderId="50" xfId="0" applyFont="1" applyBorder="1" applyAlignment="1">
      <alignment wrapText="1"/>
    </xf>
    <xf numFmtId="0" fontId="26" fillId="0" borderId="25" xfId="0" applyFont="1" applyBorder="1"/>
    <xf numFmtId="0" fontId="33" fillId="0" borderId="46" xfId="0" quotePrefix="1" applyFont="1" applyBorder="1" applyAlignment="1">
      <alignment horizontal="left" vertical="top" wrapText="1"/>
    </xf>
    <xf numFmtId="0" fontId="26" fillId="0" borderId="23" xfId="0" applyFont="1" applyBorder="1"/>
    <xf numFmtId="0" fontId="26" fillId="0" borderId="21" xfId="0" applyFont="1" applyBorder="1" applyAlignment="1">
      <alignment horizontal="center"/>
    </xf>
    <xf numFmtId="0" fontId="26" fillId="0" borderId="21" xfId="0" applyFont="1" applyBorder="1" applyAlignment="1">
      <alignment horizontal="right"/>
    </xf>
    <xf numFmtId="0" fontId="31" fillId="0" borderId="0" xfId="0" applyFont="1" applyAlignment="1">
      <alignment horizontal="centerContinuous" vertical="top" wrapText="1"/>
    </xf>
    <xf numFmtId="0" fontId="31" fillId="0" borderId="0" xfId="0" applyFont="1" applyAlignment="1">
      <alignment horizontal="centerContinuous" vertical="distributed" wrapText="1"/>
    </xf>
    <xf numFmtId="0" fontId="31" fillId="0" borderId="0" xfId="0" applyFont="1" applyAlignment="1">
      <alignment horizontal="centerContinuous" vertical="distributed" wrapText="1" readingOrder="1"/>
    </xf>
    <xf numFmtId="0" fontId="36" fillId="2" borderId="0" xfId="0" applyFont="1" applyFill="1" applyAlignment="1">
      <alignment vertical="top"/>
    </xf>
    <xf numFmtId="0" fontId="26" fillId="2" borderId="0" xfId="0" applyFont="1" applyFill="1" applyAlignment="1">
      <alignment horizontal="centerContinuous" vertical="top" wrapText="1"/>
    </xf>
    <xf numFmtId="0" fontId="26" fillId="5" borderId="10" xfId="0" applyFont="1" applyFill="1" applyBorder="1" applyAlignment="1">
      <alignment horizontal="centerContinuous" wrapText="1"/>
    </xf>
    <xf numFmtId="0" fontId="26" fillId="5" borderId="15" xfId="0" applyFont="1" applyFill="1" applyBorder="1" applyAlignment="1">
      <alignment horizontal="centerContinuous" wrapText="1"/>
    </xf>
    <xf numFmtId="0" fontId="26" fillId="5" borderId="16" xfId="0" applyFont="1" applyFill="1" applyBorder="1" applyAlignment="1">
      <alignment horizontal="centerContinuous" wrapText="1"/>
    </xf>
    <xf numFmtId="0" fontId="40" fillId="0" borderId="0" xfId="0" applyFont="1" applyAlignment="1">
      <alignment horizontal="centerContinuous" vertical="top" wrapText="1"/>
    </xf>
    <xf numFmtId="0" fontId="33" fillId="0" borderId="0" xfId="0" applyFont="1" applyAlignment="1">
      <alignment horizontal="centerContinuous" vertical="top" wrapText="1"/>
    </xf>
    <xf numFmtId="0" fontId="42" fillId="0" borderId="0" xfId="0" applyFont="1" applyAlignment="1">
      <alignment horizontal="centerContinuous" wrapText="1"/>
    </xf>
    <xf numFmtId="0" fontId="33" fillId="0" borderId="37" xfId="0" applyFont="1" applyBorder="1" applyAlignment="1">
      <alignment vertical="top" wrapText="1"/>
    </xf>
    <xf numFmtId="0" fontId="33" fillId="0" borderId="46" xfId="0" applyFont="1" applyBorder="1" applyAlignment="1">
      <alignment vertical="top" wrapText="1"/>
    </xf>
    <xf numFmtId="0" fontId="33" fillId="0" borderId="46" xfId="0" quotePrefix="1" applyFont="1" applyBorder="1" applyAlignment="1">
      <alignment vertical="top" wrapText="1"/>
    </xf>
    <xf numFmtId="0" fontId="33" fillId="0" borderId="47" xfId="0" quotePrefix="1" applyFont="1" applyBorder="1" applyAlignment="1">
      <alignment vertical="top" wrapText="1"/>
    </xf>
    <xf numFmtId="0" fontId="26" fillId="0" borderId="0" xfId="0" applyFont="1" applyAlignment="1">
      <alignment horizontal="centerContinuous" vertical="top" wrapText="1"/>
    </xf>
    <xf numFmtId="0" fontId="11" fillId="0" borderId="0" xfId="0" applyFont="1" applyAlignment="1">
      <alignment horizontal="centerContinuous" vertical="top" wrapText="1"/>
    </xf>
    <xf numFmtId="0" fontId="10" fillId="0" borderId="0" xfId="0" applyFont="1" applyAlignment="1">
      <alignment horizontal="centerContinuous" vertical="top" wrapText="1"/>
    </xf>
    <xf numFmtId="0" fontId="43" fillId="0" borderId="0" xfId="0" applyFont="1" applyAlignment="1">
      <alignment horizontal="left" indent="2"/>
    </xf>
    <xf numFmtId="0" fontId="43" fillId="0" borderId="2" xfId="0" applyFont="1" applyBorder="1" applyAlignment="1">
      <alignment horizontal="left" indent="2"/>
    </xf>
    <xf numFmtId="168" fontId="24" fillId="0" borderId="0" xfId="3" applyNumberFormat="1" applyFont="1" applyAlignment="1">
      <alignment horizontal="right"/>
    </xf>
    <xf numFmtId="0" fontId="23" fillId="0" borderId="0" xfId="3" applyFont="1" applyAlignment="1">
      <alignment horizontal="left"/>
    </xf>
    <xf numFmtId="0" fontId="26" fillId="2" borderId="0" xfId="0" applyFont="1" applyFill="1" applyAlignment="1">
      <alignment horizontal="left" vertical="top"/>
    </xf>
    <xf numFmtId="0" fontId="26" fillId="2" borderId="13" xfId="0" applyFont="1" applyFill="1" applyBorder="1" applyAlignment="1">
      <alignment horizontal="centerContinuous" vertical="top" wrapText="1"/>
    </xf>
    <xf numFmtId="0" fontId="26" fillId="2" borderId="2" xfId="0" applyFont="1" applyFill="1" applyBorder="1" applyAlignment="1">
      <alignment horizontal="centerContinuous" vertical="top" wrapText="1"/>
    </xf>
    <xf numFmtId="0" fontId="26" fillId="0" borderId="51" xfId="0" applyFont="1" applyBorder="1" applyAlignment="1">
      <alignment wrapText="1"/>
    </xf>
    <xf numFmtId="0" fontId="33" fillId="0" borderId="1" xfId="0" applyFont="1" applyBorder="1" applyAlignment="1">
      <alignment vertical="top" wrapText="1"/>
    </xf>
    <xf numFmtId="0" fontId="20" fillId="0" borderId="12" xfId="2" applyFont="1" applyBorder="1" applyAlignment="1">
      <alignment horizontal="left" indent="2"/>
    </xf>
    <xf numFmtId="0" fontId="20" fillId="0" borderId="12" xfId="2" applyFont="1" applyBorder="1" applyAlignment="1">
      <alignment horizontal="left" indent="1"/>
    </xf>
    <xf numFmtId="0" fontId="21" fillId="0" borderId="12" xfId="2" applyFont="1" applyBorder="1"/>
    <xf numFmtId="0" fontId="20" fillId="0" borderId="12" xfId="0" applyFont="1" applyBorder="1" applyAlignment="1">
      <alignment horizontal="left" indent="1"/>
    </xf>
    <xf numFmtId="0" fontId="21" fillId="0" borderId="14" xfId="0" applyFont="1" applyBorder="1"/>
    <xf numFmtId="164" fontId="10" fillId="0" borderId="2" xfId="0" applyNumberFormat="1" applyFont="1" applyBorder="1"/>
    <xf numFmtId="164" fontId="10" fillId="0" borderId="4" xfId="0" applyNumberFormat="1" applyFont="1" applyBorder="1"/>
    <xf numFmtId="0" fontId="20" fillId="0" borderId="38" xfId="0" applyFont="1" applyBorder="1"/>
    <xf numFmtId="164" fontId="0" fillId="0" borderId="39" xfId="0" applyNumberFormat="1" applyBorder="1"/>
    <xf numFmtId="164" fontId="10" fillId="0" borderId="40" xfId="0" applyNumberFormat="1" applyFont="1" applyBorder="1"/>
    <xf numFmtId="0" fontId="19" fillId="0" borderId="0" xfId="2" applyBorder="1" applyAlignment="1"/>
    <xf numFmtId="0" fontId="48" fillId="0" borderId="0" xfId="0" applyFont="1" applyAlignment="1">
      <alignment vertical="center"/>
    </xf>
    <xf numFmtId="0" fontId="3" fillId="2" borderId="27" xfId="0" applyFont="1" applyFill="1" applyBorder="1"/>
    <xf numFmtId="0" fontId="3" fillId="2" borderId="28" xfId="0" applyFont="1" applyFill="1" applyBorder="1"/>
    <xf numFmtId="0" fontId="3" fillId="2" borderId="0" xfId="0" applyFont="1" applyFill="1"/>
    <xf numFmtId="0" fontId="3" fillId="2" borderId="13" xfId="0" applyFont="1" applyFill="1" applyBorder="1"/>
    <xf numFmtId="0" fontId="3" fillId="2" borderId="12" xfId="0" applyFont="1" applyFill="1" applyBorder="1"/>
    <xf numFmtId="0" fontId="3" fillId="2" borderId="12" xfId="0" applyFont="1" applyFill="1" applyBorder="1" applyAlignment="1">
      <alignment horizontal="centerContinuous" vertical="top" wrapText="1"/>
    </xf>
    <xf numFmtId="0" fontId="3" fillId="2" borderId="0" xfId="0" applyFont="1" applyFill="1" applyAlignment="1">
      <alignment horizontal="centerContinuous" vertical="top" wrapText="1"/>
    </xf>
    <xf numFmtId="0" fontId="3" fillId="2" borderId="12" xfId="0" applyFont="1" applyFill="1" applyBorder="1" applyAlignment="1">
      <alignment vertical="top"/>
    </xf>
    <xf numFmtId="0" fontId="3" fillId="2" borderId="0" xfId="0" applyFont="1" applyFill="1" applyAlignment="1">
      <alignment vertical="top"/>
    </xf>
    <xf numFmtId="0" fontId="3" fillId="2" borderId="12" xfId="0" applyFont="1" applyFill="1" applyBorder="1" applyAlignment="1">
      <alignment horizontal="left" vertical="top" wrapText="1"/>
    </xf>
    <xf numFmtId="0" fontId="3" fillId="2" borderId="0" xfId="0" applyFont="1" applyFill="1" applyAlignment="1">
      <alignment horizontal="left" vertical="top" wrapText="1"/>
    </xf>
    <xf numFmtId="0" fontId="3" fillId="11" borderId="10" xfId="0" applyFont="1" applyFill="1" applyBorder="1" applyAlignment="1">
      <alignment horizontal="left" vertical="top"/>
    </xf>
    <xf numFmtId="0" fontId="3" fillId="11" borderId="15" xfId="0" applyFont="1" applyFill="1" applyBorder="1" applyAlignment="1">
      <alignment horizontal="left" vertical="top" wrapText="1"/>
    </xf>
    <xf numFmtId="0" fontId="3" fillId="11" borderId="16" xfId="0" applyFont="1" applyFill="1" applyBorder="1" applyAlignment="1">
      <alignment horizontal="left" vertical="top" wrapText="1"/>
    </xf>
    <xf numFmtId="0" fontId="3" fillId="12" borderId="10" xfId="0" applyFont="1" applyFill="1" applyBorder="1" applyAlignment="1">
      <alignment horizontal="left" vertical="top"/>
    </xf>
    <xf numFmtId="0" fontId="3" fillId="12" borderId="15" xfId="0" applyFont="1" applyFill="1" applyBorder="1" applyAlignment="1">
      <alignment horizontal="left" vertical="top" wrapText="1"/>
    </xf>
    <xf numFmtId="0" fontId="3" fillId="12" borderId="16" xfId="0" applyFont="1" applyFill="1" applyBorder="1" applyAlignment="1">
      <alignment horizontal="left" vertical="top" wrapText="1"/>
    </xf>
    <xf numFmtId="0" fontId="3" fillId="13" borderId="10" xfId="0" applyFont="1" applyFill="1" applyBorder="1" applyAlignment="1">
      <alignment horizontal="left" vertical="top"/>
    </xf>
    <xf numFmtId="0" fontId="3" fillId="13" borderId="15" xfId="0" applyFont="1" applyFill="1" applyBorder="1" applyAlignment="1">
      <alignment horizontal="left" vertical="top" wrapText="1"/>
    </xf>
    <xf numFmtId="0" fontId="3" fillId="13" borderId="16" xfId="0" applyFont="1" applyFill="1" applyBorder="1" applyAlignment="1">
      <alignment horizontal="left" vertical="top" wrapText="1"/>
    </xf>
    <xf numFmtId="0" fontId="3" fillId="2" borderId="0" xfId="0" applyFont="1" applyFill="1" applyAlignment="1">
      <alignment horizontal="left" vertical="top"/>
    </xf>
    <xf numFmtId="0" fontId="3" fillId="2" borderId="12" xfId="0" applyFont="1" applyFill="1" applyBorder="1" applyAlignment="1">
      <alignment vertical="top" wrapText="1"/>
    </xf>
    <xf numFmtId="0" fontId="3" fillId="2" borderId="20" xfId="0" applyFont="1" applyFill="1" applyBorder="1"/>
    <xf numFmtId="0" fontId="3" fillId="2" borderId="23" xfId="0" applyFont="1" applyFill="1" applyBorder="1"/>
    <xf numFmtId="0" fontId="3" fillId="2" borderId="25" xfId="0" applyFont="1" applyFill="1" applyBorder="1"/>
    <xf numFmtId="0" fontId="3" fillId="2" borderId="18" xfId="0" applyFont="1" applyFill="1" applyBorder="1"/>
    <xf numFmtId="0" fontId="3" fillId="8" borderId="1" xfId="0" applyFont="1" applyFill="1" applyBorder="1"/>
    <xf numFmtId="0" fontId="3" fillId="2" borderId="19" xfId="0" applyFont="1" applyFill="1" applyBorder="1"/>
    <xf numFmtId="0" fontId="3" fillId="9" borderId="1" xfId="0" applyFont="1" applyFill="1" applyBorder="1"/>
    <xf numFmtId="0" fontId="3" fillId="5" borderId="1" xfId="0" applyFont="1" applyFill="1" applyBorder="1"/>
    <xf numFmtId="0" fontId="3" fillId="2" borderId="11" xfId="0" applyFont="1" applyFill="1" applyBorder="1"/>
    <xf numFmtId="0" fontId="3" fillId="2" borderId="21" xfId="0" applyFont="1" applyFill="1" applyBorder="1"/>
    <xf numFmtId="0" fontId="3" fillId="2" borderId="24" xfId="0" applyFont="1" applyFill="1" applyBorder="1"/>
    <xf numFmtId="0" fontId="3" fillId="2" borderId="12" xfId="0" applyFont="1" applyFill="1" applyBorder="1" applyAlignment="1">
      <alignment horizontal="centerContinuous" wrapText="1"/>
    </xf>
    <xf numFmtId="0" fontId="3" fillId="2" borderId="0" xfId="0" applyFont="1" applyFill="1" applyAlignment="1">
      <alignment horizontal="centerContinuous" wrapText="1"/>
    </xf>
    <xf numFmtId="0" fontId="3" fillId="2" borderId="0" xfId="0" applyFont="1" applyFill="1" applyAlignment="1">
      <alignment horizontal="centerContinuous"/>
    </xf>
    <xf numFmtId="0" fontId="3" fillId="2" borderId="14" xfId="0" applyFont="1" applyFill="1" applyBorder="1"/>
    <xf numFmtId="0" fontId="3" fillId="2" borderId="2" xfId="0" applyFont="1" applyFill="1" applyBorder="1" applyAlignment="1">
      <alignment horizontal="centerContinuous" wrapText="1"/>
    </xf>
    <xf numFmtId="0" fontId="3" fillId="2" borderId="2" xfId="0" applyFont="1" applyFill="1" applyBorder="1"/>
    <xf numFmtId="0" fontId="3" fillId="2" borderId="4" xfId="0" applyFont="1" applyFill="1" applyBorder="1"/>
    <xf numFmtId="0" fontId="3" fillId="2" borderId="0" xfId="0" applyFont="1" applyFill="1" applyAlignment="1">
      <alignment horizontal="left"/>
    </xf>
    <xf numFmtId="0" fontId="3" fillId="0" borderId="48" xfId="0" applyFont="1" applyBorder="1" applyAlignment="1">
      <alignment vertical="top" wrapText="1"/>
    </xf>
    <xf numFmtId="0" fontId="3" fillId="0" borderId="34" xfId="0" applyFont="1" applyBorder="1" applyAlignment="1">
      <alignment vertical="top" wrapText="1"/>
    </xf>
    <xf numFmtId="0" fontId="3" fillId="0" borderId="16" xfId="0" applyFont="1" applyBorder="1" applyAlignment="1">
      <alignment vertical="top" wrapText="1"/>
    </xf>
    <xf numFmtId="0" fontId="3" fillId="0" borderId="15" xfId="0" applyFont="1" applyBorder="1" applyAlignment="1">
      <alignment vertical="top" wrapText="1"/>
    </xf>
    <xf numFmtId="0" fontId="3" fillId="0" borderId="23" xfId="0" applyFont="1" applyBorder="1" applyAlignment="1">
      <alignment vertical="top" wrapText="1"/>
    </xf>
    <xf numFmtId="0" fontId="3" fillId="0" borderId="35" xfId="0" applyFont="1" applyBorder="1" applyAlignment="1">
      <alignment vertical="top" wrapText="1"/>
    </xf>
    <xf numFmtId="0" fontId="3" fillId="0" borderId="24" xfId="0" applyFont="1" applyBorder="1" applyAlignment="1">
      <alignment vertical="top" wrapText="1"/>
    </xf>
    <xf numFmtId="0" fontId="3" fillId="0" borderId="21" xfId="0" applyFont="1" applyBorder="1" applyAlignment="1">
      <alignment vertical="top" wrapText="1"/>
    </xf>
    <xf numFmtId="0" fontId="3" fillId="0" borderId="25" xfId="0" applyFont="1" applyBorder="1" applyAlignment="1">
      <alignment vertical="top" wrapText="1"/>
    </xf>
    <xf numFmtId="0" fontId="3" fillId="0" borderId="0" xfId="0" applyFont="1" applyAlignment="1">
      <alignment wrapText="1"/>
    </xf>
    <xf numFmtId="0" fontId="3" fillId="0" borderId="13" xfId="0" applyFont="1" applyBorder="1" applyAlignment="1">
      <alignment wrapText="1"/>
    </xf>
    <xf numFmtId="0" fontId="3" fillId="6" borderId="0" xfId="0" applyFont="1" applyFill="1" applyAlignment="1">
      <alignment wrapText="1"/>
    </xf>
    <xf numFmtId="0" fontId="3" fillId="8" borderId="1" xfId="0" applyFont="1" applyFill="1" applyBorder="1" applyAlignment="1">
      <alignment vertical="top" wrapText="1"/>
    </xf>
    <xf numFmtId="0" fontId="3" fillId="8" borderId="10" xfId="0" applyFont="1" applyFill="1" applyBorder="1" applyAlignment="1">
      <alignment vertical="top" wrapText="1"/>
    </xf>
    <xf numFmtId="1" fontId="3" fillId="0" borderId="0" xfId="0" applyNumberFormat="1" applyFont="1" applyAlignment="1">
      <alignment wrapText="1"/>
    </xf>
    <xf numFmtId="0" fontId="3" fillId="0" borderId="0" xfId="0" applyFont="1"/>
    <xf numFmtId="0" fontId="3" fillId="8" borderId="17" xfId="0" applyFont="1" applyFill="1" applyBorder="1" applyAlignment="1">
      <alignment vertical="top" wrapText="1"/>
    </xf>
    <xf numFmtId="0" fontId="3" fillId="8" borderId="20" xfId="0" applyFont="1" applyFill="1" applyBorder="1" applyAlignment="1">
      <alignment vertical="top" wrapText="1"/>
    </xf>
    <xf numFmtId="0" fontId="3" fillId="0" borderId="2" xfId="0" applyFont="1" applyBorder="1" applyAlignment="1">
      <alignment wrapText="1"/>
    </xf>
    <xf numFmtId="0" fontId="3" fillId="0" borderId="4" xfId="0" applyFont="1" applyBorder="1" applyAlignment="1">
      <alignment wrapText="1"/>
    </xf>
    <xf numFmtId="0" fontId="3" fillId="0" borderId="13" xfId="0" applyFont="1" applyBorder="1"/>
    <xf numFmtId="0" fontId="3" fillId="0" borderId="16" xfId="0" applyFont="1" applyBorder="1"/>
    <xf numFmtId="0" fontId="3" fillId="0" borderId="1" xfId="0" applyFont="1" applyBorder="1"/>
    <xf numFmtId="1" fontId="3" fillId="8" borderId="1" xfId="0" applyNumberFormat="1" applyFont="1" applyFill="1" applyBorder="1"/>
    <xf numFmtId="169" fontId="3" fillId="9" borderId="1" xfId="1" applyNumberFormat="1" applyFont="1" applyFill="1" applyBorder="1" applyAlignment="1">
      <alignment horizontal="center"/>
    </xf>
    <xf numFmtId="0" fontId="3" fillId="9" borderId="1" xfId="1" applyNumberFormat="1" applyFont="1" applyFill="1" applyBorder="1" applyAlignment="1">
      <alignment horizontal="right"/>
    </xf>
    <xf numFmtId="16" fontId="3" fillId="5" borderId="1" xfId="1" applyNumberFormat="1" applyFont="1" applyFill="1" applyBorder="1" applyAlignment="1">
      <alignment horizontal="center"/>
    </xf>
    <xf numFmtId="0" fontId="3" fillId="5" borderId="1" xfId="1" applyNumberFormat="1" applyFont="1" applyFill="1" applyBorder="1" applyAlignment="1">
      <alignment horizontal="center"/>
    </xf>
    <xf numFmtId="0" fontId="3" fillId="5" borderId="1" xfId="1" applyNumberFormat="1" applyFont="1" applyFill="1" applyBorder="1" applyAlignment="1">
      <alignment horizontal="right"/>
    </xf>
    <xf numFmtId="1" fontId="3" fillId="9" borderId="1" xfId="1" applyNumberFormat="1" applyFont="1" applyFill="1" applyBorder="1" applyAlignment="1">
      <alignment horizontal="right"/>
    </xf>
    <xf numFmtId="1" fontId="3" fillId="9" borderId="1" xfId="0" applyNumberFormat="1" applyFont="1" applyFill="1" applyBorder="1" applyAlignment="1">
      <alignment horizontal="right"/>
    </xf>
    <xf numFmtId="167" fontId="3" fillId="8" borderId="1" xfId="0" applyNumberFormat="1" applyFont="1" applyFill="1" applyBorder="1" applyAlignment="1">
      <alignment horizontal="right"/>
    </xf>
    <xf numFmtId="9" fontId="3" fillId="9" borderId="10" xfId="1" applyFont="1" applyFill="1" applyBorder="1" applyAlignment="1">
      <alignment horizontal="right"/>
    </xf>
    <xf numFmtId="0" fontId="3" fillId="8" borderId="1" xfId="1" applyNumberFormat="1" applyFont="1" applyFill="1" applyBorder="1" applyAlignment="1">
      <alignment horizontal="right"/>
    </xf>
    <xf numFmtId="0" fontId="3" fillId="6" borderId="0" xfId="0" applyFont="1" applyFill="1"/>
    <xf numFmtId="9" fontId="3" fillId="0" borderId="0" xfId="1" applyFont="1" applyFill="1"/>
    <xf numFmtId="169" fontId="3" fillId="9" borderId="1" xfId="0" applyNumberFormat="1" applyFont="1" applyFill="1" applyBorder="1" applyAlignment="1">
      <alignment horizontal="center"/>
    </xf>
    <xf numFmtId="0" fontId="3" fillId="6" borderId="1" xfId="0" applyFont="1" applyFill="1" applyBorder="1"/>
    <xf numFmtId="0" fontId="3" fillId="6" borderId="1" xfId="1" applyNumberFormat="1" applyFont="1" applyFill="1" applyBorder="1" applyAlignment="1">
      <alignment horizontal="right"/>
    </xf>
    <xf numFmtId="0" fontId="3" fillId="6" borderId="10" xfId="0" applyFont="1" applyFill="1" applyBorder="1"/>
    <xf numFmtId="0" fontId="3" fillId="0" borderId="2" xfId="0" applyFont="1" applyBorder="1"/>
    <xf numFmtId="0" fontId="3" fillId="0" borderId="4" xfId="0" applyFont="1" applyBorder="1"/>
    <xf numFmtId="1" fontId="3" fillId="0" borderId="0" xfId="0" applyNumberFormat="1" applyFont="1"/>
    <xf numFmtId="0" fontId="3" fillId="0" borderId="49" xfId="0" applyFont="1" applyBorder="1"/>
    <xf numFmtId="0" fontId="3" fillId="8" borderId="1" xfId="0" applyFont="1" applyFill="1" applyBorder="1" applyAlignment="1">
      <alignment horizontal="center"/>
    </xf>
    <xf numFmtId="3" fontId="3" fillId="9" borderId="1" xfId="0" applyNumberFormat="1" applyFont="1" applyFill="1" applyBorder="1" applyAlignment="1">
      <alignment horizontal="right"/>
    </xf>
    <xf numFmtId="8" fontId="3" fillId="8" borderId="1" xfId="0" applyNumberFormat="1" applyFont="1" applyFill="1" applyBorder="1"/>
    <xf numFmtId="1" fontId="3" fillId="8" borderId="0" xfId="0" applyNumberFormat="1" applyFont="1" applyFill="1"/>
    <xf numFmtId="0" fontId="3" fillId="8" borderId="17" xfId="0" applyFont="1" applyFill="1" applyBorder="1" applyAlignment="1">
      <alignment horizontal="center"/>
    </xf>
    <xf numFmtId="6" fontId="3" fillId="6" borderId="0" xfId="0" applyNumberFormat="1" applyFont="1" applyFill="1"/>
    <xf numFmtId="0" fontId="3" fillId="8" borderId="17" xfId="0" applyFont="1" applyFill="1" applyBorder="1"/>
    <xf numFmtId="0" fontId="3" fillId="0" borderId="17" xfId="0" applyFont="1" applyBorder="1" applyAlignment="1">
      <alignment horizontal="left" vertical="top" wrapText="1"/>
    </xf>
    <xf numFmtId="6" fontId="3" fillId="0" borderId="0" xfId="0" applyNumberFormat="1" applyFont="1"/>
    <xf numFmtId="0" fontId="3" fillId="0" borderId="0" xfId="0" applyFont="1" applyAlignment="1">
      <alignment horizontal="left" vertical="top" wrapText="1"/>
    </xf>
    <xf numFmtId="6" fontId="3" fillId="0" borderId="0" xfId="0" applyNumberFormat="1" applyFont="1" applyAlignment="1">
      <alignment horizontal="left" vertical="top" wrapText="1"/>
    </xf>
    <xf numFmtId="0" fontId="3" fillId="0" borderId="0" xfId="0" applyFont="1" applyAlignment="1">
      <alignment horizontal="left"/>
    </xf>
    <xf numFmtId="6" fontId="3" fillId="0" borderId="0" xfId="0" applyNumberFormat="1" applyFont="1" applyAlignment="1">
      <alignment horizontal="left"/>
    </xf>
    <xf numFmtId="0" fontId="3" fillId="0" borderId="0" xfId="0" applyFont="1" applyAlignment="1">
      <alignment horizontal="center"/>
    </xf>
    <xf numFmtId="1" fontId="3" fillId="0" borderId="2" xfId="0" applyNumberFormat="1" applyFont="1" applyBorder="1"/>
    <xf numFmtId="164" fontId="3" fillId="8" borderId="1" xfId="0" applyNumberFormat="1" applyFont="1" applyFill="1" applyBorder="1"/>
    <xf numFmtId="2" fontId="3" fillId="8" borderId="1" xfId="0" applyNumberFormat="1" applyFont="1" applyFill="1" applyBorder="1"/>
    <xf numFmtId="166" fontId="3" fillId="9" borderId="10" xfId="0" applyNumberFormat="1" applyFont="1" applyFill="1" applyBorder="1"/>
    <xf numFmtId="0" fontId="3" fillId="0" borderId="25" xfId="0" applyFont="1" applyBorder="1"/>
    <xf numFmtId="0" fontId="3" fillId="0" borderId="17" xfId="0" applyFont="1" applyBorder="1" applyAlignment="1">
      <alignment horizontal="left"/>
    </xf>
    <xf numFmtId="0" fontId="3" fillId="0" borderId="2" xfId="0" applyFont="1" applyBorder="1" applyAlignment="1">
      <alignment horizontal="left"/>
    </xf>
    <xf numFmtId="0" fontId="3" fillId="10" borderId="0" xfId="0" applyFont="1" applyFill="1"/>
    <xf numFmtId="0" fontId="3" fillId="10" borderId="13" xfId="0" applyFont="1" applyFill="1" applyBorder="1"/>
    <xf numFmtId="0" fontId="3" fillId="0" borderId="26" xfId="0" applyFont="1" applyBorder="1"/>
    <xf numFmtId="0" fontId="3" fillId="0" borderId="27" xfId="0" applyFont="1" applyBorder="1"/>
    <xf numFmtId="0" fontId="3" fillId="0" borderId="28" xfId="0" applyFont="1" applyBorder="1"/>
    <xf numFmtId="0" fontId="3" fillId="0" borderId="12" xfId="0" applyFont="1" applyBorder="1"/>
    <xf numFmtId="0" fontId="3" fillId="0" borderId="21" xfId="0" applyFont="1" applyBorder="1"/>
    <xf numFmtId="0" fontId="3" fillId="0" borderId="13" xfId="0" applyFont="1" applyBorder="1" applyAlignment="1">
      <alignment horizontal="right"/>
    </xf>
    <xf numFmtId="3" fontId="3" fillId="0" borderId="12" xfId="0" applyNumberFormat="1" applyFont="1" applyBorder="1"/>
    <xf numFmtId="0" fontId="3" fillId="0" borderId="15" xfId="0" applyFont="1" applyBorder="1" applyAlignment="1">
      <alignment wrapText="1"/>
    </xf>
    <xf numFmtId="1" fontId="3" fillId="0" borderId="15" xfId="0" applyNumberFormat="1" applyFont="1" applyBorder="1"/>
    <xf numFmtId="3" fontId="3" fillId="0" borderId="22" xfId="0" applyNumberFormat="1" applyFont="1" applyBorder="1" applyAlignment="1">
      <alignment horizontal="right" wrapText="1"/>
    </xf>
    <xf numFmtId="0" fontId="3" fillId="0" borderId="15" xfId="0" applyFont="1" applyBorder="1" applyAlignment="1">
      <alignment horizontal="left" indent="1"/>
    </xf>
    <xf numFmtId="0" fontId="3" fillId="0" borderId="22" xfId="0" applyFont="1" applyBorder="1" applyAlignment="1">
      <alignment horizontal="left" indent="1"/>
    </xf>
    <xf numFmtId="1" fontId="3" fillId="0" borderId="22" xfId="0" applyNumberFormat="1" applyFont="1" applyBorder="1"/>
    <xf numFmtId="164" fontId="3" fillId="0" borderId="45" xfId="0" applyNumberFormat="1" applyFont="1" applyBorder="1" applyAlignment="1">
      <alignment horizontal="right" wrapText="1"/>
    </xf>
    <xf numFmtId="164" fontId="3" fillId="0" borderId="30" xfId="0" applyNumberFormat="1" applyFont="1" applyBorder="1" applyAlignment="1">
      <alignment horizontal="right" wrapText="1"/>
    </xf>
    <xf numFmtId="164" fontId="3" fillId="0" borderId="15" xfId="0" applyNumberFormat="1" applyFont="1" applyBorder="1" applyAlignment="1">
      <alignment horizontal="right" wrapText="1"/>
    </xf>
    <xf numFmtId="164" fontId="3" fillId="0" borderId="33" xfId="0" applyNumberFormat="1" applyFont="1" applyBorder="1" applyAlignment="1">
      <alignment horizontal="right" wrapText="1"/>
    </xf>
    <xf numFmtId="3" fontId="3" fillId="0" borderId="1" xfId="0" applyNumberFormat="1" applyFont="1" applyBorder="1"/>
    <xf numFmtId="3" fontId="3" fillId="0" borderId="52" xfId="0" applyNumberFormat="1" applyFont="1" applyBorder="1"/>
    <xf numFmtId="3" fontId="3" fillId="0" borderId="17" xfId="0" applyNumberFormat="1" applyFont="1" applyBorder="1"/>
    <xf numFmtId="3" fontId="3" fillId="0" borderId="53" xfId="0" applyNumberFormat="1" applyFont="1" applyBorder="1"/>
    <xf numFmtId="164" fontId="3" fillId="0" borderId="22" xfId="0" applyNumberFormat="1" applyFont="1" applyBorder="1" applyAlignment="1">
      <alignment horizontal="right" wrapText="1"/>
    </xf>
    <xf numFmtId="170" fontId="3" fillId="14" borderId="33" xfId="1" applyNumberFormat="1" applyFont="1" applyFill="1" applyBorder="1" applyAlignment="1">
      <alignment horizontal="right" wrapText="1"/>
    </xf>
    <xf numFmtId="170" fontId="3" fillId="14" borderId="22" xfId="1" applyNumberFormat="1" applyFont="1" applyFill="1" applyBorder="1" applyAlignment="1">
      <alignment horizontal="right" wrapText="1"/>
    </xf>
    <xf numFmtId="9" fontId="3" fillId="0" borderId="30" xfId="1" applyFont="1" applyBorder="1" applyAlignment="1">
      <alignment horizontal="right" wrapText="1"/>
    </xf>
    <xf numFmtId="164" fontId="3" fillId="0" borderId="0" xfId="0" applyNumberFormat="1" applyFont="1" applyAlignment="1">
      <alignment horizontal="right" wrapText="1"/>
    </xf>
    <xf numFmtId="0" fontId="3" fillId="0" borderId="0" xfId="0" applyFont="1" applyAlignment="1">
      <alignment horizontal="right"/>
    </xf>
    <xf numFmtId="9" fontId="3" fillId="0" borderId="0" xfId="1" applyFont="1" applyBorder="1" applyAlignment="1">
      <alignment horizontal="right" wrapText="1"/>
    </xf>
    <xf numFmtId="9" fontId="3" fillId="0" borderId="22" xfId="1" applyFont="1" applyBorder="1" applyAlignment="1">
      <alignment horizontal="right" wrapText="1"/>
    </xf>
    <xf numFmtId="3" fontId="3" fillId="0" borderId="0" xfId="0" applyNumberFormat="1" applyFont="1" applyAlignment="1">
      <alignment horizontal="right"/>
    </xf>
    <xf numFmtId="3" fontId="3" fillId="0" borderId="23" xfId="0" applyNumberFormat="1" applyFont="1" applyBorder="1" applyAlignment="1">
      <alignment horizontal="right"/>
    </xf>
    <xf numFmtId="9" fontId="3" fillId="0" borderId="23" xfId="1" applyFont="1" applyBorder="1" applyAlignment="1">
      <alignment horizontal="right"/>
    </xf>
    <xf numFmtId="0" fontId="3" fillId="0" borderId="32" xfId="0" applyFont="1" applyBorder="1"/>
    <xf numFmtId="0" fontId="3" fillId="0" borderId="36" xfId="0" applyFont="1" applyBorder="1"/>
    <xf numFmtId="0" fontId="3" fillId="0" borderId="14" xfId="0" applyFont="1" applyBorder="1"/>
    <xf numFmtId="0" fontId="3" fillId="10" borderId="2" xfId="0" applyFont="1" applyFill="1" applyBorder="1"/>
    <xf numFmtId="0" fontId="3" fillId="10" borderId="4" xfId="0" applyFont="1" applyFill="1" applyBorder="1"/>
    <xf numFmtId="165" fontId="3" fillId="0" borderId="1" xfId="0" applyNumberFormat="1" applyFont="1" applyBorder="1"/>
    <xf numFmtId="165" fontId="3" fillId="0" borderId="1" xfId="0" applyNumberFormat="1" applyFont="1" applyBorder="1" applyAlignment="1">
      <alignment horizontal="right"/>
    </xf>
    <xf numFmtId="3" fontId="3" fillId="0" borderId="1" xfId="0" applyNumberFormat="1" applyFont="1" applyBorder="1" applyAlignment="1">
      <alignment horizontal="right"/>
    </xf>
    <xf numFmtId="3" fontId="3" fillId="0" borderId="10" xfId="0" applyNumberFormat="1" applyFont="1" applyBorder="1" applyAlignment="1">
      <alignment horizontal="right"/>
    </xf>
    <xf numFmtId="0" fontId="3" fillId="15" borderId="25" xfId="0" applyFont="1" applyFill="1" applyBorder="1"/>
    <xf numFmtId="0" fontId="3" fillId="6" borderId="17" xfId="0" applyFont="1" applyFill="1" applyBorder="1"/>
    <xf numFmtId="165" fontId="3" fillId="0" borderId="17" xfId="0" applyNumberFormat="1" applyFont="1" applyBorder="1"/>
    <xf numFmtId="0" fontId="3" fillId="6" borderId="20" xfId="0" applyFont="1" applyFill="1" applyBorder="1"/>
    <xf numFmtId="164" fontId="3" fillId="0" borderId="1" xfId="0" applyNumberFormat="1" applyFont="1" applyBorder="1" applyAlignment="1">
      <alignment horizontal="right"/>
    </xf>
    <xf numFmtId="164" fontId="3" fillId="0" borderId="1" xfId="0" applyNumberFormat="1" applyFont="1" applyBorder="1"/>
    <xf numFmtId="167" fontId="3" fillId="0" borderId="0" xfId="0" applyNumberFormat="1" applyFont="1"/>
    <xf numFmtId="3" fontId="3" fillId="0" borderId="0" xfId="0" applyNumberFormat="1" applyFont="1"/>
    <xf numFmtId="166" fontId="3" fillId="0" borderId="0" xfId="0" applyNumberFormat="1" applyFont="1"/>
    <xf numFmtId="167" fontId="3" fillId="0" borderId="1" xfId="0" applyNumberFormat="1" applyFont="1" applyBorder="1"/>
    <xf numFmtId="0" fontId="3" fillId="0" borderId="10" xfId="0" applyFont="1" applyBorder="1"/>
    <xf numFmtId="9" fontId="3" fillId="0" borderId="1" xfId="1" applyFont="1" applyBorder="1"/>
    <xf numFmtId="16" fontId="3" fillId="0" borderId="12" xfId="0" applyNumberFormat="1" applyFont="1" applyBorder="1"/>
    <xf numFmtId="16" fontId="3" fillId="0" borderId="14" xfId="0" applyNumberFormat="1" applyFont="1" applyBorder="1"/>
    <xf numFmtId="3" fontId="3" fillId="0" borderId="2" xfId="0" applyNumberFormat="1" applyFont="1" applyBorder="1"/>
    <xf numFmtId="9" fontId="3" fillId="0" borderId="0" xfId="1" applyFont="1"/>
    <xf numFmtId="0" fontId="3" fillId="0" borderId="20" xfId="0" applyFont="1" applyBorder="1"/>
    <xf numFmtId="3" fontId="3" fillId="0" borderId="23" xfId="0" applyNumberFormat="1" applyFont="1" applyBorder="1"/>
    <xf numFmtId="0" fontId="3" fillId="0" borderId="18" xfId="0" applyFont="1" applyBorder="1" applyAlignment="1">
      <alignment horizontal="left" indent="1"/>
    </xf>
    <xf numFmtId="0" fontId="3" fillId="0" borderId="44" xfId="0" applyFont="1" applyBorder="1" applyAlignment="1">
      <alignment horizontal="left" indent="1"/>
    </xf>
    <xf numFmtId="3" fontId="3" fillId="0" borderId="45" xfId="0" applyNumberFormat="1" applyFont="1" applyBorder="1"/>
    <xf numFmtId="0" fontId="3" fillId="0" borderId="18" xfId="0" applyFont="1" applyBorder="1"/>
    <xf numFmtId="164" fontId="3" fillId="0" borderId="0" xfId="0" applyNumberFormat="1" applyFont="1"/>
    <xf numFmtId="164" fontId="3" fillId="0" borderId="22" xfId="0" applyNumberFormat="1" applyFont="1" applyBorder="1"/>
    <xf numFmtId="166" fontId="3" fillId="6" borderId="0" xfId="0" applyNumberFormat="1" applyFont="1" applyFill="1"/>
    <xf numFmtId="164" fontId="3" fillId="6" borderId="22" xfId="0" applyNumberFormat="1" applyFont="1" applyFill="1" applyBorder="1"/>
    <xf numFmtId="164" fontId="3" fillId="6" borderId="0" xfId="0" applyNumberFormat="1" applyFont="1" applyFill="1"/>
    <xf numFmtId="9" fontId="3" fillId="0" borderId="0" xfId="1" applyFont="1" applyBorder="1"/>
    <xf numFmtId="164" fontId="3" fillId="0" borderId="33" xfId="0" applyNumberFormat="1" applyFont="1" applyBorder="1" applyAlignment="1">
      <alignment horizontal="right"/>
    </xf>
    <xf numFmtId="0" fontId="3" fillId="0" borderId="0" xfId="0" applyFont="1" applyAlignment="1">
      <alignment horizontal="centerContinuous" vertical="top" wrapText="1"/>
    </xf>
    <xf numFmtId="0" fontId="2" fillId="6" borderId="0" xfId="0" applyFont="1" applyFill="1"/>
    <xf numFmtId="0" fontId="2" fillId="0" borderId="15" xfId="0" applyFont="1" applyBorder="1" applyAlignment="1">
      <alignment vertical="top" wrapText="1"/>
    </xf>
    <xf numFmtId="0" fontId="0" fillId="0" borderId="21" xfId="0" applyBorder="1"/>
    <xf numFmtId="0" fontId="50" fillId="5" borderId="8" xfId="0" applyFont="1" applyFill="1" applyBorder="1" applyAlignment="1">
      <alignment horizontal="center" vertical="center" wrapText="1"/>
    </xf>
    <xf numFmtId="0" fontId="50" fillId="3" borderId="4" xfId="0" applyFont="1" applyFill="1" applyBorder="1" applyAlignment="1">
      <alignment horizontal="center" vertical="center" wrapText="1"/>
    </xf>
    <xf numFmtId="0" fontId="50" fillId="3" borderId="2" xfId="0" applyFont="1" applyFill="1" applyBorder="1" applyAlignment="1">
      <alignment horizontal="center" vertical="center" wrapText="1"/>
    </xf>
    <xf numFmtId="0" fontId="51" fillId="0" borderId="0" xfId="0" applyFont="1" applyAlignment="1">
      <alignment horizontal="center" vertical="center"/>
    </xf>
    <xf numFmtId="0" fontId="52" fillId="0" borderId="0" xfId="0" applyFont="1" applyAlignment="1">
      <alignment vertical="center"/>
    </xf>
    <xf numFmtId="0" fontId="52" fillId="0" borderId="0" xfId="0" applyFont="1"/>
    <xf numFmtId="0" fontId="53" fillId="2" borderId="27" xfId="0" applyFont="1" applyFill="1" applyBorder="1" applyAlignment="1"/>
    <xf numFmtId="0" fontId="3" fillId="2" borderId="27" xfId="0" applyFont="1" applyFill="1" applyBorder="1" applyAlignment="1"/>
    <xf numFmtId="0" fontId="53" fillId="2" borderId="26" xfId="0" applyFont="1" applyFill="1" applyBorder="1" applyAlignment="1">
      <alignment horizontal="left"/>
    </xf>
    <xf numFmtId="15" fontId="35" fillId="2" borderId="12" xfId="0" quotePrefix="1" applyNumberFormat="1" applyFont="1" applyFill="1" applyBorder="1" applyAlignment="1">
      <alignment horizontal="center" vertical="top"/>
    </xf>
    <xf numFmtId="15" fontId="35" fillId="2" borderId="0" xfId="0" quotePrefix="1" applyNumberFormat="1" applyFont="1" applyFill="1" applyBorder="1" applyAlignment="1">
      <alignment horizontal="center" vertical="top"/>
    </xf>
    <xf numFmtId="0" fontId="33" fillId="0" borderId="0" xfId="0" applyFont="1" applyAlignment="1">
      <alignment horizontal="left" vertical="top" wrapText="1"/>
    </xf>
    <xf numFmtId="0" fontId="42" fillId="0" borderId="0" xfId="0" applyFont="1" applyAlignment="1">
      <alignment horizontal="left" vertical="top" wrapText="1"/>
    </xf>
    <xf numFmtId="0" fontId="26" fillId="0" borderId="0" xfId="0" applyFont="1" applyAlignment="1">
      <alignment horizontal="center"/>
    </xf>
    <xf numFmtId="0" fontId="11" fillId="0" borderId="0" xfId="0" applyFont="1" applyAlignment="1">
      <alignment horizontal="left" vertical="top" wrapText="1"/>
    </xf>
    <xf numFmtId="0" fontId="10" fillId="0" borderId="0" xfId="0" applyFont="1" applyAlignment="1">
      <alignment horizontal="left" vertical="top" wrapText="1"/>
    </xf>
    <xf numFmtId="0" fontId="13" fillId="0" borderId="2" xfId="0" applyFont="1" applyBorder="1" applyAlignment="1">
      <alignment horizontal="center" vertical="center"/>
    </xf>
    <xf numFmtId="0" fontId="17" fillId="0" borderId="54" xfId="0" applyFont="1" applyBorder="1" applyAlignment="1">
      <alignment horizontal="left" vertical="center" wrapText="1"/>
    </xf>
    <xf numFmtId="0" fontId="17" fillId="0" borderId="54" xfId="0" applyFont="1" applyBorder="1" applyAlignment="1">
      <alignment horizontal="left" vertical="center"/>
    </xf>
    <xf numFmtId="0" fontId="17" fillId="0" borderId="0" xfId="0" applyFont="1" applyAlignment="1">
      <alignment horizontal="left" vertical="center"/>
    </xf>
    <xf numFmtId="0" fontId="24" fillId="0" borderId="0" xfId="0" applyFont="1" applyAlignment="1">
      <alignment horizontal="left" vertical="top" wrapText="1"/>
    </xf>
    <xf numFmtId="0" fontId="0" fillId="0" borderId="0" xfId="0"/>
    <xf numFmtId="0" fontId="24" fillId="0" borderId="0" xfId="0" applyFont="1" applyAlignment="1">
      <alignment horizontal="left"/>
    </xf>
    <xf numFmtId="0" fontId="22" fillId="0" borderId="0" xfId="0" applyFont="1" applyAlignment="1">
      <alignment horizontal="left"/>
    </xf>
  </cellXfs>
  <cellStyles count="4">
    <cellStyle name="Hyperlink" xfId="2" builtinId="8"/>
    <cellStyle name="Normal" xfId="0" builtinId="0"/>
    <cellStyle name="Normal 2" xfId="3" xr:uid="{B0461934-5FB4-4DFC-A8A7-52B53A2B8957}"/>
    <cellStyle name="Percent" xfId="1" builtinId="5"/>
  </cellStyles>
  <dxfs count="222">
    <dxf>
      <numFmt numFmtId="168" formatCode="#0.0"/>
    </dxf>
    <dxf>
      <font>
        <b val="0"/>
        <i val="0"/>
        <strike val="0"/>
        <condense val="0"/>
        <extend val="0"/>
        <outline val="0"/>
        <shadow val="0"/>
        <u val="none"/>
        <vertAlign val="baseline"/>
        <sz val="10"/>
        <color indexed="8"/>
        <name val="Arial"/>
        <family val="2"/>
        <scheme val="none"/>
      </font>
      <numFmt numFmtId="168" formatCode="#0.0"/>
      <alignment horizontal="right" vertical="bottom" textRotation="0" wrapText="0" indent="0" justifyLastLine="0" shrinkToFit="0" readingOrder="0"/>
    </dxf>
    <dxf>
      <font>
        <b val="0"/>
        <i val="0"/>
        <strike val="0"/>
        <condense val="0"/>
        <extend val="0"/>
        <outline val="0"/>
        <shadow val="0"/>
        <u val="none"/>
        <vertAlign val="baseline"/>
        <sz val="10"/>
        <color indexed="8"/>
        <name val="Arial"/>
        <family val="2"/>
        <scheme val="none"/>
      </font>
      <numFmt numFmtId="168" formatCode="#0.0"/>
      <alignment horizontal="right" vertical="bottom" textRotation="0" wrapText="0" indent="0" justifyLastLine="0" shrinkToFit="0" readingOrder="0"/>
    </dxf>
    <dxf>
      <font>
        <b val="0"/>
        <i val="0"/>
        <strike val="0"/>
        <condense val="0"/>
        <extend val="0"/>
        <outline val="0"/>
        <shadow val="0"/>
        <u val="none"/>
        <vertAlign val="baseline"/>
        <sz val="10"/>
        <color indexed="8"/>
        <name val="Arial"/>
        <family val="2"/>
        <scheme val="none"/>
      </font>
      <numFmt numFmtId="168" formatCode="#0.0"/>
      <alignment horizontal="right" vertical="bottom" textRotation="0" wrapText="0" indent="0" justifyLastLine="0" shrinkToFit="0" readingOrder="0"/>
    </dxf>
    <dxf>
      <font>
        <b val="0"/>
        <i val="0"/>
        <strike val="0"/>
        <condense val="0"/>
        <extend val="0"/>
        <outline val="0"/>
        <shadow val="0"/>
        <u val="none"/>
        <vertAlign val="baseline"/>
        <sz val="10"/>
        <color indexed="8"/>
        <name val="Arial"/>
        <family val="2"/>
        <scheme val="none"/>
      </font>
      <numFmt numFmtId="168" formatCode="#0.0"/>
      <alignment horizontal="right" vertical="bottom" textRotation="0" wrapText="0" indent="0" justifyLastLine="0" shrinkToFit="0" readingOrder="0"/>
    </dxf>
    <dxf>
      <font>
        <b val="0"/>
        <i val="0"/>
        <strike val="0"/>
        <condense val="0"/>
        <extend val="0"/>
        <outline val="0"/>
        <shadow val="0"/>
        <u val="none"/>
        <vertAlign val="baseline"/>
        <sz val="10"/>
        <color indexed="8"/>
        <name val="Arial"/>
        <family val="2"/>
        <scheme val="none"/>
      </font>
      <numFmt numFmtId="168" formatCode="#0.0"/>
      <alignment horizontal="right" vertical="bottom" textRotation="0" wrapText="0" indent="0" justifyLastLine="0" shrinkToFit="0" readingOrder="0"/>
    </dxf>
    <dxf>
      <font>
        <b val="0"/>
        <i val="0"/>
        <strike val="0"/>
        <condense val="0"/>
        <extend val="0"/>
        <outline val="0"/>
        <shadow val="0"/>
        <u val="none"/>
        <vertAlign val="baseline"/>
        <sz val="10"/>
        <color indexed="8"/>
        <name val="Arial"/>
        <family val="2"/>
        <scheme val="none"/>
      </font>
      <numFmt numFmtId="168" formatCode="#0.0"/>
      <alignment horizontal="right" vertical="bottom" textRotation="0" wrapText="0" indent="0" justifyLastLine="0" shrinkToFit="0" readingOrder="0"/>
    </dxf>
    <dxf>
      <font>
        <b val="0"/>
        <i val="0"/>
        <strike val="0"/>
        <condense val="0"/>
        <extend val="0"/>
        <outline val="0"/>
        <shadow val="0"/>
        <u val="none"/>
        <vertAlign val="baseline"/>
        <sz val="10"/>
        <color indexed="8"/>
        <name val="Arial"/>
        <family val="2"/>
        <scheme val="none"/>
      </font>
      <numFmt numFmtId="168" formatCode="#0.0"/>
      <alignment horizontal="right" vertical="bottom" textRotation="0" wrapText="0" indent="0" justifyLastLine="0" shrinkToFit="0" readingOrder="0"/>
    </dxf>
    <dxf>
      <font>
        <b val="0"/>
        <i val="0"/>
        <strike val="0"/>
        <condense val="0"/>
        <extend val="0"/>
        <outline val="0"/>
        <shadow val="0"/>
        <u val="none"/>
        <vertAlign val="baseline"/>
        <sz val="10"/>
        <color indexed="8"/>
        <name val="Arial"/>
        <family val="2"/>
        <scheme val="none"/>
      </font>
      <numFmt numFmtId="168" formatCode="#0.0"/>
      <alignment horizontal="right" vertical="bottom" textRotation="0" wrapText="0" indent="0" justifyLastLine="0" shrinkToFit="0" readingOrder="0"/>
    </dxf>
    <dxf>
      <font>
        <b val="0"/>
        <i val="0"/>
        <strike val="0"/>
        <condense val="0"/>
        <extend val="0"/>
        <outline val="0"/>
        <shadow val="0"/>
        <u val="none"/>
        <vertAlign val="baseline"/>
        <sz val="10"/>
        <color indexed="8"/>
        <name val="Arial"/>
        <family val="2"/>
        <scheme val="none"/>
      </font>
      <numFmt numFmtId="168" formatCode="#0.0"/>
      <alignment horizontal="right" vertical="bottom" textRotation="0" wrapText="0" indent="0" justifyLastLine="0" shrinkToFit="0" readingOrder="0"/>
    </dxf>
    <dxf>
      <font>
        <b val="0"/>
        <i val="0"/>
        <strike val="0"/>
        <condense val="0"/>
        <extend val="0"/>
        <outline val="0"/>
        <shadow val="0"/>
        <u val="none"/>
        <vertAlign val="baseline"/>
        <sz val="10"/>
        <color indexed="8"/>
        <name val="Arial"/>
        <family val="2"/>
        <scheme val="none"/>
      </font>
      <numFmt numFmtId="168" formatCode="#0.0"/>
      <alignment horizontal="right" vertical="bottom" textRotation="0" wrapText="0" indent="0" justifyLastLine="0" shrinkToFit="0" readingOrder="0"/>
    </dxf>
    <dxf>
      <font>
        <b val="0"/>
        <i val="0"/>
        <strike val="0"/>
        <condense val="0"/>
        <extend val="0"/>
        <outline val="0"/>
        <shadow val="0"/>
        <u val="none"/>
        <vertAlign val="baseline"/>
        <sz val="10"/>
        <color indexed="8"/>
        <name val="Arial"/>
        <family val="2"/>
        <scheme val="none"/>
      </font>
      <numFmt numFmtId="168" formatCode="#0.0"/>
      <alignment horizontal="right" vertical="bottom" textRotation="0" wrapText="0" indent="0" justifyLastLine="0" shrinkToFit="0" readingOrder="0"/>
    </dxf>
    <dxf>
      <font>
        <b val="0"/>
        <i val="0"/>
        <strike val="0"/>
        <condense val="0"/>
        <extend val="0"/>
        <outline val="0"/>
        <shadow val="0"/>
        <u val="none"/>
        <vertAlign val="baseline"/>
        <sz val="10"/>
        <color indexed="8"/>
        <name val="Arial"/>
        <family val="2"/>
        <scheme val="none"/>
      </font>
      <numFmt numFmtId="168" formatCode="#0.0"/>
      <alignment horizontal="right" vertical="bottom" textRotation="0" wrapText="0" indent="0" justifyLastLine="0" shrinkToFit="0" readingOrder="0"/>
    </dxf>
    <dxf>
      <font>
        <b/>
        <i val="0"/>
        <strike val="0"/>
        <condense val="0"/>
        <extend val="0"/>
        <outline val="0"/>
        <shadow val="0"/>
        <u val="none"/>
        <vertAlign val="baseline"/>
        <sz val="10"/>
        <color indexed="8"/>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indexed="8"/>
        <name val="Arial"/>
        <family val="2"/>
        <scheme val="none"/>
      </font>
      <alignment horizontal="right" vertical="bottom" textRotation="0" wrapText="0" indent="0" justifyLastLine="0" shrinkToFit="0" readingOrder="0"/>
    </dxf>
    <dxf>
      <font>
        <b/>
        <i val="0"/>
        <strike val="0"/>
        <condense val="0"/>
        <extend val="0"/>
        <outline val="0"/>
        <shadow val="0"/>
        <u val="none"/>
        <vertAlign val="baseline"/>
        <sz val="10"/>
        <color indexed="8"/>
        <name val="Arial"/>
        <family val="2"/>
        <scheme val="none"/>
      </font>
      <alignment horizontal="center" vertical="bottom" textRotation="0" wrapText="1" indent="0" justifyLastLine="0" shrinkToFit="0" readingOrder="0"/>
    </dxf>
    <dxf>
      <numFmt numFmtId="1" formatCode="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dxf>
    <dxf>
      <border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quot;$&quot;#,##0"/>
    </dxf>
    <dxf>
      <font>
        <b val="0"/>
        <i val="0"/>
        <strike val="0"/>
        <condense val="0"/>
        <extend val="0"/>
        <outline val="0"/>
        <shadow val="0"/>
        <u val="none"/>
        <vertAlign val="baseline"/>
        <sz val="11"/>
        <color theme="1"/>
        <name val="Calibri"/>
        <family val="2"/>
        <scheme val="minor"/>
      </font>
      <numFmt numFmtId="164" formatCode="&quot;$&quot;#,##0"/>
      <fill>
        <patternFill patternType="none">
          <fgColor indexed="64"/>
          <bgColor indexed="65"/>
        </patternFill>
      </fill>
    </dxf>
    <dxf>
      <font>
        <b val="0"/>
        <i val="0"/>
        <strike val="0"/>
        <condense val="0"/>
        <extend val="0"/>
        <outline val="0"/>
        <shadow val="0"/>
        <u val="none"/>
        <vertAlign val="baseline"/>
        <sz val="11"/>
        <color theme="1"/>
        <name val="Calibri"/>
        <family val="2"/>
        <scheme val="minor"/>
      </font>
      <numFmt numFmtId="164" formatCode="&quot;$&quot;#,##0"/>
      <fill>
        <patternFill patternType="none">
          <fgColor indexed="64"/>
          <bgColor indexed="65"/>
        </patternFill>
      </fill>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dxf>
    <dxf>
      <border outline="0">
        <left style="medium">
          <color indexed="64"/>
        </left>
        <top style="medium">
          <color indexed="64"/>
        </top>
        <bottom style="medium">
          <color indexed="64"/>
        </bottom>
      </border>
    </dxf>
    <dxf>
      <font>
        <b/>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dxf>
    <dxf>
      <border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11"/>
        <color theme="1"/>
        <name val="Calibri"/>
        <family val="2"/>
        <scheme val="minor"/>
      </font>
    </dxf>
    <dxf>
      <font>
        <b val="0"/>
        <i val="0"/>
        <strike val="0"/>
        <condense val="0"/>
        <extend val="0"/>
        <outline val="0"/>
        <shadow val="0"/>
        <u/>
        <vertAlign val="baseline"/>
        <sz val="11"/>
        <color theme="10"/>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alignment horizontal="right"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dxf>
    <dxf>
      <font>
        <b/>
        <i val="0"/>
        <strike val="0"/>
        <condense val="0"/>
        <extend val="0"/>
        <outline val="0"/>
        <shadow val="0"/>
        <u val="none"/>
        <vertAlign val="baseline"/>
        <sz val="11"/>
        <color theme="1"/>
        <name val="Calibri"/>
        <family val="2"/>
        <scheme val="minor"/>
      </font>
    </dxf>
    <dxf>
      <border outline="0">
        <left style="medium">
          <color indexed="64"/>
        </left>
        <top style="medium">
          <color indexed="64"/>
        </top>
        <bottom style="medium">
          <color indexed="64"/>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bottom" textRotation="0" wrapText="0" indent="0" justifyLastLine="0" shrinkToFit="0" readingOrder="0"/>
    </dxf>
    <dxf>
      <numFmt numFmtId="166" formatCode="&quot;$&quot;#,##0.00"/>
    </dxf>
    <dxf>
      <numFmt numFmtId="166" formatCode="&quot;$&quot;#,##0.00"/>
    </dxf>
    <dxf>
      <numFmt numFmtId="166" formatCode="&quot;$&quot;#,##0.00"/>
    </dxf>
    <dxf>
      <numFmt numFmtId="166" formatCode="&quot;$&quot;#,##0.00"/>
      <border diagonalUp="0" diagonalDown="0">
        <left style="thin">
          <color indexed="64"/>
        </left>
        <right/>
        <top/>
        <bottom/>
        <vertical/>
        <horizontal/>
      </border>
    </dxf>
    <dxf>
      <numFmt numFmtId="164" formatCode="&quot;$&quot;#,##0"/>
      <border diagonalUp="0" diagonalDown="0">
        <left/>
        <right style="thin">
          <color indexed="64"/>
        </right>
        <top/>
        <bottom/>
        <vertical/>
        <horizontal/>
      </border>
    </dxf>
    <dxf>
      <numFmt numFmtId="164" formatCode="&quot;$&quot;#,##0"/>
    </dxf>
    <dxf>
      <numFmt numFmtId="164" formatCode="&quot;$&quot;#,##0"/>
    </dxf>
    <dxf>
      <numFmt numFmtId="164" formatCode="&quot;$&quot;#,##0"/>
      <border diagonalUp="0" diagonalDown="0">
        <left style="thin">
          <color indexed="64"/>
        </left>
        <right/>
        <top/>
        <bottom/>
        <vertical/>
        <horizontal/>
      </border>
    </dxf>
    <dxf>
      <alignment horizontal="left" vertical="bottom" textRotation="0" wrapText="0" indent="1" justifyLastLine="0" shrinkToFit="0" readingOrder="0"/>
      <border diagonalUp="0" diagonalDown="0">
        <left/>
        <right style="thin">
          <color indexed="64"/>
        </right>
        <top/>
        <bottom/>
        <vertical/>
        <horizontal/>
      </border>
    </dxf>
    <dxf>
      <border outline="0">
        <left style="medium">
          <color indexed="64"/>
        </left>
        <right style="medium">
          <color indexed="64"/>
        </right>
        <bottom style="thin">
          <color indexed="64"/>
        </bottom>
      </border>
    </dxf>
    <dxf>
      <font>
        <b/>
        <i val="0"/>
        <strike val="0"/>
        <condense val="0"/>
        <extend val="0"/>
        <outline val="0"/>
        <shadow val="0"/>
        <u val="none"/>
        <vertAlign val="baseline"/>
        <sz val="11"/>
        <color theme="1"/>
        <name val="Calibri"/>
        <family val="2"/>
        <scheme val="minor"/>
      </font>
      <fill>
        <patternFill patternType="solid">
          <fgColor indexed="64"/>
          <bgColor theme="0" tint="-0.14999847407452621"/>
        </patternFill>
      </fill>
      <alignment horizontal="center" vertical="bottom" textRotation="0" wrapText="1" indent="0" justifyLastLine="0" shrinkToFit="0" readingOrder="0"/>
      <border diagonalUp="0" diagonalDown="0" outline="0">
        <left style="thin">
          <color indexed="64"/>
        </left>
        <right style="thin">
          <color indexed="64"/>
        </right>
        <top/>
        <bottom/>
      </border>
    </dxf>
    <dxf>
      <numFmt numFmtId="166" formatCode="&quot;$&quot;#,##0.00"/>
    </dxf>
    <dxf>
      <font>
        <b val="0"/>
        <i val="0"/>
        <strike val="0"/>
        <condense val="0"/>
        <extend val="0"/>
        <outline val="0"/>
        <shadow val="0"/>
        <u val="none"/>
        <vertAlign val="baseline"/>
        <sz val="11"/>
        <color auto="1"/>
        <name val="Calibri"/>
        <family val="2"/>
        <scheme val="minor"/>
      </font>
    </dxf>
    <dxf>
      <border outline="0">
        <left style="medium">
          <color indexed="64"/>
        </left>
        <bottom style="medium">
          <color indexed="64"/>
        </bottom>
      </border>
    </dxf>
    <dxf>
      <alignment vertical="top" textRotation="0" indent="0" justifyLastLine="0" shrinkToFit="0" readingOrder="0"/>
    </dxf>
    <dxf>
      <alignment vertical="top" textRotation="0" indent="0" justifyLastLine="0" shrinkToFit="0" readingOrder="0"/>
    </dxf>
    <dxf>
      <border outline="0">
        <left style="medium">
          <color indexed="64"/>
        </left>
        <right style="medium">
          <color indexed="64"/>
        </right>
        <top style="medium">
          <color indexed="64"/>
        </top>
        <bottom style="medium">
          <color indexed="64"/>
        </bottom>
      </border>
    </dxf>
    <dxf>
      <alignment vertical="top" textRotation="0" indent="0" justifyLastLine="0" shrinkToFit="0" readingOrder="0"/>
    </dxf>
    <dxf>
      <numFmt numFmtId="3" formatCode="#,##0"/>
      <fill>
        <patternFill patternType="solid">
          <fgColor indexed="64"/>
          <bgColor theme="0"/>
        </patternFill>
      </fill>
      <alignment horizontal="right" vertical="bottom" textRotation="0" wrapText="0" indent="0" justifyLastLine="0" shrinkToFit="0" readingOrder="0"/>
      <border diagonalUp="0" diagonalDown="0">
        <left style="thin">
          <color indexed="64"/>
        </left>
        <right/>
        <top style="thin">
          <color indexed="64"/>
        </top>
        <bottom style="thin">
          <color indexed="64"/>
        </bottom>
        <vertical/>
        <horizontal/>
      </border>
    </dxf>
    <dxf>
      <numFmt numFmtId="3" formatCode="#,##0"/>
      <fill>
        <patternFill patternType="solid">
          <fgColor indexed="64"/>
          <bgColor theme="0"/>
        </patternFill>
      </fill>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3" formatCode="#,##0"/>
      <fill>
        <patternFill patternType="solid">
          <fgColor indexed="64"/>
          <bgColor theme="0"/>
        </patternFill>
      </fill>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3" formatCode="#,##0"/>
      <fill>
        <patternFill patternType="solid">
          <fgColor indexed="64"/>
          <bgColor theme="0"/>
        </patternFill>
      </fill>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ill>
        <patternFill patternType="solid">
          <fgColor indexed="64"/>
          <bgColor theme="0"/>
        </patternFill>
      </fill>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fill>
        <patternFill patternType="solid">
          <fgColor indexed="64"/>
          <bgColor theme="0"/>
        </patternFill>
      </fill>
      <alignment horizontal="right" vertical="bottom" textRotation="0" wrapText="0" indent="0" justifyLastLine="0" shrinkToFit="0" readingOrder="0"/>
    </dxf>
    <dxf>
      <font>
        <b/>
        <i val="0"/>
        <strike val="0"/>
        <condense val="0"/>
        <extend val="0"/>
        <outline val="0"/>
        <shadow val="0"/>
        <u val="none"/>
        <vertAlign val="baseline"/>
        <sz val="11"/>
        <color theme="1"/>
        <name val="Calibri"/>
        <family val="2"/>
        <scheme val="minor"/>
      </font>
      <fill>
        <patternFill patternType="solid">
          <fgColor indexed="64"/>
          <bgColor theme="0" tint="-0.14999847407452621"/>
        </patternFill>
      </fill>
      <alignment horizontal="center"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Calibri"/>
        <family val="2"/>
        <scheme val="minor"/>
      </font>
      <numFmt numFmtId="3" formatCode="#,##0"/>
      <alignment horizontal="center" vertical="center" textRotation="0" wrapText="0" indent="0" justifyLastLine="0" shrinkToFit="0" readingOrder="0"/>
      <border diagonalUp="0" diagonalDown="0">
        <left/>
        <right/>
        <top/>
        <bottom style="medium">
          <color indexed="64"/>
        </bottom>
        <vertical/>
        <horizontal/>
      </border>
    </dxf>
    <dxf>
      <font>
        <b val="0"/>
        <i val="0"/>
        <strike val="0"/>
        <condense val="0"/>
        <extend val="0"/>
        <outline val="0"/>
        <shadow val="0"/>
        <u val="none"/>
        <vertAlign val="baseline"/>
        <sz val="12"/>
        <color theme="1"/>
        <name val="Calibri"/>
        <family val="2"/>
        <scheme val="minor"/>
      </font>
      <alignment horizontal="center" vertical="center" textRotation="0" wrapText="0" indent="0" justifyLastLine="0" shrinkToFit="0" readingOrder="0"/>
      <border diagonalUp="0" diagonalDown="0">
        <left/>
        <right style="medium">
          <color indexed="64"/>
        </right>
        <top/>
        <bottom style="medium">
          <color indexed="64"/>
        </bottom>
        <vertical/>
        <horizontal/>
      </border>
    </dxf>
    <dxf>
      <font>
        <b val="0"/>
        <i val="0"/>
        <strike val="0"/>
        <condense val="0"/>
        <extend val="0"/>
        <outline val="0"/>
        <shadow val="0"/>
        <u val="none"/>
        <vertAlign val="baseline"/>
        <sz val="12"/>
        <color theme="1"/>
        <name val="Calibri"/>
        <family val="2"/>
        <scheme val="minor"/>
      </font>
      <alignment horizontal="center" vertical="center" textRotation="0" wrapText="0" indent="0" justifyLastLine="0" shrinkToFit="0" readingOrder="0"/>
      <border diagonalUp="0" diagonalDown="0">
        <left/>
        <right style="medium">
          <color indexed="64"/>
        </right>
        <top/>
        <bottom style="medium">
          <color indexed="64"/>
        </bottom>
        <vertical/>
        <horizontal/>
      </border>
    </dxf>
    <dxf>
      <font>
        <b val="0"/>
        <i val="0"/>
        <strike val="0"/>
        <condense val="0"/>
        <extend val="0"/>
        <outline val="0"/>
        <shadow val="0"/>
        <u val="none"/>
        <vertAlign val="baseline"/>
        <sz val="12"/>
        <color theme="1"/>
        <name val="Calibri"/>
        <family val="2"/>
        <scheme val="minor"/>
      </font>
      <alignment horizontal="center" vertical="center" textRotation="0" wrapText="0" indent="0" justifyLastLine="0" shrinkToFit="0" readingOrder="0"/>
      <border diagonalUp="0" diagonalDown="0">
        <left/>
        <right style="medium">
          <color indexed="64"/>
        </right>
        <top/>
        <bottom style="medium">
          <color indexed="64"/>
        </bottom>
        <vertical/>
        <horizontal/>
      </border>
    </dxf>
    <dxf>
      <font>
        <b val="0"/>
        <i val="0"/>
        <strike val="0"/>
        <condense val="0"/>
        <extend val="0"/>
        <outline val="0"/>
        <shadow val="0"/>
        <u val="none"/>
        <vertAlign val="baseline"/>
        <sz val="12"/>
        <color theme="1"/>
        <name val="Calibri"/>
        <family val="2"/>
        <scheme val="minor"/>
      </font>
      <alignment horizontal="center" vertical="center" textRotation="0" wrapText="0" indent="0" justifyLastLine="0" shrinkToFit="0" readingOrder="0"/>
      <border diagonalUp="0" diagonalDown="0">
        <left/>
        <right style="medium">
          <color indexed="64"/>
        </right>
        <top/>
        <bottom style="medium">
          <color indexed="64"/>
        </bottom>
        <vertical/>
        <horizontal/>
      </border>
    </dxf>
    <dxf>
      <font>
        <b val="0"/>
        <i val="0"/>
        <strike val="0"/>
        <condense val="0"/>
        <extend val="0"/>
        <outline val="0"/>
        <shadow val="0"/>
        <u val="none"/>
        <vertAlign val="baseline"/>
        <sz val="12"/>
        <color theme="1"/>
        <name val="Calibri"/>
        <family val="2"/>
        <scheme val="minor"/>
      </font>
      <alignment horizontal="center" vertical="center" textRotation="0" wrapText="0" indent="0" justifyLastLine="0" shrinkToFit="0" readingOrder="0"/>
      <border diagonalUp="0" diagonalDown="0">
        <left/>
        <right style="medium">
          <color indexed="64"/>
        </right>
        <top/>
        <bottom style="medium">
          <color indexed="64"/>
        </bottom>
        <vertical/>
        <horizontal/>
      </border>
    </dxf>
    <dxf>
      <font>
        <b val="0"/>
        <i val="0"/>
        <strike val="0"/>
        <condense val="0"/>
        <extend val="0"/>
        <outline val="0"/>
        <shadow val="0"/>
        <u val="none"/>
        <vertAlign val="baseline"/>
        <sz val="12"/>
        <color theme="1"/>
        <name val="Calibri"/>
        <family val="2"/>
        <scheme val="minor"/>
      </font>
      <fill>
        <patternFill patternType="solid">
          <fgColor indexed="64"/>
          <bgColor theme="0" tint="-4.9989318521683403E-2"/>
        </patternFill>
      </fill>
      <alignment horizontal="center" vertical="center" textRotation="0" wrapText="0" indent="0" justifyLastLine="0" shrinkToFit="0" readingOrder="0"/>
      <border diagonalUp="0" diagonalDown="0">
        <left style="double">
          <color indexed="64"/>
        </left>
        <right style="double">
          <color indexed="64"/>
        </right>
        <top/>
        <bottom style="medium">
          <color indexed="64"/>
        </bottom>
        <vertical/>
        <horizontal/>
      </border>
    </dxf>
    <dxf>
      <font>
        <b/>
        <i val="0"/>
        <strike val="0"/>
        <condense val="0"/>
        <extend val="0"/>
        <outline val="0"/>
        <shadow val="0"/>
        <u val="none"/>
        <vertAlign val="baseline"/>
        <sz val="12"/>
        <color theme="1"/>
        <name val="Calibri"/>
        <family val="2"/>
        <scheme val="minor"/>
      </font>
      <alignment horizontal="general" vertical="center" textRotation="0" wrapText="0" indent="0" justifyLastLine="0" shrinkToFit="0" readingOrder="0"/>
      <border diagonalUp="0" diagonalDown="0">
        <left style="double">
          <color indexed="64"/>
        </left>
        <right style="medium">
          <color indexed="64"/>
        </right>
        <top/>
        <bottom style="medium">
          <color indexed="64"/>
        </bottom>
        <vertical/>
        <horizontal/>
      </border>
    </dxf>
    <dxf>
      <font>
        <b/>
        <i val="0"/>
        <strike val="0"/>
        <condense val="0"/>
        <extend val="0"/>
        <outline val="0"/>
        <shadow val="0"/>
        <u val="none"/>
        <vertAlign val="baseline"/>
        <sz val="12"/>
        <color theme="1"/>
        <name val="Calibri"/>
        <family val="2"/>
        <scheme val="minor"/>
      </font>
      <alignment horizontal="general" vertical="center" textRotation="0" wrapText="0" indent="0" justifyLastLine="0" shrinkToFit="0" readingOrder="0"/>
      <border diagonalUp="0" diagonalDown="0">
        <left style="double">
          <color indexed="64"/>
        </left>
        <right style="medium">
          <color indexed="64"/>
        </right>
        <top/>
        <bottom style="medium">
          <color indexed="64"/>
        </bottom>
        <vertical/>
        <horizontal/>
      </border>
    </dxf>
    <dxf>
      <border outline="0">
        <right style="double">
          <color indexed="64"/>
        </right>
      </border>
    </dxf>
    <dxf>
      <font>
        <b val="0"/>
        <i val="0"/>
        <strike val="0"/>
        <condense val="0"/>
        <extend val="0"/>
        <outline val="0"/>
        <shadow val="0"/>
        <u val="none"/>
        <vertAlign val="baseline"/>
        <sz val="12"/>
        <color theme="1"/>
        <name val="Calibri"/>
        <family val="2"/>
        <scheme val="minor"/>
      </font>
      <alignment horizontal="center" vertical="center" textRotation="0" wrapText="0" indent="0" justifyLastLine="0" shrinkToFit="0" readingOrder="0"/>
    </dxf>
    <dxf>
      <border outline="0">
        <bottom style="medium">
          <color indexed="64"/>
        </bottom>
      </border>
    </dxf>
    <dxf>
      <font>
        <b/>
        <i val="0"/>
        <strike val="0"/>
        <condense val="0"/>
        <extend val="0"/>
        <outline val="0"/>
        <shadow val="0"/>
        <u val="none"/>
        <vertAlign val="baseline"/>
        <sz val="12"/>
        <color theme="1"/>
        <name val="Calibri"/>
        <family val="2"/>
        <scheme val="minor"/>
      </font>
      <fill>
        <patternFill patternType="solid">
          <fgColor indexed="64"/>
          <bgColor rgb="FFD9D9D9"/>
        </patternFill>
      </fill>
      <alignment horizontal="center" vertical="center" textRotation="0" wrapText="1" indent="0" justifyLastLine="0" shrinkToFit="0" readingOrder="0"/>
    </dxf>
    <dxf>
      <font>
        <b val="0"/>
        <i val="0"/>
        <strike val="0"/>
        <condense val="0"/>
        <extend val="0"/>
        <outline val="0"/>
        <shadow val="0"/>
        <u val="none"/>
        <vertAlign val="baseline"/>
        <sz val="11"/>
        <color theme="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theme="1"/>
        <name val="Arial"/>
        <family val="2"/>
        <scheme val="none"/>
      </font>
      <fill>
        <patternFill patternType="solid">
          <fgColor indexed="64"/>
          <bgColor theme="0" tint="-0.14999847407452621"/>
        </patternFill>
      </fill>
      <border diagonalUp="0" diagonalDown="0" outline="0">
        <left style="thin">
          <color indexed="64"/>
        </left>
        <right style="thin">
          <color indexed="64"/>
        </right>
        <top/>
        <bottom/>
      </border>
    </dxf>
    <dxf>
      <font>
        <color rgb="FFFF0000"/>
      </font>
    </dxf>
    <dxf>
      <font>
        <color rgb="FFFF0000"/>
      </font>
    </dxf>
    <dxf>
      <font>
        <color rgb="FFFF0000"/>
      </font>
    </dxf>
    <dxf>
      <font>
        <b val="0"/>
        <i val="0"/>
        <strike val="0"/>
        <condense val="0"/>
        <extend val="0"/>
        <outline val="0"/>
        <shadow val="0"/>
        <u val="none"/>
        <vertAlign val="baseline"/>
        <sz val="11"/>
        <color theme="1"/>
        <name val="Arial"/>
        <family val="2"/>
        <scheme val="none"/>
      </font>
      <numFmt numFmtId="3" formatCode="#,##0"/>
      <fill>
        <patternFill patternType="none">
          <fgColor indexed="64"/>
          <bgColor indexed="65"/>
        </patternFill>
      </fill>
      <alignment horizontal="right"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numFmt numFmtId="3" formatCode="#,##0"/>
      <fill>
        <patternFill patternType="none">
          <fgColor indexed="64"/>
          <bgColor indexed="65"/>
        </patternFill>
      </fill>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numFmt numFmtId="3" formatCode="#,##0"/>
      <fill>
        <patternFill patternType="none">
          <fgColor indexed="64"/>
          <bgColor indexed="65"/>
        </patternFill>
      </fill>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numFmt numFmtId="165" formatCode="#,##0.0"/>
      <fill>
        <patternFill patternType="none">
          <fgColor indexed="64"/>
          <bgColor indexed="65"/>
        </patternFill>
      </fill>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numFmt numFmtId="165" formatCode="#,##0.0"/>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numFmt numFmtId="3" formatCode="#,##0"/>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fill>
        <patternFill patternType="none">
          <fgColor indexed="64"/>
          <bgColor indexed="65"/>
        </patternFill>
      </fill>
      <alignment horizontal="righ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Arial"/>
        <family val="2"/>
        <scheme val="none"/>
      </font>
      <fill>
        <patternFill patternType="solid">
          <fgColor indexed="64"/>
          <bgColor theme="0" tint="-0.14999847407452621"/>
        </patternFill>
      </fill>
      <alignment horizontal="center" vertical="bottom"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1"/>
        <color theme="1"/>
        <name val="Arial"/>
        <family val="2"/>
        <scheme val="none"/>
      </font>
      <border diagonalUp="0" diagonalDown="0">
        <left/>
        <right/>
        <top style="thin">
          <color indexed="64"/>
        </top>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1"/>
        <color theme="0"/>
        <name val="Arial"/>
        <family val="2"/>
        <scheme val="none"/>
      </font>
      <numFmt numFmtId="3" formatCode="#,##0"/>
      <fill>
        <patternFill patternType="none">
          <fgColor indexed="64"/>
          <bgColor indexed="65"/>
        </patternFill>
      </fill>
      <border diagonalUp="0" diagonalDown="0">
        <left style="thin">
          <color indexed="64"/>
        </left>
        <right style="medium">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numFmt numFmtId="3" formatCode="#,##0"/>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numFmt numFmtId="3" formatCode="#,##0"/>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1"/>
        <color theme="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val="0"/>
        <i val="0"/>
        <strike val="0"/>
        <condense val="0"/>
        <extend val="0"/>
        <outline val="0"/>
        <shadow val="0"/>
        <u val="none"/>
        <vertAlign val="baseline"/>
        <sz val="11"/>
        <color theme="1"/>
        <name val="Arial"/>
        <family val="2"/>
        <scheme val="none"/>
      </font>
      <numFmt numFmtId="166" formatCode="&quot;$&quot;#,##0.00"/>
      <fill>
        <patternFill patternType="solid">
          <fgColor indexed="64"/>
          <bgColor rgb="FFFFFF99"/>
        </patternFill>
      </fill>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fill>
        <patternFill patternType="solid">
          <fgColor indexed="64"/>
          <bgColor rgb="FFFFFF99"/>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numFmt numFmtId="164" formatCode="&quot;$&quot;#,##0"/>
      <fill>
        <patternFill patternType="solid">
          <fgColor indexed="64"/>
          <bgColor rgb="FFCCFFCC"/>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fill>
        <patternFill patternType="solid">
          <fgColor indexed="64"/>
          <bgColor rgb="FFCCFFCC"/>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fill>
        <patternFill patternType="solid">
          <fgColor indexed="64"/>
          <bgColor rgb="FFCCFFCC"/>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fill>
        <patternFill patternType="solid">
          <fgColor indexed="64"/>
          <bgColor rgb="FFCCFFCC"/>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numFmt numFmtId="2" formatCode="0.00"/>
      <fill>
        <patternFill patternType="solid">
          <fgColor indexed="64"/>
          <bgColor rgb="FFCCFFCC"/>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fill>
        <patternFill patternType="solid">
          <fgColor indexed="64"/>
          <bgColor rgb="FFCCFFCC"/>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numFmt numFmtId="164" formatCode="&quot;$&quot;#,##0"/>
      <fill>
        <patternFill patternType="solid">
          <fgColor indexed="64"/>
          <bgColor rgb="FFCCFFCC"/>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1"/>
        <color theme="1"/>
        <name val="Arial"/>
        <family val="2"/>
        <scheme val="none"/>
      </font>
      <fill>
        <patternFill patternType="solid">
          <fgColor indexed="64"/>
          <bgColor theme="0" tint="-0.14999847407452621"/>
        </patternFill>
      </fill>
      <alignment horizontal="center" vertical="bottom" textRotation="0" wrapText="1" indent="0" justifyLastLine="0" shrinkToFit="0" readingOrder="0"/>
      <border diagonalUp="0" diagonalDown="0" outline="0">
        <left style="thin">
          <color indexed="64"/>
        </left>
        <right style="thin">
          <color indexed="64"/>
        </right>
        <top/>
        <bottom/>
      </border>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CCFFCC"/>
        </patternFill>
      </fill>
    </dxf>
    <dxf>
      <font>
        <color rgb="FFFF0000"/>
      </font>
    </dxf>
    <dxf>
      <font>
        <b val="0"/>
        <i val="0"/>
        <strike val="0"/>
        <condense val="0"/>
        <extend val="0"/>
        <outline val="0"/>
        <shadow val="0"/>
        <u val="none"/>
        <vertAlign val="baseline"/>
        <sz val="11"/>
        <color theme="1"/>
        <name val="Arial"/>
        <family val="2"/>
        <scheme val="none"/>
      </font>
      <numFmt numFmtId="12" formatCode="&quot;$&quot;#,##0.00_);[Red]\(&quot;$&quot;#,##0.00\)"/>
      <fill>
        <patternFill patternType="solid">
          <fgColor indexed="64"/>
          <bgColor rgb="FFCCFFCC"/>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numFmt numFmtId="12" formatCode="&quot;$&quot;#,##0.00_);[Red]\(&quot;$&quot;#,##0.00\)"/>
      <fill>
        <patternFill patternType="solid">
          <fgColor indexed="64"/>
          <bgColor rgb="FFCCFFCC"/>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numFmt numFmtId="0" formatCode="General"/>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numFmt numFmtId="1" formatCode="0"/>
      <fill>
        <patternFill patternType="solid">
          <fgColor indexed="64"/>
          <bgColor rgb="FFCCFFCC"/>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numFmt numFmtId="12" formatCode="&quot;$&quot;#,##0.00_);[Red]\(&quot;$&quot;#,##0.00\)"/>
      <fill>
        <patternFill patternType="solid">
          <fgColor indexed="64"/>
          <bgColor theme="0" tint="-0.14999847407452621"/>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fill>
        <patternFill patternType="solid">
          <fgColor indexed="64"/>
          <bgColor rgb="FFFFFF99"/>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fill>
        <patternFill patternType="solid">
          <fgColor indexed="64"/>
          <bgColor rgb="FFFFFF99"/>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fill>
        <patternFill patternType="solid">
          <fgColor indexed="64"/>
          <bgColor rgb="FFFFFF99"/>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numFmt numFmtId="3" formatCode="#,##0"/>
      <fill>
        <patternFill patternType="solid">
          <fgColor indexed="64"/>
          <bgColor rgb="FFFFFF99"/>
        </patternFill>
      </fill>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fill>
        <patternFill patternType="solid">
          <fgColor indexed="64"/>
          <bgColor rgb="FFCCFFCC"/>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1"/>
        <color theme="1"/>
        <name val="Arial"/>
        <family val="2"/>
        <scheme val="none"/>
      </font>
      <fill>
        <patternFill patternType="solid">
          <fgColor indexed="64"/>
          <bgColor rgb="FFCCFFCC"/>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fill>
        <patternFill patternType="solid">
          <fgColor indexed="64"/>
          <bgColor rgb="FFFFFF99"/>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fill>
        <patternFill patternType="solid">
          <fgColor indexed="64"/>
          <bgColor rgb="FFFFFF99"/>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fill>
        <patternFill patternType="solid">
          <fgColor indexed="64"/>
          <bgColor rgb="FFFFFF99"/>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fill>
        <patternFill patternType="solid">
          <fgColor indexed="64"/>
          <bgColor rgb="FFFFFF99"/>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fill>
        <patternFill patternType="solid">
          <fgColor indexed="64"/>
          <bgColor rgb="FFCCFFCC"/>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fill>
        <patternFill patternType="solid">
          <fgColor indexed="64"/>
          <bgColor rgb="FFCCFFCC"/>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fill>
        <patternFill patternType="solid">
          <fgColor indexed="64"/>
          <bgColor rgb="FFCCFFCC"/>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fill>
        <patternFill patternType="solid">
          <fgColor indexed="64"/>
          <bgColor rgb="FFCCFFCC"/>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fill>
        <patternFill patternType="solid">
          <fgColor indexed="64"/>
          <bgColor rgb="FFCCFFCC"/>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fill>
        <patternFill patternType="solid">
          <fgColor indexed="64"/>
          <bgColor rgb="FFCCFFCC"/>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fill>
        <patternFill patternType="solid">
          <fgColor indexed="64"/>
          <bgColor rgb="FFCCFFCC"/>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fill>
        <patternFill patternType="solid">
          <fgColor indexed="64"/>
          <bgColor rgb="FFCCFFCC"/>
        </patternFill>
      </fill>
      <border diagonalUp="0" diagonalDown="0">
        <left style="thin">
          <color indexed="64"/>
        </left>
        <right style="thin">
          <color indexed="64"/>
        </right>
        <top style="thin">
          <color indexed="64"/>
        </top>
        <bottom style="thin">
          <color indexed="64"/>
        </bottom>
        <vertical/>
        <horizontal/>
      </border>
    </dxf>
    <dxf>
      <border outline="0">
        <top style="thin">
          <color indexed="64"/>
        </top>
        <bottom style="thin">
          <color indexed="64"/>
        </bottom>
      </border>
    </dxf>
    <dxf>
      <font>
        <b val="0"/>
        <i val="0"/>
        <strike val="0"/>
        <condense val="0"/>
        <extend val="0"/>
        <outline val="0"/>
        <shadow val="0"/>
        <u val="none"/>
        <vertAlign val="baseline"/>
        <sz val="11"/>
        <color theme="1"/>
        <name val="Arial"/>
        <family val="2"/>
        <scheme val="none"/>
      </font>
      <fill>
        <patternFill patternType="solid">
          <fgColor indexed="64"/>
          <bgColor rgb="FFCCFFCC"/>
        </patternFill>
      </fill>
    </dxf>
    <dxf>
      <border outline="0">
        <bottom style="thin">
          <color indexed="64"/>
        </bottom>
      </border>
    </dxf>
    <dxf>
      <font>
        <b/>
        <i val="0"/>
        <strike val="0"/>
        <condense val="0"/>
        <extend val="0"/>
        <outline val="0"/>
        <shadow val="0"/>
        <u val="none"/>
        <vertAlign val="baseline"/>
        <sz val="11"/>
        <color theme="1"/>
        <name val="Arial"/>
        <family val="2"/>
        <scheme val="none"/>
      </font>
      <fill>
        <patternFill patternType="solid">
          <fgColor indexed="64"/>
          <bgColor theme="0" tint="-0.14999847407452621"/>
        </patternFill>
      </fill>
      <alignment horizontal="center" vertical="bottom" textRotation="0" wrapText="1" indent="0" justifyLastLine="0" shrinkToFit="0" readingOrder="0"/>
      <border diagonalUp="0" diagonalDown="0" outline="0">
        <left style="thin">
          <color indexed="64"/>
        </left>
        <right style="thin">
          <color indexed="64"/>
        </right>
        <top/>
        <bottom/>
      </border>
    </dxf>
    <dxf>
      <fill>
        <patternFill>
          <bgColor theme="0" tint="-0.14996795556505021"/>
        </patternFill>
      </fill>
    </dxf>
    <dxf>
      <fill>
        <patternFill>
          <bgColor theme="0" tint="-0.14996795556505021"/>
        </patternFill>
      </fill>
    </dxf>
    <dxf>
      <fill>
        <patternFill>
          <bgColor rgb="FFCCFFCC"/>
        </patternFill>
      </fill>
    </dxf>
    <dxf>
      <fill>
        <patternFill>
          <bgColor theme="0" tint="-0.14996795556505021"/>
        </patternFill>
      </fill>
    </dxf>
    <dxf>
      <fill>
        <patternFill>
          <bgColor rgb="FFCCFFCC"/>
        </patternFill>
      </fill>
    </dxf>
    <dxf>
      <fill>
        <patternFill>
          <bgColor theme="1"/>
        </patternFill>
      </fill>
    </dxf>
    <dxf>
      <fill>
        <patternFill>
          <bgColor rgb="FFCCFFCC"/>
        </patternFill>
      </fill>
    </dxf>
    <dxf>
      <fill>
        <patternFill>
          <bgColor theme="0" tint="-0.14996795556505021"/>
        </patternFill>
      </fill>
    </dxf>
    <dxf>
      <fill>
        <patternFill>
          <bgColor rgb="FFCCFFCC"/>
        </patternFill>
      </fill>
    </dxf>
    <dxf>
      <fill>
        <patternFill>
          <bgColor theme="1"/>
        </patternFill>
      </fill>
    </dxf>
    <dxf>
      <fill>
        <patternFill>
          <bgColor rgb="FFCCFFCC"/>
        </patternFill>
      </fill>
    </dxf>
    <dxf>
      <fill>
        <patternFill>
          <bgColor theme="0" tint="-0.14996795556505021"/>
        </patternFill>
      </fill>
    </dxf>
    <dxf>
      <fill>
        <patternFill>
          <bgColor rgb="FFCCFFCC"/>
        </patternFill>
      </fill>
    </dxf>
    <dxf>
      <fill>
        <patternFill>
          <bgColor theme="1"/>
        </patternFill>
      </fill>
    </dxf>
    <dxf>
      <font>
        <b val="0"/>
        <i val="0"/>
        <strike val="0"/>
        <condense val="0"/>
        <extend val="0"/>
        <outline val="0"/>
        <shadow val="0"/>
        <u val="none"/>
        <vertAlign val="baseline"/>
        <sz val="11"/>
        <color theme="1"/>
        <name val="Arial"/>
        <family val="2"/>
        <scheme val="none"/>
      </font>
      <numFmt numFmtId="0" formatCode="General"/>
      <fill>
        <patternFill patternType="solid">
          <fgColor indexed="64"/>
          <bgColor rgb="FFFFFF99"/>
        </patternFill>
      </fill>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fill>
        <patternFill patternType="solid">
          <fgColor indexed="64"/>
          <bgColor rgb="FFFFFF99"/>
        </patternFill>
      </fill>
      <alignment horizontal="right"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numFmt numFmtId="0" formatCode="General"/>
      <fill>
        <patternFill patternType="solid">
          <fgColor indexed="64"/>
          <bgColor rgb="FFFFFF99"/>
        </patternFill>
      </fill>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numFmt numFmtId="1" formatCode="0"/>
      <fill>
        <patternFill patternType="solid">
          <fgColor indexed="64"/>
          <bgColor rgb="FFFFFF99"/>
        </patternFill>
      </fill>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numFmt numFmtId="0" formatCode="General"/>
      <fill>
        <patternFill patternType="solid">
          <fgColor indexed="64"/>
          <bgColor rgb="FFFFFF99"/>
        </patternFill>
      </fill>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numFmt numFmtId="167" formatCode="0.0"/>
      <fill>
        <patternFill patternType="solid">
          <fgColor indexed="64"/>
          <bgColor rgb="FFCCFFCC"/>
        </patternFill>
      </fill>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numFmt numFmtId="0" formatCode="General"/>
      <fill>
        <patternFill patternType="solid">
          <fgColor indexed="64"/>
          <bgColor rgb="FFFFFF99"/>
        </patternFill>
      </fill>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numFmt numFmtId="1" formatCode="0"/>
      <fill>
        <patternFill patternType="solid">
          <fgColor indexed="64"/>
          <bgColor rgb="FFFFFF99"/>
        </patternFill>
      </fill>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numFmt numFmtId="0" formatCode="General"/>
      <fill>
        <patternFill patternType="solid">
          <fgColor indexed="64"/>
          <bgColor rgb="FFFFFF99"/>
        </patternFill>
      </fill>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numFmt numFmtId="1" formatCode="0"/>
      <fill>
        <patternFill patternType="solid">
          <fgColor indexed="64"/>
          <bgColor rgb="FFFFFF99"/>
        </patternFill>
      </fill>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numFmt numFmtId="0" formatCode="General"/>
      <fill>
        <patternFill patternType="solid">
          <fgColor indexed="64"/>
          <bgColor rgb="FFFFFF99"/>
        </patternFill>
      </fill>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numFmt numFmtId="0" formatCode="General"/>
      <fill>
        <patternFill patternType="solid">
          <fgColor indexed="64"/>
          <bgColor rgb="FFFFFF99"/>
        </patternFill>
      </fill>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numFmt numFmtId="0" formatCode="General"/>
      <fill>
        <patternFill patternType="solid">
          <fgColor indexed="64"/>
          <bgColor rgb="FFFFFF99"/>
        </patternFill>
      </fill>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numFmt numFmtId="0" formatCode="General"/>
      <fill>
        <patternFill patternType="solid">
          <fgColor indexed="64"/>
          <bgColor rgb="FFFFFF99"/>
        </patternFill>
      </fill>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numFmt numFmtId="0" formatCode="General"/>
      <fill>
        <patternFill patternType="solid">
          <fgColor indexed="64"/>
          <bgColor rgb="FFFFFF99"/>
        </patternFill>
      </fill>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numFmt numFmtId="169" formatCode="[$-409]d\-mmm;@"/>
      <fill>
        <patternFill patternType="solid">
          <fgColor indexed="64"/>
          <bgColor rgb="FFFFFF99"/>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numFmt numFmtId="0" formatCode="General"/>
      <fill>
        <patternFill patternType="solid">
          <fgColor indexed="64"/>
          <bgColor rgb="FFFFFF99"/>
        </patternFill>
      </fill>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numFmt numFmtId="169" formatCode="[$-409]d\-mmm;@"/>
      <fill>
        <patternFill patternType="solid">
          <fgColor indexed="64"/>
          <bgColor rgb="FFFFFF99"/>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numFmt numFmtId="1" formatCode="0"/>
      <fill>
        <patternFill patternType="solid">
          <fgColor indexed="64"/>
          <bgColor rgb="FFCCFFCC"/>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fill>
        <patternFill patternType="solid">
          <fgColor indexed="64"/>
          <bgColor rgb="FFCCFFCC"/>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theme="1"/>
        <name val="Arial"/>
        <family val="2"/>
        <scheme val="none"/>
      </font>
      <fill>
        <patternFill patternType="solid">
          <fgColor indexed="64"/>
          <bgColor theme="0" tint="-0.14999847407452621"/>
        </patternFill>
      </fill>
      <alignment horizontal="center" vertical="bottom" textRotation="0" wrapText="1" indent="0" justifyLastLine="0" shrinkToFit="0" readingOrder="0"/>
      <border diagonalUp="0" diagonalDown="0" outline="0">
        <left style="thin">
          <color indexed="64"/>
        </left>
        <right style="thin">
          <color indexed="64"/>
        </right>
        <top/>
        <bottom/>
      </border>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CCFFCC"/>
        </patternFill>
      </fill>
    </dxf>
    <dxf>
      <font>
        <b val="0"/>
        <i val="0"/>
        <strike val="0"/>
        <condense val="0"/>
        <extend val="0"/>
        <outline val="0"/>
        <shadow val="0"/>
        <u val="none"/>
        <vertAlign val="baseline"/>
        <sz val="11"/>
        <color theme="1"/>
        <name val="Arial"/>
        <family val="2"/>
        <scheme val="none"/>
      </font>
      <fill>
        <patternFill patternType="solid">
          <fgColor indexed="64"/>
          <bgColor rgb="FFCCFFCC"/>
        </patternFill>
      </fill>
      <alignment horizontal="general" vertical="top"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Arial"/>
        <family val="2"/>
        <scheme val="none"/>
      </font>
      <fill>
        <patternFill patternType="solid">
          <fgColor indexed="64"/>
          <bgColor rgb="FFCCFFCC"/>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alignment horizontal="general" vertical="top" textRotation="0" wrapText="1"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alignment horizontal="general" vertical="top"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theme="1"/>
        <name val="Arial"/>
        <family val="2"/>
        <scheme val="none"/>
      </font>
      <fill>
        <patternFill patternType="solid">
          <fgColor indexed="64"/>
          <bgColor theme="0" tint="-0.14999847407452621"/>
        </patternFill>
      </fill>
      <alignment horizontal="general" vertical="top" textRotation="0" wrapText="1" indent="0" justifyLastLine="0" shrinkToFit="0" readingOrder="0"/>
      <border diagonalUp="0" diagonalDown="0" outline="0">
        <left style="thin">
          <color indexed="64"/>
        </left>
        <right style="thin">
          <color indexed="64"/>
        </right>
        <top/>
        <bottom/>
      </border>
    </dxf>
    <dxf>
      <font>
        <color theme="0"/>
      </font>
      <fill>
        <patternFill>
          <bgColor rgb="FFFF0000"/>
        </patternFill>
      </fill>
    </dxf>
    <dxf>
      <font>
        <color theme="0"/>
      </font>
      <fill>
        <patternFill>
          <bgColor rgb="FFFF0000"/>
        </patternFill>
      </fill>
    </dxf>
    <dxf>
      <fill>
        <patternFill>
          <bgColor rgb="FFFF0000"/>
        </patternFill>
      </fill>
    </dxf>
    <dxf>
      <font>
        <b val="0"/>
        <i val="0"/>
        <strike val="0"/>
        <condense val="0"/>
        <extend val="0"/>
        <outline val="0"/>
        <shadow val="0"/>
        <u val="none"/>
        <vertAlign val="baseline"/>
        <sz val="11"/>
        <color theme="1"/>
        <name val="Arial"/>
        <family val="2"/>
        <scheme val="none"/>
      </font>
      <alignment horizontal="general" vertical="top" textRotation="0" wrapText="1"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alignment horizontal="general" vertical="top" textRotation="0" wrapText="1"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Arial"/>
        <family val="2"/>
        <scheme val="none"/>
      </font>
      <alignment horizontal="general" vertical="top" textRotation="0" wrapText="1" indent="0" justifyLastLine="0" shrinkToFit="0" readingOrder="0"/>
      <border diagonalUp="0" diagonalDown="0">
        <left/>
        <right style="thin">
          <color indexed="64"/>
        </right>
        <top style="thin">
          <color indexed="64"/>
        </top>
        <bottom style="thin">
          <color indexed="64"/>
        </bottom>
        <vertical/>
        <horizontal/>
      </border>
    </dxf>
    <dxf>
      <border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11"/>
        <color theme="1"/>
        <name val="Arial"/>
        <family val="2"/>
        <scheme val="none"/>
      </font>
      <alignment horizontal="general" vertical="top" textRotation="0" wrapText="1" indent="0" justifyLastLine="0" shrinkToFit="0" readingOrder="0"/>
    </dxf>
  </dxfs>
  <tableStyles count="0" defaultTableStyle="TableStyleMedium2" defaultPivotStyle="PivotStyleLight16"/>
  <colors>
    <mruColors>
      <color rgb="FFCCFFCC"/>
      <color rgb="FF000000"/>
      <color rgb="FFFFFF99"/>
      <color rgb="FFFFFFCC"/>
      <color rgb="FF99FF99"/>
      <color rgb="FF43682B"/>
      <color rgb="FFFFFF66"/>
      <color rgb="FFFF8F8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US" b="1">
                <a:latin typeface="Arial" panose="020B0604020202020204" pitchFamily="34" charset="0"/>
                <a:cs typeface="Arial" panose="020B0604020202020204" pitchFamily="34" charset="0"/>
              </a:rPr>
              <a:t>Figure 1: Screening Analysis</a:t>
            </a: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barChart>
        <c:barDir val="col"/>
        <c:grouping val="stacked"/>
        <c:varyColors val="0"/>
        <c:ser>
          <c:idx val="0"/>
          <c:order val="0"/>
          <c:tx>
            <c:strRef>
              <c:f>Output!$C$12</c:f>
              <c:strCache>
                <c:ptCount val="1"/>
                <c:pt idx="0">
                  <c:v>Total - minimum</c:v>
                </c:pt>
              </c:strCache>
            </c:strRef>
          </c:tx>
          <c:spPr>
            <a:no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Output!$B$13:$B$14</c:f>
              <c:strCache>
                <c:ptCount val="2"/>
                <c:pt idx="0">
                  <c:v>Demand (gallons per day)</c:v>
                </c:pt>
                <c:pt idx="1">
                  <c:v>Capacity (gallons per day)</c:v>
                </c:pt>
              </c:strCache>
            </c:strRef>
          </c:cat>
          <c:val>
            <c:numRef>
              <c:f>Output!$C$13:$C$14</c:f>
              <c:numCache>
                <c:formatCode>#,##0</c:formatCode>
                <c:ptCount val="2"/>
                <c:pt idx="0">
                  <c:v>0</c:v>
                </c:pt>
                <c:pt idx="1">
                  <c:v>0</c:v>
                </c:pt>
              </c:numCache>
            </c:numRef>
          </c:val>
          <c:extLst>
            <c:ext xmlns:c16="http://schemas.microsoft.com/office/drawing/2014/chart" uri="{C3380CC4-5D6E-409C-BE32-E72D297353CC}">
              <c16:uniqueId val="{00000000-8AAB-46BC-A3C1-60CD3E03F41E}"/>
            </c:ext>
          </c:extLst>
        </c:ser>
        <c:ser>
          <c:idx val="2"/>
          <c:order val="1"/>
          <c:tx>
            <c:strRef>
              <c:f>Output!$E$7</c:f>
              <c:strCache>
                <c:ptCount val="1"/>
              </c:strCache>
            </c:strRef>
          </c:tx>
          <c:spPr>
            <a:solidFill>
              <a:schemeClr val="accent3"/>
            </a:solidFill>
            <a:ln>
              <a:noFill/>
            </a:ln>
            <a:effectLst/>
          </c:spPr>
          <c:invertIfNegative val="0"/>
          <c:dPt>
            <c:idx val="0"/>
            <c:invertIfNegative val="0"/>
            <c:bubble3D val="0"/>
            <c:spPr>
              <a:solidFill>
                <a:schemeClr val="accent5"/>
              </a:solidFill>
              <a:ln>
                <a:noFill/>
              </a:ln>
              <a:effectLst/>
            </c:spPr>
            <c:extLst>
              <c:ext xmlns:c16="http://schemas.microsoft.com/office/drawing/2014/chart" uri="{C3380CC4-5D6E-409C-BE32-E72D297353CC}">
                <c16:uniqueId val="{00000004-8AAB-46BC-A3C1-60CD3E03F41E}"/>
              </c:ext>
            </c:extLst>
          </c:dPt>
          <c:dPt>
            <c:idx val="1"/>
            <c:invertIfNegative val="0"/>
            <c:bubble3D val="0"/>
            <c:spPr>
              <a:solidFill>
                <a:schemeClr val="accent6"/>
              </a:solidFill>
              <a:ln>
                <a:noFill/>
              </a:ln>
              <a:effectLst/>
            </c:spPr>
            <c:extLst>
              <c:ext xmlns:c16="http://schemas.microsoft.com/office/drawing/2014/chart" uri="{C3380CC4-5D6E-409C-BE32-E72D297353CC}">
                <c16:uniqueId val="{00000003-8AAB-46BC-A3C1-60CD3E03F41E}"/>
              </c:ext>
            </c:extLst>
          </c:dPt>
          <c:cat>
            <c:strRef>
              <c:f>Output!$B$13:$B$14</c:f>
              <c:strCache>
                <c:ptCount val="2"/>
                <c:pt idx="0">
                  <c:v>Demand (gallons per day)</c:v>
                </c:pt>
                <c:pt idx="1">
                  <c:v>Capacity (gallons per day)</c:v>
                </c:pt>
              </c:strCache>
            </c:strRef>
          </c:cat>
          <c:val>
            <c:numRef>
              <c:f>Output!$E$13:$E$14</c:f>
              <c:numCache>
                <c:formatCode>#,##0</c:formatCode>
                <c:ptCount val="2"/>
                <c:pt idx="0">
                  <c:v>0</c:v>
                </c:pt>
                <c:pt idx="1">
                  <c:v>0</c:v>
                </c:pt>
              </c:numCache>
            </c:numRef>
          </c:val>
          <c:extLst>
            <c:ext xmlns:c16="http://schemas.microsoft.com/office/drawing/2014/chart" uri="{C3380CC4-5D6E-409C-BE32-E72D297353CC}">
              <c16:uniqueId val="{00000002-8AAB-46BC-A3C1-60CD3E03F41E}"/>
            </c:ext>
          </c:extLst>
        </c:ser>
        <c:ser>
          <c:idx val="1"/>
          <c:order val="2"/>
          <c:tx>
            <c:strRef>
              <c:f>Output!$D$12</c:f>
              <c:strCache>
                <c:ptCount val="1"/>
                <c:pt idx="0">
                  <c:v>Total - maximum</c:v>
                </c:pt>
              </c:strCache>
            </c:strRef>
          </c:tx>
          <c:spPr>
            <a:no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Output!$B$13:$B$14</c:f>
              <c:strCache>
                <c:ptCount val="2"/>
                <c:pt idx="0">
                  <c:v>Demand (gallons per day)</c:v>
                </c:pt>
                <c:pt idx="1">
                  <c:v>Capacity (gallons per day)</c:v>
                </c:pt>
              </c:strCache>
            </c:strRef>
          </c:cat>
          <c:val>
            <c:numRef>
              <c:f>Output!$D$13:$D$14</c:f>
              <c:numCache>
                <c:formatCode>#,##0</c:formatCode>
                <c:ptCount val="2"/>
                <c:pt idx="0">
                  <c:v>0</c:v>
                </c:pt>
                <c:pt idx="1">
                  <c:v>0</c:v>
                </c:pt>
              </c:numCache>
            </c:numRef>
          </c:val>
          <c:extLst>
            <c:ext xmlns:c16="http://schemas.microsoft.com/office/drawing/2014/chart" uri="{C3380CC4-5D6E-409C-BE32-E72D297353CC}">
              <c16:uniqueId val="{00000001-8AAB-46BC-A3C1-60CD3E03F41E}"/>
            </c:ext>
          </c:extLst>
        </c:ser>
        <c:dLbls>
          <c:showLegendKey val="0"/>
          <c:showVal val="0"/>
          <c:showCatName val="0"/>
          <c:showSerName val="0"/>
          <c:showPercent val="0"/>
          <c:showBubbleSize val="0"/>
        </c:dLbls>
        <c:gapWidth val="47"/>
        <c:overlap val="100"/>
        <c:axId val="1086922911"/>
        <c:axId val="1395416079"/>
        <c:extLst>
          <c:ext xmlns:c15="http://schemas.microsoft.com/office/drawing/2012/chart" uri="{02D57815-91ED-43cb-92C2-25804820EDAC}">
            <c15:filteredBarSeries>
              <c15:ser>
                <c:idx val="3"/>
                <c:order val="3"/>
                <c:tx>
                  <c:strRef>
                    <c:extLst>
                      <c:ext uri="{02D57815-91ED-43cb-92C2-25804820EDAC}">
                        <c15:formulaRef>
                          <c15:sqref>Output!$G$7:$G$9</c15:sqref>
                        </c15:formulaRef>
                      </c:ext>
                    </c:extLst>
                    <c:strCache>
                      <c:ptCount val="3"/>
                      <c:pt idx="0">
                        <c:v>Maximum capacity - reflects the day/month in which the most/largest facilities are operating</c:v>
                      </c:pt>
                      <c:pt idx="1">
                        <c:v>Minimum demand - reflects the daily demand from vessels utilizing pumpout facilities every day</c:v>
                      </c:pt>
                      <c:pt idx="2">
                        <c:v>Maximum demand - reflects the daily demand from all vessels operating in the NDZ</c:v>
                      </c:pt>
                    </c:strCache>
                  </c:strRef>
                </c:tx>
                <c:spPr>
                  <a:solidFill>
                    <a:schemeClr val="accent4"/>
                  </a:solidFill>
                  <a:ln>
                    <a:noFill/>
                  </a:ln>
                  <a:effectLst/>
                </c:spPr>
                <c:invertIfNegative val="0"/>
                <c:val>
                  <c:numLit>
                    <c:formatCode>General</c:formatCode>
                    <c:ptCount val="1"/>
                    <c:pt idx="0">
                      <c:v>1</c:v>
                    </c:pt>
                  </c:numLit>
                </c:val>
                <c:extLst>
                  <c:ext xmlns:c16="http://schemas.microsoft.com/office/drawing/2014/chart" uri="{C3380CC4-5D6E-409C-BE32-E72D297353CC}">
                    <c16:uniqueId val="{00000005-8AAB-46BC-A3C1-60CD3E03F41E}"/>
                  </c:ext>
                </c:extLst>
              </c15:ser>
            </c15:filteredBarSeries>
          </c:ext>
        </c:extLst>
      </c:barChart>
      <c:catAx>
        <c:axId val="108692291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95416079"/>
        <c:crosses val="autoZero"/>
        <c:auto val="1"/>
        <c:lblAlgn val="ctr"/>
        <c:lblOffset val="100"/>
        <c:noMultiLvlLbl val="0"/>
      </c:catAx>
      <c:valAx>
        <c:axId val="1395416079"/>
        <c:scaling>
          <c:orientation val="minMax"/>
          <c:max val="2786520"/>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86922911"/>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US" b="1">
                <a:latin typeface="Arial" panose="020B0604020202020204" pitchFamily="34" charset="0"/>
                <a:cs typeface="Arial" panose="020B0604020202020204" pitchFamily="34" charset="0"/>
              </a:rPr>
              <a:t>Figure 1: Screening Analysis</a:t>
            </a: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barChart>
        <c:barDir val="col"/>
        <c:grouping val="stacked"/>
        <c:varyColors val="0"/>
        <c:ser>
          <c:idx val="0"/>
          <c:order val="0"/>
          <c:tx>
            <c:strRef>
              <c:f>Output!$C$12</c:f>
              <c:strCache>
                <c:ptCount val="1"/>
                <c:pt idx="0">
                  <c:v>Total - minimum</c:v>
                </c:pt>
              </c:strCache>
            </c:strRef>
          </c:tx>
          <c:spPr>
            <a:no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Output!$B$13:$B$14</c:f>
              <c:strCache>
                <c:ptCount val="2"/>
                <c:pt idx="0">
                  <c:v>Demand (gallons per day)</c:v>
                </c:pt>
                <c:pt idx="1">
                  <c:v>Capacity (gallons per day)</c:v>
                </c:pt>
              </c:strCache>
            </c:strRef>
          </c:cat>
          <c:val>
            <c:numRef>
              <c:f>Output!$C$13:$C$14</c:f>
              <c:numCache>
                <c:formatCode>#,##0</c:formatCode>
                <c:ptCount val="2"/>
                <c:pt idx="0">
                  <c:v>0</c:v>
                </c:pt>
                <c:pt idx="1">
                  <c:v>0</c:v>
                </c:pt>
              </c:numCache>
            </c:numRef>
          </c:val>
          <c:extLst>
            <c:ext xmlns:c16="http://schemas.microsoft.com/office/drawing/2014/chart" uri="{C3380CC4-5D6E-409C-BE32-E72D297353CC}">
              <c16:uniqueId val="{00000000-8AAB-46BC-A3C1-60CD3E03F41E}"/>
            </c:ext>
          </c:extLst>
        </c:ser>
        <c:ser>
          <c:idx val="2"/>
          <c:order val="1"/>
          <c:tx>
            <c:strRef>
              <c:f>Output!$E$7</c:f>
              <c:strCache>
                <c:ptCount val="1"/>
              </c:strCache>
            </c:strRef>
          </c:tx>
          <c:spPr>
            <a:solidFill>
              <a:schemeClr val="accent3"/>
            </a:solidFill>
            <a:ln>
              <a:noFill/>
            </a:ln>
            <a:effectLst/>
          </c:spPr>
          <c:invertIfNegative val="0"/>
          <c:dPt>
            <c:idx val="0"/>
            <c:invertIfNegative val="0"/>
            <c:bubble3D val="0"/>
            <c:spPr>
              <a:solidFill>
                <a:schemeClr val="accent5"/>
              </a:solidFill>
              <a:ln>
                <a:noFill/>
              </a:ln>
              <a:effectLst/>
            </c:spPr>
            <c:extLst>
              <c:ext xmlns:c16="http://schemas.microsoft.com/office/drawing/2014/chart" uri="{C3380CC4-5D6E-409C-BE32-E72D297353CC}">
                <c16:uniqueId val="{00000004-8AAB-46BC-A3C1-60CD3E03F41E}"/>
              </c:ext>
            </c:extLst>
          </c:dPt>
          <c:dPt>
            <c:idx val="1"/>
            <c:invertIfNegative val="0"/>
            <c:bubble3D val="0"/>
            <c:spPr>
              <a:solidFill>
                <a:schemeClr val="accent6"/>
              </a:solidFill>
              <a:ln>
                <a:noFill/>
              </a:ln>
              <a:effectLst/>
            </c:spPr>
            <c:extLst>
              <c:ext xmlns:c16="http://schemas.microsoft.com/office/drawing/2014/chart" uri="{C3380CC4-5D6E-409C-BE32-E72D297353CC}">
                <c16:uniqueId val="{00000003-8AAB-46BC-A3C1-60CD3E03F41E}"/>
              </c:ext>
            </c:extLst>
          </c:dPt>
          <c:cat>
            <c:strRef>
              <c:f>Output!$B$13:$B$14</c:f>
              <c:strCache>
                <c:ptCount val="2"/>
                <c:pt idx="0">
                  <c:v>Demand (gallons per day)</c:v>
                </c:pt>
                <c:pt idx="1">
                  <c:v>Capacity (gallons per day)</c:v>
                </c:pt>
              </c:strCache>
            </c:strRef>
          </c:cat>
          <c:val>
            <c:numRef>
              <c:f>Output!$E$13:$E$14</c:f>
              <c:numCache>
                <c:formatCode>#,##0</c:formatCode>
                <c:ptCount val="2"/>
                <c:pt idx="0">
                  <c:v>0</c:v>
                </c:pt>
                <c:pt idx="1">
                  <c:v>0</c:v>
                </c:pt>
              </c:numCache>
            </c:numRef>
          </c:val>
          <c:extLst>
            <c:ext xmlns:c16="http://schemas.microsoft.com/office/drawing/2014/chart" uri="{C3380CC4-5D6E-409C-BE32-E72D297353CC}">
              <c16:uniqueId val="{00000002-8AAB-46BC-A3C1-60CD3E03F41E}"/>
            </c:ext>
          </c:extLst>
        </c:ser>
        <c:ser>
          <c:idx val="1"/>
          <c:order val="2"/>
          <c:tx>
            <c:strRef>
              <c:f>Output!$D$12</c:f>
              <c:strCache>
                <c:ptCount val="1"/>
                <c:pt idx="0">
                  <c:v>Total - maximum</c:v>
                </c:pt>
              </c:strCache>
            </c:strRef>
          </c:tx>
          <c:spPr>
            <a:no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Output!$B$13:$B$14</c:f>
              <c:strCache>
                <c:ptCount val="2"/>
                <c:pt idx="0">
                  <c:v>Demand (gallons per day)</c:v>
                </c:pt>
                <c:pt idx="1">
                  <c:v>Capacity (gallons per day)</c:v>
                </c:pt>
              </c:strCache>
            </c:strRef>
          </c:cat>
          <c:val>
            <c:numRef>
              <c:f>Output!$D$13:$D$14</c:f>
              <c:numCache>
                <c:formatCode>#,##0</c:formatCode>
                <c:ptCount val="2"/>
                <c:pt idx="0">
                  <c:v>0</c:v>
                </c:pt>
                <c:pt idx="1">
                  <c:v>0</c:v>
                </c:pt>
              </c:numCache>
            </c:numRef>
          </c:val>
          <c:extLst>
            <c:ext xmlns:c16="http://schemas.microsoft.com/office/drawing/2014/chart" uri="{C3380CC4-5D6E-409C-BE32-E72D297353CC}">
              <c16:uniqueId val="{00000001-8AAB-46BC-A3C1-60CD3E03F41E}"/>
            </c:ext>
          </c:extLst>
        </c:ser>
        <c:dLbls>
          <c:showLegendKey val="0"/>
          <c:showVal val="0"/>
          <c:showCatName val="0"/>
          <c:showSerName val="0"/>
          <c:showPercent val="0"/>
          <c:showBubbleSize val="0"/>
        </c:dLbls>
        <c:gapWidth val="47"/>
        <c:overlap val="100"/>
        <c:axId val="1086922911"/>
        <c:axId val="1395416079"/>
        <c:extLst>
          <c:ext xmlns:c15="http://schemas.microsoft.com/office/drawing/2012/chart" uri="{02D57815-91ED-43cb-92C2-25804820EDAC}">
            <c15:filteredBarSeries>
              <c15:ser>
                <c:idx val="3"/>
                <c:order val="3"/>
                <c:tx>
                  <c:strRef>
                    <c:extLst>
                      <c:ext uri="{02D57815-91ED-43cb-92C2-25804820EDAC}">
                        <c15:formulaRef>
                          <c15:sqref>Output!$G$7:$G$9</c15:sqref>
                        </c15:formulaRef>
                      </c:ext>
                    </c:extLst>
                    <c:strCache>
                      <c:ptCount val="3"/>
                      <c:pt idx="0">
                        <c:v>Maximum capacity - reflects the day/month in which the most/largest facilities are operating</c:v>
                      </c:pt>
                      <c:pt idx="1">
                        <c:v>Minimum demand - reflects the daily demand from vessels utilizing pumpout facilities every day</c:v>
                      </c:pt>
                      <c:pt idx="2">
                        <c:v>Maximum demand - reflects the daily demand from all vessels operating in the NDZ</c:v>
                      </c:pt>
                    </c:strCache>
                  </c:strRef>
                </c:tx>
                <c:spPr>
                  <a:solidFill>
                    <a:schemeClr val="accent4"/>
                  </a:solidFill>
                  <a:ln>
                    <a:noFill/>
                  </a:ln>
                  <a:effectLst/>
                </c:spPr>
                <c:invertIfNegative val="0"/>
                <c:val>
                  <c:numLit>
                    <c:formatCode>General</c:formatCode>
                    <c:ptCount val="1"/>
                    <c:pt idx="0">
                      <c:v>1</c:v>
                    </c:pt>
                  </c:numLit>
                </c:val>
                <c:extLst>
                  <c:ext xmlns:c16="http://schemas.microsoft.com/office/drawing/2014/chart" uri="{C3380CC4-5D6E-409C-BE32-E72D297353CC}">
                    <c16:uniqueId val="{00000005-8AAB-46BC-A3C1-60CD3E03F41E}"/>
                  </c:ext>
                </c:extLst>
              </c15:ser>
            </c15:filteredBarSeries>
          </c:ext>
        </c:extLst>
      </c:barChart>
      <c:catAx>
        <c:axId val="108692291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95416079"/>
        <c:crosses val="autoZero"/>
        <c:auto val="1"/>
        <c:lblAlgn val="ctr"/>
        <c:lblOffset val="100"/>
        <c:noMultiLvlLbl val="0"/>
      </c:catAx>
      <c:valAx>
        <c:axId val="1395416079"/>
        <c:scaling>
          <c:orientation val="minMax"/>
          <c:max val="2786520"/>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86922911"/>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US" b="1">
                <a:latin typeface="Arial" panose="020B0604020202020204" pitchFamily="34" charset="0"/>
                <a:cs typeface="Arial" panose="020B0604020202020204" pitchFamily="34" charset="0"/>
              </a:rPr>
              <a:t>Figure 1: Screening Analysis</a:t>
            </a: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barChart>
        <c:barDir val="col"/>
        <c:grouping val="stacked"/>
        <c:varyColors val="0"/>
        <c:ser>
          <c:idx val="0"/>
          <c:order val="0"/>
          <c:tx>
            <c:strRef>
              <c:f>Output!$C$12</c:f>
              <c:strCache>
                <c:ptCount val="1"/>
                <c:pt idx="0">
                  <c:v>Total - minimum</c:v>
                </c:pt>
              </c:strCache>
            </c:strRef>
          </c:tx>
          <c:spPr>
            <a:no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Output!$B$13:$B$14</c:f>
              <c:strCache>
                <c:ptCount val="2"/>
                <c:pt idx="0">
                  <c:v>Demand (gallons per day)</c:v>
                </c:pt>
                <c:pt idx="1">
                  <c:v>Capacity (gallons per day)</c:v>
                </c:pt>
              </c:strCache>
            </c:strRef>
          </c:cat>
          <c:val>
            <c:numRef>
              <c:f>Output!$C$13:$C$14</c:f>
              <c:numCache>
                <c:formatCode>#,##0</c:formatCode>
                <c:ptCount val="2"/>
                <c:pt idx="0">
                  <c:v>0</c:v>
                </c:pt>
                <c:pt idx="1">
                  <c:v>0</c:v>
                </c:pt>
              </c:numCache>
            </c:numRef>
          </c:val>
          <c:extLst>
            <c:ext xmlns:c16="http://schemas.microsoft.com/office/drawing/2014/chart" uri="{C3380CC4-5D6E-409C-BE32-E72D297353CC}">
              <c16:uniqueId val="{00000000-8AAB-46BC-A3C1-60CD3E03F41E}"/>
            </c:ext>
          </c:extLst>
        </c:ser>
        <c:ser>
          <c:idx val="2"/>
          <c:order val="1"/>
          <c:tx>
            <c:strRef>
              <c:f>Output!$E$7</c:f>
              <c:strCache>
                <c:ptCount val="1"/>
              </c:strCache>
            </c:strRef>
          </c:tx>
          <c:spPr>
            <a:solidFill>
              <a:schemeClr val="accent3"/>
            </a:solidFill>
            <a:ln>
              <a:noFill/>
            </a:ln>
            <a:effectLst/>
          </c:spPr>
          <c:invertIfNegative val="0"/>
          <c:dPt>
            <c:idx val="0"/>
            <c:invertIfNegative val="0"/>
            <c:bubble3D val="0"/>
            <c:spPr>
              <a:solidFill>
                <a:schemeClr val="accent5"/>
              </a:solidFill>
              <a:ln>
                <a:noFill/>
              </a:ln>
              <a:effectLst/>
            </c:spPr>
            <c:extLst>
              <c:ext xmlns:c16="http://schemas.microsoft.com/office/drawing/2014/chart" uri="{C3380CC4-5D6E-409C-BE32-E72D297353CC}">
                <c16:uniqueId val="{00000004-8AAB-46BC-A3C1-60CD3E03F41E}"/>
              </c:ext>
            </c:extLst>
          </c:dPt>
          <c:dPt>
            <c:idx val="1"/>
            <c:invertIfNegative val="0"/>
            <c:bubble3D val="0"/>
            <c:spPr>
              <a:solidFill>
                <a:schemeClr val="accent6"/>
              </a:solidFill>
              <a:ln>
                <a:noFill/>
              </a:ln>
              <a:effectLst/>
            </c:spPr>
            <c:extLst>
              <c:ext xmlns:c16="http://schemas.microsoft.com/office/drawing/2014/chart" uri="{C3380CC4-5D6E-409C-BE32-E72D297353CC}">
                <c16:uniqueId val="{00000003-8AAB-46BC-A3C1-60CD3E03F41E}"/>
              </c:ext>
            </c:extLst>
          </c:dPt>
          <c:cat>
            <c:strRef>
              <c:f>Output!$B$13:$B$14</c:f>
              <c:strCache>
                <c:ptCount val="2"/>
                <c:pt idx="0">
                  <c:v>Demand (gallons per day)</c:v>
                </c:pt>
                <c:pt idx="1">
                  <c:v>Capacity (gallons per day)</c:v>
                </c:pt>
              </c:strCache>
            </c:strRef>
          </c:cat>
          <c:val>
            <c:numRef>
              <c:f>Output!$E$13:$E$14</c:f>
              <c:numCache>
                <c:formatCode>#,##0</c:formatCode>
                <c:ptCount val="2"/>
                <c:pt idx="0">
                  <c:v>0</c:v>
                </c:pt>
                <c:pt idx="1">
                  <c:v>0</c:v>
                </c:pt>
              </c:numCache>
            </c:numRef>
          </c:val>
          <c:extLst>
            <c:ext xmlns:c16="http://schemas.microsoft.com/office/drawing/2014/chart" uri="{C3380CC4-5D6E-409C-BE32-E72D297353CC}">
              <c16:uniqueId val="{00000002-8AAB-46BC-A3C1-60CD3E03F41E}"/>
            </c:ext>
          </c:extLst>
        </c:ser>
        <c:ser>
          <c:idx val="1"/>
          <c:order val="2"/>
          <c:tx>
            <c:strRef>
              <c:f>Output!$D$12</c:f>
              <c:strCache>
                <c:ptCount val="1"/>
                <c:pt idx="0">
                  <c:v>Total - maximum</c:v>
                </c:pt>
              </c:strCache>
            </c:strRef>
          </c:tx>
          <c:spPr>
            <a:no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Output!$B$13:$B$14</c:f>
              <c:strCache>
                <c:ptCount val="2"/>
                <c:pt idx="0">
                  <c:v>Demand (gallons per day)</c:v>
                </c:pt>
                <c:pt idx="1">
                  <c:v>Capacity (gallons per day)</c:v>
                </c:pt>
              </c:strCache>
            </c:strRef>
          </c:cat>
          <c:val>
            <c:numRef>
              <c:f>Output!$D$13:$D$14</c:f>
              <c:numCache>
                <c:formatCode>#,##0</c:formatCode>
                <c:ptCount val="2"/>
                <c:pt idx="0">
                  <c:v>0</c:v>
                </c:pt>
                <c:pt idx="1">
                  <c:v>0</c:v>
                </c:pt>
              </c:numCache>
            </c:numRef>
          </c:val>
          <c:extLst>
            <c:ext xmlns:c16="http://schemas.microsoft.com/office/drawing/2014/chart" uri="{C3380CC4-5D6E-409C-BE32-E72D297353CC}">
              <c16:uniqueId val="{00000001-8AAB-46BC-A3C1-60CD3E03F41E}"/>
            </c:ext>
          </c:extLst>
        </c:ser>
        <c:dLbls>
          <c:showLegendKey val="0"/>
          <c:showVal val="0"/>
          <c:showCatName val="0"/>
          <c:showSerName val="0"/>
          <c:showPercent val="0"/>
          <c:showBubbleSize val="0"/>
        </c:dLbls>
        <c:gapWidth val="47"/>
        <c:overlap val="100"/>
        <c:axId val="1086922911"/>
        <c:axId val="1395416079"/>
        <c:extLst>
          <c:ext xmlns:c15="http://schemas.microsoft.com/office/drawing/2012/chart" uri="{02D57815-91ED-43cb-92C2-25804820EDAC}">
            <c15:filteredBarSeries>
              <c15:ser>
                <c:idx val="3"/>
                <c:order val="3"/>
                <c:tx>
                  <c:strRef>
                    <c:extLst>
                      <c:ext uri="{02D57815-91ED-43cb-92C2-25804820EDAC}">
                        <c15:formulaRef>
                          <c15:sqref>Output!$G$7:$G$9</c15:sqref>
                        </c15:formulaRef>
                      </c:ext>
                    </c:extLst>
                    <c:strCache>
                      <c:ptCount val="3"/>
                      <c:pt idx="0">
                        <c:v>Maximum capacity - reflects the day/month in which the most/largest facilities are operating</c:v>
                      </c:pt>
                      <c:pt idx="1">
                        <c:v>Minimum demand - reflects the daily demand from vessels utilizing pumpout facilities every day</c:v>
                      </c:pt>
                      <c:pt idx="2">
                        <c:v>Maximum demand - reflects the daily demand from all vessels operating in the NDZ</c:v>
                      </c:pt>
                    </c:strCache>
                  </c:strRef>
                </c:tx>
                <c:spPr>
                  <a:solidFill>
                    <a:schemeClr val="accent4"/>
                  </a:solidFill>
                  <a:ln>
                    <a:noFill/>
                  </a:ln>
                  <a:effectLst/>
                </c:spPr>
                <c:invertIfNegative val="0"/>
                <c:val>
                  <c:numLit>
                    <c:formatCode>General</c:formatCode>
                    <c:ptCount val="1"/>
                    <c:pt idx="0">
                      <c:v>1</c:v>
                    </c:pt>
                  </c:numLit>
                </c:val>
                <c:extLst>
                  <c:ext xmlns:c16="http://schemas.microsoft.com/office/drawing/2014/chart" uri="{C3380CC4-5D6E-409C-BE32-E72D297353CC}">
                    <c16:uniqueId val="{00000005-8AAB-46BC-A3C1-60CD3E03F41E}"/>
                  </c:ext>
                </c:extLst>
              </c15:ser>
            </c15:filteredBarSeries>
          </c:ext>
        </c:extLst>
      </c:barChart>
      <c:catAx>
        <c:axId val="108692291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95416079"/>
        <c:crosses val="autoZero"/>
        <c:auto val="1"/>
        <c:lblAlgn val="ctr"/>
        <c:lblOffset val="100"/>
        <c:noMultiLvlLbl val="0"/>
      </c:catAx>
      <c:valAx>
        <c:axId val="1395416079"/>
        <c:scaling>
          <c:orientation val="minMax"/>
          <c:max val="20000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86922911"/>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US" b="1">
                <a:latin typeface="Arial" panose="020B0604020202020204" pitchFamily="34" charset="0"/>
                <a:cs typeface="Arial" panose="020B0604020202020204" pitchFamily="34" charset="0"/>
              </a:rPr>
              <a:t>Figure 2: Cost Analysis - Expenditure Test </a:t>
            </a:r>
          </a:p>
        </c:rich>
      </c:tx>
      <c:layout>
        <c:manualLayout>
          <c:xMode val="edge"/>
          <c:yMode val="edge"/>
          <c:x val="0.24454888026463928"/>
          <c:y val="1.8154311649016642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barChart>
        <c:barDir val="col"/>
        <c:grouping val="percentStacked"/>
        <c:varyColors val="0"/>
        <c:ser>
          <c:idx val="1"/>
          <c:order val="1"/>
          <c:tx>
            <c:strRef>
              <c:f>Output!$H$11</c:f>
              <c:strCache>
                <c:ptCount val="1"/>
                <c:pt idx="0">
                  <c:v>Annual baseline operating costs ($/year)</c:v>
                </c:pt>
              </c:strCache>
              <c:extLst xmlns:c15="http://schemas.microsoft.com/office/drawing/2012/chart"/>
            </c:strRef>
          </c:tx>
          <c:spPr>
            <a:solidFill>
              <a:schemeClr val="accent6">
                <a:lumMod val="20000"/>
                <a:lumOff val="80000"/>
              </a:schemeClr>
            </a:solidFill>
            <a:ln>
              <a:noFill/>
            </a:ln>
            <a:effectLst/>
          </c:spPr>
          <c:invertIfNegative val="0"/>
          <c:cat>
            <c:strRef>
              <c:f>Output!$I$7:$M$7</c:f>
              <c:strCache>
                <c:ptCount val="4"/>
                <c:pt idx="0">
                  <c:v>Tugboats</c:v>
                </c:pt>
                <c:pt idx="1">
                  <c:v>Commercial Fishing Vessels</c:v>
                </c:pt>
                <c:pt idx="2">
                  <c:v>Excursion</c:v>
                </c:pt>
                <c:pt idx="3">
                  <c:v>Ferries</c:v>
                </c:pt>
              </c:strCache>
              <c:extLst xmlns:c15="http://schemas.microsoft.com/office/drawing/2012/chart"/>
            </c:strRef>
          </c:cat>
          <c:val>
            <c:numRef>
              <c:f>Output!$I$11:$L$11</c:f>
              <c:numCache>
                <c:formatCode>"$"#,##0</c:formatCode>
                <c:ptCount val="4"/>
                <c:pt idx="0">
                  <c:v>0</c:v>
                </c:pt>
                <c:pt idx="1">
                  <c:v>0</c:v>
                </c:pt>
                <c:pt idx="2">
                  <c:v>0</c:v>
                </c:pt>
                <c:pt idx="3">
                  <c:v>0</c:v>
                </c:pt>
              </c:numCache>
              <c:extLst xmlns:c15="http://schemas.microsoft.com/office/drawing/2012/chart"/>
            </c:numRef>
          </c:val>
          <c:extLst xmlns:c15="http://schemas.microsoft.com/office/drawing/2012/chart">
            <c:ext xmlns:c16="http://schemas.microsoft.com/office/drawing/2014/chart" uri="{C3380CC4-5D6E-409C-BE32-E72D297353CC}">
              <c16:uniqueId val="{00000003-322E-4A25-A504-9749F44B9DDD}"/>
            </c:ext>
          </c:extLst>
        </c:ser>
        <c:ser>
          <c:idx val="3"/>
          <c:order val="2"/>
          <c:tx>
            <c:strRef>
              <c:f>Output!$H$12</c:f>
              <c:strCache>
                <c:ptCount val="1"/>
                <c:pt idx="0">
                  <c:v>Annual facility use costs ($/year)</c:v>
                </c:pt>
              </c:strCache>
              <c:extLst xmlns:c15="http://schemas.microsoft.com/office/drawing/2012/chart"/>
            </c:strRef>
          </c:tx>
          <c:spPr>
            <a:solidFill>
              <a:schemeClr val="accent4"/>
            </a:solidFill>
            <a:ln>
              <a:noFill/>
            </a:ln>
            <a:effectLst/>
          </c:spPr>
          <c:invertIfNegative val="0"/>
          <c:cat>
            <c:strRef>
              <c:f>Output!$I$7:$M$7</c:f>
              <c:strCache>
                <c:ptCount val="4"/>
                <c:pt idx="0">
                  <c:v>Tugboats</c:v>
                </c:pt>
                <c:pt idx="1">
                  <c:v>Commercial Fishing Vessels</c:v>
                </c:pt>
                <c:pt idx="2">
                  <c:v>Excursion</c:v>
                </c:pt>
                <c:pt idx="3">
                  <c:v>Ferries</c:v>
                </c:pt>
              </c:strCache>
              <c:extLst xmlns:c15="http://schemas.microsoft.com/office/drawing/2012/chart"/>
            </c:strRef>
          </c:cat>
          <c:val>
            <c:numRef>
              <c:f>Output!$M$12:$M$12</c:f>
              <c:extLst xmlns:c15="http://schemas.microsoft.com/office/drawing/2012/chart"/>
            </c:numRef>
          </c:val>
          <c:extLst xmlns:c15="http://schemas.microsoft.com/office/drawing/2012/chart">
            <c:ext xmlns:c16="http://schemas.microsoft.com/office/drawing/2014/chart" uri="{C3380CC4-5D6E-409C-BE32-E72D297353CC}">
              <c16:uniqueId val="{00000005-322E-4A25-A504-9749F44B9DDD}"/>
            </c:ext>
          </c:extLst>
        </c:ser>
        <c:dLbls>
          <c:showLegendKey val="0"/>
          <c:showVal val="0"/>
          <c:showCatName val="0"/>
          <c:showSerName val="0"/>
          <c:showPercent val="0"/>
          <c:showBubbleSize val="0"/>
        </c:dLbls>
        <c:gapWidth val="150"/>
        <c:overlap val="100"/>
        <c:axId val="1388607663"/>
        <c:axId val="1395378639"/>
        <c:extLst>
          <c:ext xmlns:c15="http://schemas.microsoft.com/office/drawing/2012/chart" uri="{02D57815-91ED-43cb-92C2-25804820EDAC}">
            <c15:filteredBarSeries>
              <c15:ser>
                <c:idx val="0"/>
                <c:order val="0"/>
                <c:tx>
                  <c:strRef>
                    <c:extLst>
                      <c:ext uri="{02D57815-91ED-43cb-92C2-25804820EDAC}">
                        <c15:formulaRef>
                          <c15:sqref>Output!$H$8</c15:sqref>
                        </c15:formulaRef>
                      </c:ext>
                    </c:extLst>
                    <c:strCache>
                      <c:ptCount val="1"/>
                      <c:pt idx="0">
                        <c:v>Total number of vessels</c:v>
                      </c:pt>
                    </c:strCache>
                  </c:strRef>
                </c:tx>
                <c:spPr>
                  <a:solidFill>
                    <a:schemeClr val="accent1"/>
                  </a:solidFill>
                  <a:ln>
                    <a:noFill/>
                  </a:ln>
                  <a:effectLst/>
                </c:spPr>
                <c:invertIfNegative val="0"/>
                <c:cat>
                  <c:strRef>
                    <c:extLst>
                      <c:ext uri="{02D57815-91ED-43cb-92C2-25804820EDAC}">
                        <c15:formulaRef>
                          <c15:sqref>Output!$I$7:$M$7</c15:sqref>
                        </c15:formulaRef>
                      </c:ext>
                    </c:extLst>
                    <c:strCache>
                      <c:ptCount val="4"/>
                      <c:pt idx="0">
                        <c:v>Tugboats</c:v>
                      </c:pt>
                      <c:pt idx="1">
                        <c:v>Commercial Fishing Vessels</c:v>
                      </c:pt>
                      <c:pt idx="2">
                        <c:v>Excursion</c:v>
                      </c:pt>
                      <c:pt idx="3">
                        <c:v>Ferries</c:v>
                      </c:pt>
                    </c:strCache>
                  </c:strRef>
                </c:cat>
                <c:val>
                  <c:numRef>
                    <c:extLst>
                      <c:ext uri="{02D57815-91ED-43cb-92C2-25804820EDAC}">
                        <c15:formulaRef>
                          <c15:sqref>Output!$I$7:$M$7</c15:sqref>
                        </c15:formulaRef>
                      </c:ext>
                    </c:extLst>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322E-4A25-A504-9749F44B9DDD}"/>
                  </c:ext>
                </c:extLst>
              </c15:ser>
            </c15:filteredBarSeries>
            <c15:filteredBarSeries>
              <c15:ser>
                <c:idx val="4"/>
                <c:order val="3"/>
                <c:tx>
                  <c:strRef>
                    <c:extLst xmlns:c15="http://schemas.microsoft.com/office/drawing/2012/chart">
                      <c:ext xmlns:c15="http://schemas.microsoft.com/office/drawing/2012/chart" uri="{02D57815-91ED-43cb-92C2-25804820EDAC}">
                        <c15:formulaRef>
                          <c15:sqref>Output!$H$13</c15:sqref>
                        </c15:formulaRef>
                      </c:ext>
                    </c:extLst>
                    <c:strCache>
                      <c:ptCount val="1"/>
                      <c:pt idx="0">
                        <c:v>Annual travel costs - fuel ($/year)</c:v>
                      </c:pt>
                    </c:strCache>
                  </c:strRef>
                </c:tx>
                <c:spPr>
                  <a:solidFill>
                    <a:schemeClr val="accent5"/>
                  </a:solidFill>
                  <a:ln>
                    <a:noFill/>
                  </a:ln>
                  <a:effectLst/>
                </c:spPr>
                <c:invertIfNegative val="0"/>
                <c:cat>
                  <c:strRef>
                    <c:extLst xmlns:c15="http://schemas.microsoft.com/office/drawing/2012/chart">
                      <c:ext xmlns:c15="http://schemas.microsoft.com/office/drawing/2012/chart" uri="{02D57815-91ED-43cb-92C2-25804820EDAC}">
                        <c15:formulaRef>
                          <c15:sqref>Output!$I$7:$M$7</c15:sqref>
                        </c15:formulaRef>
                      </c:ext>
                    </c:extLst>
                    <c:strCache>
                      <c:ptCount val="4"/>
                      <c:pt idx="0">
                        <c:v>Tugboats</c:v>
                      </c:pt>
                      <c:pt idx="1">
                        <c:v>Commercial Fishing Vessels</c:v>
                      </c:pt>
                      <c:pt idx="2">
                        <c:v>Excursion</c:v>
                      </c:pt>
                      <c:pt idx="3">
                        <c:v>Ferries</c:v>
                      </c:pt>
                    </c:strCache>
                  </c:strRef>
                </c:cat>
                <c:val>
                  <c:numRef>
                    <c:extLst xmlns:c15="http://schemas.microsoft.com/office/drawing/2012/chart">
                      <c:ext xmlns:c15="http://schemas.microsoft.com/office/drawing/2012/chart" uri="{02D57815-91ED-43cb-92C2-25804820EDAC}">
                        <c15:formulaRef>
                          <c15:sqref>Output!$I$13:$M$13</c15:sqref>
                        </c15:formulaRef>
                      </c:ext>
                    </c:extLst>
                    <c:numCache>
                      <c:formatCode>"$"#,##0</c:formatCode>
                      <c:ptCount val="4"/>
                      <c:pt idx="0">
                        <c:v>0</c:v>
                      </c:pt>
                      <c:pt idx="1">
                        <c:v>0</c:v>
                      </c:pt>
                      <c:pt idx="2">
                        <c:v>0</c:v>
                      </c:pt>
                      <c:pt idx="3">
                        <c:v>0</c:v>
                      </c:pt>
                    </c:numCache>
                  </c:numRef>
                </c:val>
                <c:extLst xmlns:c15="http://schemas.microsoft.com/office/drawing/2012/chart">
                  <c:ext xmlns:c16="http://schemas.microsoft.com/office/drawing/2014/chart" uri="{C3380CC4-5D6E-409C-BE32-E72D297353CC}">
                    <c16:uniqueId val="{00000006-322E-4A25-A504-9749F44B9DDD}"/>
                  </c:ext>
                </c:extLst>
              </c15:ser>
            </c15:filteredBarSeries>
            <c15:filteredBarSeries>
              <c15:ser>
                <c:idx val="5"/>
                <c:order val="4"/>
                <c:tx>
                  <c:strRef>
                    <c:extLst xmlns:c15="http://schemas.microsoft.com/office/drawing/2012/chart">
                      <c:ext xmlns:c15="http://schemas.microsoft.com/office/drawing/2012/chart" uri="{02D57815-91ED-43cb-92C2-25804820EDAC}">
                        <c15:formulaRef>
                          <c15:sqref>Output!$H$14</c15:sqref>
                        </c15:formulaRef>
                      </c:ext>
                    </c:extLst>
                    <c:strCache>
                      <c:ptCount val="1"/>
                      <c:pt idx="0">
                        <c:v>Annual travel costs - lost revenue ($/year)</c:v>
                      </c:pt>
                    </c:strCache>
                  </c:strRef>
                </c:tx>
                <c:spPr>
                  <a:solidFill>
                    <a:schemeClr val="accent6"/>
                  </a:solidFill>
                  <a:ln>
                    <a:noFill/>
                  </a:ln>
                  <a:effectLst/>
                </c:spPr>
                <c:invertIfNegative val="0"/>
                <c:cat>
                  <c:strRef>
                    <c:extLst xmlns:c15="http://schemas.microsoft.com/office/drawing/2012/chart">
                      <c:ext xmlns:c15="http://schemas.microsoft.com/office/drawing/2012/chart" uri="{02D57815-91ED-43cb-92C2-25804820EDAC}">
                        <c15:formulaRef>
                          <c15:sqref>Output!$I$7:$M$7</c15:sqref>
                        </c15:formulaRef>
                      </c:ext>
                    </c:extLst>
                    <c:strCache>
                      <c:ptCount val="4"/>
                      <c:pt idx="0">
                        <c:v>Tugboats</c:v>
                      </c:pt>
                      <c:pt idx="1">
                        <c:v>Commercial Fishing Vessels</c:v>
                      </c:pt>
                      <c:pt idx="2">
                        <c:v>Excursion</c:v>
                      </c:pt>
                      <c:pt idx="3">
                        <c:v>Ferries</c:v>
                      </c:pt>
                    </c:strCache>
                  </c:strRef>
                </c:cat>
                <c:val>
                  <c:numRef>
                    <c:extLst xmlns:c15="http://schemas.microsoft.com/office/drawing/2012/chart">
                      <c:ext xmlns:c15="http://schemas.microsoft.com/office/drawing/2012/chart" uri="{02D57815-91ED-43cb-92C2-25804820EDAC}">
                        <c15:formulaRef>
                          <c15:sqref>Output!$I$14:$M$14</c15:sqref>
                        </c15:formulaRef>
                      </c:ext>
                    </c:extLst>
                    <c:numCache>
                      <c:formatCode>"$"#,##0</c:formatCode>
                      <c:ptCount val="4"/>
                      <c:pt idx="0">
                        <c:v>0</c:v>
                      </c:pt>
                      <c:pt idx="1">
                        <c:v>0</c:v>
                      </c:pt>
                      <c:pt idx="2">
                        <c:v>0</c:v>
                      </c:pt>
                      <c:pt idx="3">
                        <c:v>0</c:v>
                      </c:pt>
                    </c:numCache>
                  </c:numRef>
                </c:val>
                <c:extLst xmlns:c15="http://schemas.microsoft.com/office/drawing/2012/chart">
                  <c:ext xmlns:c16="http://schemas.microsoft.com/office/drawing/2014/chart" uri="{C3380CC4-5D6E-409C-BE32-E72D297353CC}">
                    <c16:uniqueId val="{00000007-322E-4A25-A504-9749F44B9DDD}"/>
                  </c:ext>
                </c:extLst>
              </c15:ser>
            </c15:filteredBarSeries>
            <c15:filteredBarSeries>
              <c15:ser>
                <c:idx val="6"/>
                <c:order val="5"/>
                <c:tx>
                  <c:strRef>
                    <c:extLst xmlns:c15="http://schemas.microsoft.com/office/drawing/2012/chart">
                      <c:ext xmlns:c15="http://schemas.microsoft.com/office/drawing/2012/chart" uri="{02D57815-91ED-43cb-92C2-25804820EDAC}">
                        <c15:formulaRef>
                          <c15:sqref>Output!$H$15</c15:sqref>
                        </c15:formulaRef>
                      </c:ext>
                    </c:extLst>
                    <c:strCache>
                      <c:ptCount val="1"/>
                      <c:pt idx="0">
                        <c:v>Annual pumpout time costs - lost revenue ($/year)</c:v>
                      </c:pt>
                    </c:strCache>
                  </c:strRef>
                </c:tx>
                <c:spPr>
                  <a:solidFill>
                    <a:schemeClr val="accent1">
                      <a:lumMod val="60000"/>
                    </a:schemeClr>
                  </a:solidFill>
                  <a:ln>
                    <a:noFill/>
                  </a:ln>
                  <a:effectLst/>
                </c:spPr>
                <c:invertIfNegative val="0"/>
                <c:cat>
                  <c:strRef>
                    <c:extLst xmlns:c15="http://schemas.microsoft.com/office/drawing/2012/chart">
                      <c:ext xmlns:c15="http://schemas.microsoft.com/office/drawing/2012/chart" uri="{02D57815-91ED-43cb-92C2-25804820EDAC}">
                        <c15:formulaRef>
                          <c15:sqref>Output!$I$7:$M$7</c15:sqref>
                        </c15:formulaRef>
                      </c:ext>
                    </c:extLst>
                    <c:strCache>
                      <c:ptCount val="4"/>
                      <c:pt idx="0">
                        <c:v>Tugboats</c:v>
                      </c:pt>
                      <c:pt idx="1">
                        <c:v>Commercial Fishing Vessels</c:v>
                      </c:pt>
                      <c:pt idx="2">
                        <c:v>Excursion</c:v>
                      </c:pt>
                      <c:pt idx="3">
                        <c:v>Ferries</c:v>
                      </c:pt>
                    </c:strCache>
                  </c:strRef>
                </c:cat>
                <c:val>
                  <c:numRef>
                    <c:extLst xmlns:c15="http://schemas.microsoft.com/office/drawing/2012/chart">
                      <c:ext xmlns:c15="http://schemas.microsoft.com/office/drawing/2012/chart" uri="{02D57815-91ED-43cb-92C2-25804820EDAC}">
                        <c15:formulaRef>
                          <c15:sqref>Output!$I$15:$M$15</c15:sqref>
                        </c15:formulaRef>
                      </c:ext>
                    </c:extLst>
                    <c:numCache>
                      <c:formatCode>"$"#,##0</c:formatCode>
                      <c:ptCount val="4"/>
                      <c:pt idx="0">
                        <c:v>0</c:v>
                      </c:pt>
                      <c:pt idx="1">
                        <c:v>0</c:v>
                      </c:pt>
                      <c:pt idx="2">
                        <c:v>0</c:v>
                      </c:pt>
                      <c:pt idx="3">
                        <c:v>0</c:v>
                      </c:pt>
                    </c:numCache>
                  </c:numRef>
                </c:val>
                <c:extLst xmlns:c15="http://schemas.microsoft.com/office/drawing/2012/chart">
                  <c:ext xmlns:c16="http://schemas.microsoft.com/office/drawing/2014/chart" uri="{C3380CC4-5D6E-409C-BE32-E72D297353CC}">
                    <c16:uniqueId val="{00000008-322E-4A25-A504-9749F44B9DDD}"/>
                  </c:ext>
                </c:extLst>
              </c15:ser>
            </c15:filteredBarSeries>
            <c15:filteredBarSeries>
              <c15:ser>
                <c:idx val="7"/>
                <c:order val="6"/>
                <c:tx>
                  <c:strRef>
                    <c:extLst xmlns:c15="http://schemas.microsoft.com/office/drawing/2012/chart">
                      <c:ext xmlns:c15="http://schemas.microsoft.com/office/drawing/2012/chart" uri="{02D57815-91ED-43cb-92C2-25804820EDAC}">
                        <c15:formulaRef>
                          <c15:sqref>Output!$H$16</c15:sqref>
                        </c15:formulaRef>
                      </c:ext>
                    </c:extLst>
                    <c:strCache>
                      <c:ptCount val="1"/>
                      <c:pt idx="0">
                        <c:v>Annual wait time costs - lost revenue ($/year)</c:v>
                      </c:pt>
                    </c:strCache>
                  </c:strRef>
                </c:tx>
                <c:spPr>
                  <a:solidFill>
                    <a:schemeClr val="accent2">
                      <a:lumMod val="60000"/>
                    </a:schemeClr>
                  </a:solidFill>
                  <a:ln>
                    <a:noFill/>
                  </a:ln>
                  <a:effectLst/>
                </c:spPr>
                <c:invertIfNegative val="0"/>
                <c:cat>
                  <c:strRef>
                    <c:extLst xmlns:c15="http://schemas.microsoft.com/office/drawing/2012/chart">
                      <c:ext xmlns:c15="http://schemas.microsoft.com/office/drawing/2012/chart" uri="{02D57815-91ED-43cb-92C2-25804820EDAC}">
                        <c15:formulaRef>
                          <c15:sqref>Output!$I$7:$M$7</c15:sqref>
                        </c15:formulaRef>
                      </c:ext>
                    </c:extLst>
                    <c:strCache>
                      <c:ptCount val="4"/>
                      <c:pt idx="0">
                        <c:v>Tugboats</c:v>
                      </c:pt>
                      <c:pt idx="1">
                        <c:v>Commercial Fishing Vessels</c:v>
                      </c:pt>
                      <c:pt idx="2">
                        <c:v>Excursion</c:v>
                      </c:pt>
                      <c:pt idx="3">
                        <c:v>Ferries</c:v>
                      </c:pt>
                    </c:strCache>
                  </c:strRef>
                </c:cat>
                <c:val>
                  <c:numRef>
                    <c:extLst xmlns:c15="http://schemas.microsoft.com/office/drawing/2012/chart">
                      <c:ext xmlns:c15="http://schemas.microsoft.com/office/drawing/2012/chart" uri="{02D57815-91ED-43cb-92C2-25804820EDAC}">
                        <c15:formulaRef>
                          <c15:sqref>Output!$I$16:$M$16</c15:sqref>
                        </c15:formulaRef>
                      </c:ext>
                    </c:extLst>
                    <c:numCache>
                      <c:formatCode>"$"#,##0</c:formatCode>
                      <c:ptCount val="4"/>
                      <c:pt idx="0">
                        <c:v>0</c:v>
                      </c:pt>
                      <c:pt idx="1">
                        <c:v>0</c:v>
                      </c:pt>
                      <c:pt idx="2">
                        <c:v>0</c:v>
                      </c:pt>
                      <c:pt idx="3">
                        <c:v>0</c:v>
                      </c:pt>
                    </c:numCache>
                  </c:numRef>
                </c:val>
                <c:extLst xmlns:c15="http://schemas.microsoft.com/office/drawing/2012/chart">
                  <c:ext xmlns:c16="http://schemas.microsoft.com/office/drawing/2014/chart" uri="{C3380CC4-5D6E-409C-BE32-E72D297353CC}">
                    <c16:uniqueId val="{00000009-322E-4A25-A504-9749F44B9DDD}"/>
                  </c:ext>
                </c:extLst>
              </c15:ser>
            </c15:filteredBarSeries>
            <c15:filteredBarSeries>
              <c15:ser>
                <c:idx val="10"/>
                <c:order val="9"/>
                <c:tx>
                  <c:strRef>
                    <c:extLst xmlns:c15="http://schemas.microsoft.com/office/drawing/2012/chart">
                      <c:ext xmlns:c15="http://schemas.microsoft.com/office/drawing/2012/chart" uri="{02D57815-91ED-43cb-92C2-25804820EDAC}">
                        <c15:formulaRef>
                          <c15:sqref>Output!$H$20</c15:sqref>
                        </c15:formulaRef>
                      </c:ext>
                    </c:extLst>
                    <c:strCache>
                      <c:ptCount val="1"/>
                    </c:strCache>
                  </c:strRef>
                </c:tx>
                <c:spPr>
                  <a:solidFill>
                    <a:schemeClr val="accent5">
                      <a:lumMod val="60000"/>
                    </a:schemeClr>
                  </a:solidFill>
                  <a:ln>
                    <a:noFill/>
                  </a:ln>
                  <a:effectLst/>
                </c:spPr>
                <c:invertIfNegative val="0"/>
                <c:dLbls>
                  <c:dLbl>
                    <c:idx val="0"/>
                    <c:layout>
                      <c:manualLayout>
                        <c:x val="-1.788375406240934E-2"/>
                        <c:y val="-5.354330708661429E-2"/>
                      </c:manualLayout>
                    </c:layout>
                    <c:tx>
                      <c:rich>
                        <a:bodyPr/>
                        <a:lstStyle/>
                        <a:p>
                          <a:endParaRPr lang="en-US"/>
                        </a:p>
                      </c:rich>
                    </c:tx>
                    <c:showLegendKey val="0"/>
                    <c:showVal val="0"/>
                    <c:showCatName val="0"/>
                    <c:showSerName val="0"/>
                    <c:showPercent val="0"/>
                    <c:showBubbleSize val="0"/>
                    <c:extLst xmlns:c15="http://schemas.microsoft.com/office/drawing/2012/chart">
                      <c:ext xmlns:c15="http://schemas.microsoft.com/office/drawing/2012/chart" uri="{CE6537A1-D6FC-4f65-9D91-7224C49458BB}">
                        <c15:showDataLabelsRange val="0"/>
                      </c:ext>
                      <c:ext xmlns:c16="http://schemas.microsoft.com/office/drawing/2014/chart" uri="{C3380CC4-5D6E-409C-BE32-E72D297353CC}">
                        <c16:uniqueId val="{00000000-46A1-4187-8D10-F6B457D0C1BC}"/>
                      </c:ext>
                    </c:extLst>
                  </c:dLbl>
                  <c:dLbl>
                    <c:idx val="1"/>
                    <c:layout>
                      <c:manualLayout>
                        <c:x val="-2.7638529005541659E-2"/>
                        <c:y val="-4.7244094488188976E-2"/>
                      </c:manualLayout>
                    </c:layout>
                    <c:tx>
                      <c:rich>
                        <a:bodyPr/>
                        <a:lstStyle/>
                        <a:p>
                          <a:endParaRPr lang="en-US"/>
                        </a:p>
                      </c:rich>
                    </c:tx>
                    <c:showLegendKey val="0"/>
                    <c:showVal val="0"/>
                    <c:showCatName val="0"/>
                    <c:showSerName val="0"/>
                    <c:showPercent val="0"/>
                    <c:showBubbleSize val="0"/>
                    <c:extLst xmlns:c15="http://schemas.microsoft.com/office/drawing/2012/chart">
                      <c:ext xmlns:c15="http://schemas.microsoft.com/office/drawing/2012/chart" uri="{CE6537A1-D6FC-4f65-9D91-7224C49458BB}">
                        <c15:showDataLabelsRange val="0"/>
                      </c:ext>
                      <c:ext xmlns:c16="http://schemas.microsoft.com/office/drawing/2014/chart" uri="{C3380CC4-5D6E-409C-BE32-E72D297353CC}">
                        <c16:uniqueId val="{00000001-46A1-4187-8D10-F6B457D0C1BC}"/>
                      </c:ext>
                    </c:extLst>
                  </c:dLbl>
                  <c:dLbl>
                    <c:idx val="2"/>
                    <c:layout>
                      <c:manualLayout>
                        <c:x val="-1.3006366590843253E-2"/>
                        <c:y val="-5.9842519685039369E-2"/>
                      </c:manualLayout>
                    </c:layout>
                    <c:tx>
                      <c:rich>
                        <a:bodyPr/>
                        <a:lstStyle/>
                        <a:p>
                          <a:endParaRPr lang="en-US"/>
                        </a:p>
                      </c:rich>
                    </c:tx>
                    <c:showLegendKey val="0"/>
                    <c:showVal val="0"/>
                    <c:showCatName val="0"/>
                    <c:showSerName val="0"/>
                    <c:showPercent val="0"/>
                    <c:showBubbleSize val="0"/>
                    <c:extLst xmlns:c15="http://schemas.microsoft.com/office/drawing/2012/chart">
                      <c:ext xmlns:c15="http://schemas.microsoft.com/office/drawing/2012/chart" uri="{CE6537A1-D6FC-4f65-9D91-7224C49458BB}">
                        <c15:showDataLabelsRange val="0"/>
                      </c:ext>
                      <c:ext xmlns:c16="http://schemas.microsoft.com/office/drawing/2014/chart" uri="{C3380CC4-5D6E-409C-BE32-E72D297353CC}">
                        <c16:uniqueId val="{00000002-46A1-4187-8D10-F6B457D0C1BC}"/>
                      </c:ext>
                    </c:extLst>
                  </c:dLbl>
                  <c:dLbl>
                    <c:idx val="3"/>
                    <c:layout>
                      <c:manualLayout>
                        <c:x val="-1.7883754062409309E-2"/>
                        <c:y val="-4.0944881889763779E-2"/>
                      </c:manualLayout>
                    </c:layout>
                    <c:tx>
                      <c:rich>
                        <a:bodyPr/>
                        <a:lstStyle/>
                        <a:p>
                          <a:endParaRPr lang="en-US"/>
                        </a:p>
                      </c:rich>
                    </c:tx>
                    <c:showLegendKey val="0"/>
                    <c:showVal val="0"/>
                    <c:showCatName val="0"/>
                    <c:showSerName val="0"/>
                    <c:showPercent val="0"/>
                    <c:showBubbleSize val="0"/>
                    <c:extLst xmlns:c15="http://schemas.microsoft.com/office/drawing/2012/chart">
                      <c:ext xmlns:c15="http://schemas.microsoft.com/office/drawing/2012/chart" uri="{CE6537A1-D6FC-4f65-9D91-7224C49458BB}">
                        <c15:showDataLabelsRange val="0"/>
                      </c:ext>
                      <c:ext xmlns:c16="http://schemas.microsoft.com/office/drawing/2014/chart" uri="{C3380CC4-5D6E-409C-BE32-E72D297353CC}">
                        <c16:uniqueId val="{00000003-46A1-4187-8D10-F6B457D0C1BC}"/>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xmlns:c15="http://schemas.microsoft.com/office/drawing/2012/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xmlns:c15="http://schemas.microsoft.com/office/drawing/2012/chart">
                      <c:ext xmlns:c15="http://schemas.microsoft.com/office/drawing/2012/chart" uri="{02D57815-91ED-43cb-92C2-25804820EDAC}">
                        <c15:formulaRef>
                          <c15:sqref>Output!$I$7:$M$7</c15:sqref>
                        </c15:formulaRef>
                      </c:ext>
                    </c:extLst>
                    <c:strCache>
                      <c:ptCount val="4"/>
                      <c:pt idx="0">
                        <c:v>Tugboats</c:v>
                      </c:pt>
                      <c:pt idx="1">
                        <c:v>Commercial Fishing Vessels</c:v>
                      </c:pt>
                      <c:pt idx="2">
                        <c:v>Excursion</c:v>
                      </c:pt>
                      <c:pt idx="3">
                        <c:v>Ferries</c:v>
                      </c:pt>
                    </c:strCache>
                  </c:strRef>
                </c:cat>
                <c:val>
                  <c:numRef>
                    <c:extLst xmlns:c15="http://schemas.microsoft.com/office/drawing/2012/chart">
                      <c:ext xmlns:c15="http://schemas.microsoft.com/office/drawing/2012/chart" uri="{02D57815-91ED-43cb-92C2-25804820EDAC}">
                        <c15:formulaRef>
                          <c15:sqref>Output!$I$21:$M$21</c15:sqref>
                        </c15:formulaRef>
                      </c:ext>
                    </c:extLst>
                    <c:numCache>
                      <c:formatCode>"$"#,##0</c:formatCode>
                      <c:ptCount val="4"/>
                    </c:numCache>
                  </c:numRef>
                </c:val>
                <c:extLst xmlns:c15="http://schemas.microsoft.com/office/drawing/2012/chart">
                  <c:ext xmlns:c16="http://schemas.microsoft.com/office/drawing/2014/chart" uri="{C3380CC4-5D6E-409C-BE32-E72D297353CC}">
                    <c16:uniqueId val="{00000000-322E-4A25-A504-9749F44B9DDD}"/>
                  </c:ext>
                </c:extLst>
              </c15:ser>
            </c15:filteredBarSeries>
            <c15:filteredBarSeries>
              <c15:ser>
                <c:idx val="12"/>
                <c:order val="11"/>
                <c:tx>
                  <c:strRef>
                    <c:extLst xmlns:c15="http://schemas.microsoft.com/office/drawing/2012/chart">
                      <c:ext xmlns:c15="http://schemas.microsoft.com/office/drawing/2012/chart" uri="{02D57815-91ED-43cb-92C2-25804820EDAC}">
                        <c15:formulaRef>
                          <c15:sqref>Output!$H$23</c15:sqref>
                        </c15:formulaRef>
                      </c:ext>
                    </c:extLst>
                    <c:strCache>
                      <c:ptCount val="1"/>
                    </c:strCache>
                  </c:strRef>
                </c:tx>
                <c:spPr>
                  <a:solidFill>
                    <a:schemeClr val="accent1">
                      <a:lumMod val="80000"/>
                      <a:lumOff val="20000"/>
                    </a:schemeClr>
                  </a:solidFill>
                  <a:ln>
                    <a:noFill/>
                  </a:ln>
                  <a:effectLst/>
                </c:spPr>
                <c:invertIfNegative val="0"/>
                <c:cat>
                  <c:strRef>
                    <c:extLst xmlns:c15="http://schemas.microsoft.com/office/drawing/2012/chart">
                      <c:ext xmlns:c15="http://schemas.microsoft.com/office/drawing/2012/chart" uri="{02D57815-91ED-43cb-92C2-25804820EDAC}">
                        <c15:formulaRef>
                          <c15:sqref>Output!$I$7:$M$7</c15:sqref>
                        </c15:formulaRef>
                      </c:ext>
                    </c:extLst>
                    <c:strCache>
                      <c:ptCount val="4"/>
                      <c:pt idx="0">
                        <c:v>Tugboats</c:v>
                      </c:pt>
                      <c:pt idx="1">
                        <c:v>Commercial Fishing Vessels</c:v>
                      </c:pt>
                      <c:pt idx="2">
                        <c:v>Excursion</c:v>
                      </c:pt>
                      <c:pt idx="3">
                        <c:v>Ferries</c:v>
                      </c:pt>
                    </c:strCache>
                  </c:strRef>
                </c:cat>
                <c:val>
                  <c:numRef>
                    <c:extLst xmlns:c15="http://schemas.microsoft.com/office/drawing/2012/chart">
                      <c:ext xmlns:c15="http://schemas.microsoft.com/office/drawing/2012/chart" uri="{02D57815-91ED-43cb-92C2-25804820EDAC}">
                        <c15:formulaRef>
                          <c15:sqref>Output!$I$22:$M$22</c15:sqref>
                        </c15:formulaRef>
                      </c:ext>
                    </c:extLst>
                    <c:numCache>
                      <c:formatCode>General</c:formatCode>
                      <c:ptCount val="4"/>
                    </c:numCache>
                  </c:numRef>
                </c:val>
                <c:extLst xmlns:c15="http://schemas.microsoft.com/office/drawing/2012/chart">
                  <c:ext xmlns:c16="http://schemas.microsoft.com/office/drawing/2014/chart" uri="{C3380CC4-5D6E-409C-BE32-E72D297353CC}">
                    <c16:uniqueId val="{00000017-322E-4A25-A504-9749F44B9DDD}"/>
                  </c:ext>
                </c:extLst>
              </c15:ser>
            </c15:filteredBarSeries>
          </c:ext>
        </c:extLst>
      </c:barChart>
      <c:lineChart>
        <c:grouping val="standard"/>
        <c:varyColors val="0"/>
        <c:ser>
          <c:idx val="8"/>
          <c:order val="7"/>
          <c:tx>
            <c:v>Vessels with holding tank</c:v>
          </c:tx>
          <c:spPr>
            <a:ln w="25400" cap="rnd">
              <a:noFill/>
              <a:round/>
            </a:ln>
            <a:effectLst/>
          </c:spPr>
          <c:marker>
            <c:symbol val="circle"/>
            <c:size val="7"/>
            <c:spPr>
              <a:solidFill>
                <a:schemeClr val="accent1"/>
              </a:solidFill>
              <a:ln w="9525">
                <a:solidFill>
                  <a:schemeClr val="accent1"/>
                </a:solidFill>
              </a:ln>
              <a:effectLst/>
            </c:spPr>
          </c:marker>
          <c:cat>
            <c:numRef>
              <c:f>Output!$I$6:$M$6</c:f>
              <c:numCache>
                <c:formatCode>General</c:formatCode>
                <c:ptCount val="4"/>
              </c:numCache>
              <c:extLst xmlns:c15="http://schemas.microsoft.com/office/drawing/2012/chart"/>
            </c:numRef>
          </c:cat>
          <c:val>
            <c:numRef>
              <c:f>Output!$I$18:$M$18</c:f>
              <c:numCache>
                <c:formatCode>0.0%</c:formatCode>
                <c:ptCount val="4"/>
                <c:pt idx="0">
                  <c:v>0</c:v>
                </c:pt>
                <c:pt idx="1">
                  <c:v>0</c:v>
                </c:pt>
                <c:pt idx="2">
                  <c:v>0</c:v>
                </c:pt>
                <c:pt idx="3">
                  <c:v>0</c:v>
                </c:pt>
              </c:numCache>
            </c:numRef>
          </c:val>
          <c:smooth val="0"/>
          <c:extLst xmlns:c15="http://schemas.microsoft.com/office/drawing/2012/chart">
            <c:ext xmlns:c16="http://schemas.microsoft.com/office/drawing/2014/chart" uri="{C3380CC4-5D6E-409C-BE32-E72D297353CC}">
              <c16:uniqueId val="{0000000E-322E-4A25-A504-9749F44B9DDD}"/>
            </c:ext>
          </c:extLst>
        </c:ser>
        <c:ser>
          <c:idx val="9"/>
          <c:order val="8"/>
          <c:tx>
            <c:v>Vessels without holding tank</c:v>
          </c:tx>
          <c:spPr>
            <a:ln w="28575" cap="rnd">
              <a:noFill/>
              <a:round/>
            </a:ln>
            <a:effectLst/>
          </c:spPr>
          <c:marker>
            <c:symbol val="circle"/>
            <c:size val="7"/>
            <c:spPr>
              <a:solidFill>
                <a:srgbClr val="C00000"/>
              </a:solidFill>
              <a:ln w="9525">
                <a:solidFill>
                  <a:schemeClr val="accent1"/>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Output!$I$7:$M$7</c:f>
              <c:strCache>
                <c:ptCount val="4"/>
                <c:pt idx="0">
                  <c:v>Tugboats</c:v>
                </c:pt>
                <c:pt idx="1">
                  <c:v>Commercial Fishing Vessels</c:v>
                </c:pt>
                <c:pt idx="2">
                  <c:v>Excursion</c:v>
                </c:pt>
                <c:pt idx="3">
                  <c:v>Ferries</c:v>
                </c:pt>
              </c:strCache>
              <c:extLst xmlns:c15="http://schemas.microsoft.com/office/drawing/2012/chart"/>
            </c:strRef>
          </c:cat>
          <c:val>
            <c:numRef>
              <c:f>Output!$I$19:$M$19</c:f>
              <c:numCache>
                <c:formatCode>0.0%</c:formatCode>
                <c:ptCount val="4"/>
                <c:pt idx="0">
                  <c:v>0</c:v>
                </c:pt>
                <c:pt idx="1">
                  <c:v>0</c:v>
                </c:pt>
                <c:pt idx="2">
                  <c:v>0</c:v>
                </c:pt>
                <c:pt idx="3">
                  <c:v>0</c:v>
                </c:pt>
              </c:numCache>
            </c:numRef>
          </c:val>
          <c:smooth val="0"/>
          <c:extLst xmlns:c15="http://schemas.microsoft.com/office/drawing/2012/chart">
            <c:ext xmlns:c16="http://schemas.microsoft.com/office/drawing/2014/chart" uri="{C3380CC4-5D6E-409C-BE32-E72D297353CC}">
              <c16:uniqueId val="{00000012-322E-4A25-A504-9749F44B9DDD}"/>
            </c:ext>
          </c:extLst>
        </c:ser>
        <c:ser>
          <c:idx val="11"/>
          <c:order val="10"/>
          <c:tx>
            <c:strRef>
              <c:f>Output!$H$21</c:f>
              <c:strCache>
                <c:ptCount val="1"/>
              </c:strCache>
              <c:extLst xmlns:c15="http://schemas.microsoft.com/office/drawing/2012/chart"/>
            </c:strRef>
          </c:tx>
          <c:spPr>
            <a:ln w="25400" cap="rnd">
              <a:noFill/>
              <a:round/>
            </a:ln>
            <a:effectLst/>
          </c:spPr>
          <c:marker>
            <c:symbol val="circle"/>
            <c:size val="7"/>
            <c:spPr>
              <a:solidFill>
                <a:schemeClr val="accent6">
                  <a:lumMod val="60000"/>
                </a:schemeClr>
              </a:solidFill>
              <a:ln w="9525">
                <a:solidFill>
                  <a:schemeClr val="accent6">
                    <a:lumMod val="60000"/>
                  </a:schemeClr>
                </a:solidFill>
              </a:ln>
              <a:effectLst/>
            </c:spPr>
          </c:marker>
          <c:cat>
            <c:numRef>
              <c:f>Output!$I$6:$M$6</c:f>
              <c:numCache>
                <c:formatCode>General</c:formatCode>
                <c:ptCount val="4"/>
              </c:numCache>
              <c:extLst xmlns:c15="http://schemas.microsoft.com/office/drawing/2012/chart"/>
            </c:numRef>
          </c:cat>
          <c:val>
            <c:numRef>
              <c:f>Output!$I$24:$M$24</c:f>
              <c:extLst xmlns:c15="http://schemas.microsoft.com/office/drawing/2012/chart"/>
            </c:numRef>
          </c:val>
          <c:smooth val="0"/>
          <c:extLst xmlns:c15="http://schemas.microsoft.com/office/drawing/2012/chart">
            <c:ext xmlns:c16="http://schemas.microsoft.com/office/drawing/2014/chart" uri="{C3380CC4-5D6E-409C-BE32-E72D297353CC}">
              <c16:uniqueId val="{00000001-322E-4A25-A504-9749F44B9DDD}"/>
            </c:ext>
          </c:extLst>
        </c:ser>
        <c:dLbls>
          <c:showLegendKey val="0"/>
          <c:showVal val="0"/>
          <c:showCatName val="0"/>
          <c:showSerName val="0"/>
          <c:showPercent val="0"/>
          <c:showBubbleSize val="0"/>
        </c:dLbls>
        <c:marker val="1"/>
        <c:smooth val="0"/>
        <c:axId val="1388607663"/>
        <c:axId val="1395378639"/>
        <c:extLst/>
      </c:lineChart>
      <c:catAx>
        <c:axId val="13886076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95378639"/>
        <c:crosses val="autoZero"/>
        <c:auto val="1"/>
        <c:lblAlgn val="ctr"/>
        <c:lblOffset val="100"/>
        <c:noMultiLvlLbl val="0"/>
      </c:catAx>
      <c:valAx>
        <c:axId val="1395378639"/>
        <c:scaling>
          <c:orientation val="minMax"/>
          <c:max val="1"/>
          <c:min val="0"/>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8860766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editAs="oneCell">
    <xdr:from>
      <xdr:col>0</xdr:col>
      <xdr:colOff>154781</xdr:colOff>
      <xdr:row>38</xdr:row>
      <xdr:rowOff>20636</xdr:rowOff>
    </xdr:from>
    <xdr:to>
      <xdr:col>13</xdr:col>
      <xdr:colOff>544511</xdr:colOff>
      <xdr:row>65</xdr:row>
      <xdr:rowOff>17601</xdr:rowOff>
    </xdr:to>
    <xdr:pic>
      <xdr:nvPicPr>
        <xdr:cNvPr id="3" name="Picture 2" descr=" Figure 1 shows the relationships between each type of input, supporting calculations, and output values. Vessel inputs are used to estimate NDZ-wide commercial vessel demand. Facility inputs are used to estimate NDZ-wide existing commercial facility capacity. Estimates for demand and capacity are then used in a screening analysis to determine whether sufficient capacity exists within the NDZ. Cost inputs, along with the results of the screening analysis, are used to calculate compliance costs. Compliance costs are then used to perform an expenditure test and assess economic impact. The results of the screening analysis and the expenditure test are used to determine whether there is reasonable availability of pumpout facilities.">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4781" y="10390980"/>
          <a:ext cx="8533605" cy="481899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104775</xdr:colOff>
          <xdr:row>14</xdr:row>
          <xdr:rowOff>228600</xdr:rowOff>
        </xdr:from>
        <xdr:to>
          <xdr:col>6</xdr:col>
          <xdr:colOff>1619250</xdr:colOff>
          <xdr:row>16</xdr:row>
          <xdr:rowOff>133350</xdr:rowOff>
        </xdr:to>
        <xdr:sp macro="" textlink="">
          <xdr:nvSpPr>
            <xdr:cNvPr id="35842" name="Button 2" hidden="1">
              <a:extLst>
                <a:ext uri="{63B3BB69-23CF-44E3-9099-C40C66FF867C}">
                  <a14:compatExt spid="_x0000_s35842"/>
                </a:ext>
                <a:ext uri="{FF2B5EF4-FFF2-40B4-BE49-F238E27FC236}">
                  <a16:creationId xmlns:a16="http://schemas.microsoft.com/office/drawing/2014/main" id="{00000000-0008-0000-0300-0000028C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US" sz="1200" b="0" i="0" u="none" strike="noStrike" baseline="0">
                  <a:solidFill>
                    <a:srgbClr val="000000"/>
                  </a:solidFill>
                  <a:latin typeface="Arial"/>
                  <a:cs typeface="Arial"/>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133350</xdr:colOff>
          <xdr:row>17</xdr:row>
          <xdr:rowOff>47625</xdr:rowOff>
        </xdr:from>
        <xdr:to>
          <xdr:col>12</xdr:col>
          <xdr:colOff>1714500</xdr:colOff>
          <xdr:row>19</xdr:row>
          <xdr:rowOff>123825</xdr:rowOff>
        </xdr:to>
        <xdr:sp macro="" textlink="">
          <xdr:nvSpPr>
            <xdr:cNvPr id="35844" name="Button 4" hidden="1">
              <a:extLst>
                <a:ext uri="{63B3BB69-23CF-44E3-9099-C40C66FF867C}">
                  <a14:compatExt spid="_x0000_s35844"/>
                </a:ext>
                <a:ext uri="{FF2B5EF4-FFF2-40B4-BE49-F238E27FC236}">
                  <a16:creationId xmlns:a16="http://schemas.microsoft.com/office/drawing/2014/main" id="{00000000-0008-0000-0300-0000048C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US" sz="1200" b="0" i="0" u="none" strike="noStrike" baseline="0">
                  <a:solidFill>
                    <a:srgbClr val="000000"/>
                  </a:solidFill>
                  <a:latin typeface="Arial"/>
                  <a:cs typeface="Arial"/>
                </a:rPr>
                <a:t>Delete Row</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714375</xdr:colOff>
          <xdr:row>14</xdr:row>
          <xdr:rowOff>123825</xdr:rowOff>
        </xdr:from>
        <xdr:to>
          <xdr:col>8</xdr:col>
          <xdr:colOff>447675</xdr:colOff>
          <xdr:row>16</xdr:row>
          <xdr:rowOff>180975</xdr:rowOff>
        </xdr:to>
        <xdr:sp macro="" textlink="">
          <xdr:nvSpPr>
            <xdr:cNvPr id="6254" name="Button 110" hidden="1">
              <a:extLst>
                <a:ext uri="{63B3BB69-23CF-44E3-9099-C40C66FF867C}">
                  <a14:compatExt spid="_x0000_s6254"/>
                </a:ext>
                <a:ext uri="{FF2B5EF4-FFF2-40B4-BE49-F238E27FC236}">
                  <a16:creationId xmlns:a16="http://schemas.microsoft.com/office/drawing/2014/main" id="{00000000-0008-0000-0400-00006E18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US" sz="1200" b="0" i="0" u="none" strike="noStrike" baseline="0">
                  <a:solidFill>
                    <a:srgbClr val="000000"/>
                  </a:solidFill>
                  <a:latin typeface="Arial"/>
                  <a:cs typeface="Arial"/>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895350</xdr:colOff>
          <xdr:row>17</xdr:row>
          <xdr:rowOff>76200</xdr:rowOff>
        </xdr:from>
        <xdr:to>
          <xdr:col>12</xdr:col>
          <xdr:colOff>323850</xdr:colOff>
          <xdr:row>19</xdr:row>
          <xdr:rowOff>152400</xdr:rowOff>
        </xdr:to>
        <xdr:sp macro="" textlink="">
          <xdr:nvSpPr>
            <xdr:cNvPr id="6255" name="Button 111" hidden="1">
              <a:extLst>
                <a:ext uri="{63B3BB69-23CF-44E3-9099-C40C66FF867C}">
                  <a14:compatExt spid="_x0000_s6255"/>
                </a:ext>
                <a:ext uri="{FF2B5EF4-FFF2-40B4-BE49-F238E27FC236}">
                  <a16:creationId xmlns:a16="http://schemas.microsoft.com/office/drawing/2014/main" id="{00000000-0008-0000-0400-00006F18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US" sz="1200" b="0" i="0" u="none" strike="noStrike" baseline="0">
                  <a:solidFill>
                    <a:srgbClr val="000000"/>
                  </a:solidFill>
                  <a:latin typeface="Arial"/>
                  <a:cs typeface="Arial"/>
                </a:rPr>
                <a:t>Delete Row</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xdr:col>
      <xdr:colOff>325614</xdr:colOff>
      <xdr:row>14</xdr:row>
      <xdr:rowOff>117124</xdr:rowOff>
    </xdr:from>
    <xdr:to>
      <xdr:col>3</xdr:col>
      <xdr:colOff>1202973</xdr:colOff>
      <xdr:row>29</xdr:row>
      <xdr:rowOff>73380</xdr:rowOff>
    </xdr:to>
    <xdr:graphicFrame macro="">
      <xdr:nvGraphicFramePr>
        <xdr:cNvPr id="2" name="Chart 3" descr="Figure 1 is a bar chart presenting the results from Table 1 to compare the demand and capacity (in gallons per day).">
          <a:extLst>
            <a:ext uri="{FF2B5EF4-FFF2-40B4-BE49-F238E27FC236}">
              <a16:creationId xmlns:a16="http://schemas.microsoft.com/office/drawing/2014/main" id="{00000000-0008-0000-06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325614</xdr:colOff>
      <xdr:row>14</xdr:row>
      <xdr:rowOff>117124</xdr:rowOff>
    </xdr:from>
    <xdr:to>
      <xdr:col>3</xdr:col>
      <xdr:colOff>1202973</xdr:colOff>
      <xdr:row>29</xdr:row>
      <xdr:rowOff>73380</xdr:rowOff>
    </xdr:to>
    <xdr:graphicFrame macro="">
      <xdr:nvGraphicFramePr>
        <xdr:cNvPr id="6" name="Chart 3">
          <a:extLst>
            <a:ext uri="{FF2B5EF4-FFF2-40B4-BE49-F238E27FC236}">
              <a16:creationId xmlns:a16="http://schemas.microsoft.com/office/drawing/2014/main" id="{00000000-0008-0000-06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325614</xdr:colOff>
      <xdr:row>14</xdr:row>
      <xdr:rowOff>117124</xdr:rowOff>
    </xdr:from>
    <xdr:to>
      <xdr:col>3</xdr:col>
      <xdr:colOff>1202973</xdr:colOff>
      <xdr:row>29</xdr:row>
      <xdr:rowOff>154781</xdr:rowOff>
    </xdr:to>
    <xdr:graphicFrame macro="">
      <xdr:nvGraphicFramePr>
        <xdr:cNvPr id="3" name="Chart 3" descr="Figure 1 presents the results from Table 1 to compare the demand, in gallons per day, to the capacity, in gallons per day, in the NDZ.">
          <a:extLst>
            <a:ext uri="{FF2B5EF4-FFF2-40B4-BE49-F238E27FC236}">
              <a16:creationId xmlns:a16="http://schemas.microsoft.com/office/drawing/2014/main" id="{00000000-0008-0000-06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8</xdr:col>
      <xdr:colOff>159101</xdr:colOff>
      <xdr:row>20</xdr:row>
      <xdr:rowOff>159103</xdr:rowOff>
    </xdr:from>
    <xdr:to>
      <xdr:col>12</xdr:col>
      <xdr:colOff>107155</xdr:colOff>
      <xdr:row>40</xdr:row>
      <xdr:rowOff>59531</xdr:rowOff>
    </xdr:to>
    <xdr:graphicFrame macro="">
      <xdr:nvGraphicFramePr>
        <xdr:cNvPr id="5" name="Chart 5" descr="Figure 2 presents the results from Table 2 to illustrate, for each vessel class, the percentage increase in baseline operating costs due to the NDZ designation. The percentage increase is shown for vessels with and without holding tanks. Annual baseline operating costs, in dollars per year, are also included for each vessel class.">
          <a:extLst>
            <a:ext uri="{FF2B5EF4-FFF2-40B4-BE49-F238E27FC236}">
              <a16:creationId xmlns:a16="http://schemas.microsoft.com/office/drawing/2014/main" id="{00000000-0008-0000-06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3733B9F-D290-4CB1-8426-82662A74EDB8}" name="Table1" displayName="Table1" ref="A1:C30" totalsRowShown="0" headerRowDxfId="221" tableBorderDxfId="220">
  <tableColumns count="3">
    <tableColumn id="1" xr3:uid="{8AA2393C-4C85-4F54-967B-A6695735E65B}" name="Tab" dataDxfId="219"/>
    <tableColumn id="2" xr3:uid="{18AFD804-E581-4C4E-AA35-D3B625795382}" name="Input" dataDxfId="218"/>
    <tableColumn id="3" xr3:uid="{AC4F3437-6180-4F43-A934-788F3EE8BDF0}" name="Description" dataDxfId="217"/>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A6E948CA-60B9-4861-9460-3CBDDF308A19}" name="Table2" displayName="Table2" ref="A6:D33" totalsRowShown="0" headerRowDxfId="213" dataDxfId="211" headerRowBorderDxfId="212" tableBorderDxfId="210" totalsRowBorderDxfId="209">
  <tableColumns count="4">
    <tableColumn id="1" xr3:uid="{0028016D-3C8F-44B2-A89E-1F72318C4FF4}" name="Input tab" dataDxfId="208" dataCellStyle="Hyperlink"/>
    <tableColumn id="2" xr3:uid="{36F3239E-60D4-4047-8909-BD77A9768847}" name="Input item" dataDxfId="207" dataCellStyle="Hyperlink"/>
    <tableColumn id="3" xr3:uid="{5C11EF69-99B0-48DB-997D-E96D402496FA}" name="Status" dataDxfId="206"/>
    <tableColumn id="4" xr3:uid="{620D6687-1BB9-40E0-882E-69D7A856C868}" name="Note" dataDxfId="205"/>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B763DBB-7AC1-4D29-8BD6-D94A31D51BD7}" name="Table7" displayName="Table7" ref="A8:W14" totalsRowShown="0" headerRowDxfId="199" headerRowBorderDxfId="198" tableBorderDxfId="197" totalsRowBorderDxfId="196">
  <autoFilter ref="A8:W14" xr:uid="{0CE7D80D-8C06-4EAF-89F4-826754FC5DD2}">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autoFilter>
  <tableColumns count="23">
    <tableColumn id="1" xr3:uid="{585464B0-9437-4C8C-ADF6-1A769C2904C8}" name="Vessel Class" dataDxfId="195"/>
    <tableColumn id="2" xr3:uid="{16F49679-F708-43F9-9029-EFE506545EF0}" name="Class check" dataDxfId="194"/>
    <tableColumn id="3" xr3:uid="{75787D01-8EFD-4EB9-A3FF-FFB9002E12CA}" name="Number Operating in Potential NDZ" dataDxfId="193"/>
    <tableColumn id="4" xr3:uid="{87DEA9C1-C50F-438D-93A4-9B3FA36C2B95}" name="Vessel input check" dataDxfId="192"/>
    <tableColumn id="5" xr3:uid="{5A9E591C-FC95-46C2-8E2F-DCBEE93EBD43}" name="Operating months start date (month and day)" dataDxfId="191"/>
    <tableColumn id="6" xr3:uid="{0F079A29-3192-4412-849B-22C2DE13DF51}" name="Start date check" dataDxfId="190" dataCellStyle="Percent"/>
    <tableColumn id="7" xr3:uid="{7510014B-EC45-4A70-8977-DA050415F1F8}" name="Operating months end date (month and day)" dataDxfId="189"/>
    <tableColumn id="8" xr3:uid="{6A82C718-8A91-4DBA-9BBD-083BE6957288}" name="End date check" dataDxfId="188" dataCellStyle="Percent"/>
    <tableColumn id="18" xr3:uid="{7796065D-7892-47D1-80A3-792106BD00BF}" name="Secondary operating months start date (month and day)" dataDxfId="187" dataCellStyle="Percent"/>
    <tableColumn id="19" xr3:uid="{A2E5BAD3-9D47-4D64-A528-4DBDD11C3AE0}" name="2nd Start date check" dataDxfId="186" dataCellStyle="Percent">
      <calculatedColumnFormula>IF(ISBLANK(I9),1,0)</calculatedColumnFormula>
    </tableColumn>
    <tableColumn id="20" xr3:uid="{766DD83E-05AE-4616-B184-0567F58802C9}" name="Secondary operating months end date (month and day)" dataDxfId="185" dataCellStyle="Percent"/>
    <tableColumn id="21" xr3:uid="{4C9CBCEB-FDCD-4387-A894-D84BFF66C9A5}" name="2nd End date check" dataDxfId="184" dataCellStyle="Percent">
      <calculatedColumnFormula>IF(ISBLANK(K9),1,0)</calculatedColumnFormula>
    </tableColumn>
    <tableColumn id="9" xr3:uid="{E4DA3E7B-2D84-49B8-87B7-D27F456F2E32}" name="Average number of crew and passengers per vessel" dataDxfId="183" dataCellStyle="Percent"/>
    <tableColumn id="10" xr3:uid="{12601088-54E7-4B2E-981B-864F634BD11F}" name="Crew passenger check" dataDxfId="182" dataCellStyle="Percent"/>
    <tableColumn id="11" xr3:uid="{7D9391D8-5B12-454C-BF76-6E258B37F39D}" name="Sewage generation rate (gallons per person per day (g/p/d))" dataDxfId="181"/>
    <tableColumn id="12" xr3:uid="{E1AFB500-2EF3-4857-90DA-D2A9958CA0D5}" name="Sewage check" dataDxfId="180" dataCellStyle="Percent"/>
    <tableColumn id="13" xr3:uid="{36FAE8F7-D8DE-452B-8CE7-67609AB9A925}" name="Pumpout interval (number of days between pumpout)" dataDxfId="179"/>
    <tableColumn id="14" xr3:uid="{FA9FB624-E7A0-485D-8DD1-64652B87A5F9}" name="interval check" dataDxfId="178" dataCellStyle="Percent"/>
    <tableColumn id="15" xr3:uid="{B2F2594A-A99B-4D24-A2B3-5802ECEE4EA4}" name="Average distance traveled (nautical miles)" dataDxfId="177"/>
    <tableColumn id="16" xr3:uid="{03373F09-EA30-40E7-9058-B28F4EA2B2C4}" name="Distance check" dataDxfId="176" dataCellStyle="Percent"/>
    <tableColumn id="17" xr3:uid="{366D977A-61B3-4860-85EF-FA44D94ED31D}" name="Percent of vessels with holding tank installed" dataDxfId="175" dataCellStyle="Percent"/>
    <tableColumn id="22" xr3:uid="{DECCDB75-C442-45CB-BD62-7785DBAA9EAA}" name="% HT check" dataDxfId="174" dataCellStyle="Percent"/>
    <tableColumn id="23" xr3:uid="{5443DF89-BD89-441B-A4A2-99F9F2474D54}" name="Buffer time when pumping out (minutes)"/>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698D1B4-A8F1-464A-B6E0-21E094700698}" name="Table10" displayName="Table10" ref="A8:X14" totalsRowShown="0" headerRowDxfId="159" dataDxfId="157" headerRowBorderDxfId="158" tableBorderDxfId="156">
  <autoFilter ref="A8:X14" xr:uid="{802A1083-B3DE-48A7-A20C-A8262B9B481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autoFilter>
  <tableColumns count="24">
    <tableColumn id="1" xr3:uid="{B2400979-1A0D-48A7-BE83-A1CE467C1785}" name="Facility Name" dataDxfId="155"/>
    <tableColumn id="2" xr3:uid="{9FEB7758-87C6-47AB-BE07-ABCBCBAF6142}" name="Name Check" dataDxfId="154"/>
    <tableColumn id="3" xr3:uid="{CD42E884-1E41-45A3-A695-44AEE5A2CBD5}" name="Facility Type" dataDxfId="153"/>
    <tableColumn id="4" xr3:uid="{22E3EE29-7212-4484-8555-CFEA367FFECD}" name="Type check" dataDxfId="152"/>
    <tableColumn id="5" xr3:uid="{A8D6467D-6CEC-4920-A35A-6673C021D933}" name="Number of hours of operation per day" dataDxfId="151"/>
    <tableColumn id="6" xr3:uid="{A3EFD187-8797-46E4-9385-6CD9825A6562}" name="Hours Check" dataDxfId="150"/>
    <tableColumn id="7" xr3:uid="{97B35C25-5F61-4A73-ACE3-453BACA79226}" name="Days per week in operation" dataDxfId="149"/>
    <tableColumn id="8" xr3:uid="{3C2265A5-4414-4DA1-8B4E-FC5979D933F0}" name="Days Check" dataDxfId="148"/>
    <tableColumn id="9" xr3:uid="{4B1103E9-6A2C-4B9F-9B6B-D1BDFED27FA2}" name="Opening month (if facility operates year-round, enter 1)" dataDxfId="147"/>
    <tableColumn id="10" xr3:uid="{5211AD7A-8C1E-4AA7-B043-E63E312B33A7}" name="Opening month check" dataDxfId="146"/>
    <tableColumn id="11" xr3:uid="{4276AD27-D553-4FDD-ABBE-EF475DDC2C42}" name="Closing month (if facility operates year-round, enter 12)" dataDxfId="145"/>
    <tableColumn id="12" xr3:uid="{C1F0A39E-251A-458F-B22B-A2A1D76DD463}" name="Closing month check" dataDxfId="144"/>
    <tableColumn id="13" xr3:uid="{FCD59D2F-B1D4-493B-972F-D7ED81AA99F8}" name="Connection to sewer?" dataDxfId="143"/>
    <tableColumn id="14" xr3:uid="{0C01D8BE-72C1-4D47-B89E-A7BCB60DB3F2}" name="Sewer check" dataDxfId="142"/>
    <tableColumn id="15" xr3:uid="{85ED591F-1B0D-4EB0-90FE-61EB80C6BE3B}" name="Tank Capacity (gallons)" dataDxfId="141"/>
    <tableColumn id="16" xr3:uid="{89F7D59B-66B2-4032-BCCB-7F37128A140A}" name="Capacity check" dataDxfId="140"/>
    <tableColumn id="17" xr3:uid="{3D429D4A-D53C-4579-9E45-2DB07E5EB401}" name="Total working flow (gpm) " dataDxfId="139"/>
    <tableColumn id="18" xr3:uid="{6A6700A4-E4D3-476C-89B6-B1C699BA750F}" name="WF check" dataDxfId="138"/>
    <tableColumn id="19" xr3:uid="{887F3B48-1FC9-4F84-81C7-040B304D7A78}" name="Base/Service Fee" dataDxfId="137"/>
    <tableColumn id="20" xr3:uid="{1C9FB975-1EAE-427A-B097-615F31B91483}" name="Fee check" dataDxfId="136"/>
    <tableColumn id="21" xr3:uid="{066F284E-4572-4D6F-9079-F4C02A2B4FAA}" name="Base Gallons" dataDxfId="135"/>
    <tableColumn id="22" xr3:uid="{A7A723E9-6929-42E1-BECE-95BC8E444F9C}" name="Gallon check" dataDxfId="134">
      <calculatedColumnFormula>IF(AND(NOT(ISBLANK(S9)),ISBLANK(U9)),1,0)</calculatedColumnFormula>
    </tableColumn>
    <tableColumn id="23" xr3:uid="{54C1A859-524A-4246-A0E4-2F6371DDBE04}" name="Fee ($/gallon)" dataDxfId="133"/>
    <tableColumn id="24" xr3:uid="{035C7154-F165-4883-9D5A-F5D3A5F4A1EB}" name="Fee ($/hour)" dataDxfId="132"/>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8E9E7E3D-96C6-4E8D-83E8-58F80D683D36}" name="Table16" displayName="Table16" ref="A7:J13" totalsRowShown="0" headerRowDxfId="125" tableBorderDxfId="124">
  <autoFilter ref="A7:J13" xr:uid="{73672197-90B7-4212-9EAD-1AEE33FC6377}">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autoFilter>
  <tableColumns count="10">
    <tableColumn id="1" xr3:uid="{52ED2622-3227-4972-A199-FDD546D76C15}" name="Vessel Type" dataDxfId="123"/>
    <tableColumn id="2" xr3:uid="{3550AFA8-886F-429B-B555-7F8D886CDF4E}" name="Annual baseline operating costs ($/vessel)" dataDxfId="122"/>
    <tableColumn id="3" xr3:uid="{D46D239F-3D97-4F6A-A1C3-2C0DC9BF38A0}" name="Baseline check" dataDxfId="121"/>
    <tableColumn id="4" xr3:uid="{AD776905-833B-4457-A977-F290ADAB6589}" name="Vessel speed (nautical miles per hour)" dataDxfId="120"/>
    <tableColumn id="5" xr3:uid="{67F6D34D-7832-446E-8234-ACC11E30E306}" name="Speed check" dataDxfId="119"/>
    <tableColumn id="6" xr3:uid="{B6B53974-FC7C-4D43-98C2-03C8C873168D}" name="Fuel consumption (gallons per hour)" dataDxfId="118"/>
    <tableColumn id="7" xr3:uid="{1A577821-6231-49BA-8BE4-9A4CC3032458}" name="Consumption check" dataDxfId="117"/>
    <tableColumn id="8" xr3:uid="{4A4D81EA-76B8-400F-9139-813FDD4B36FF}" name="Hourly revenue ($/hour/vessel)" dataDxfId="116"/>
    <tableColumn id="9" xr3:uid="{E6CB0259-A09F-4BE7-8692-F07D40E9CBF8}" name="Revenue check" dataDxfId="115"/>
    <tableColumn id="10" xr3:uid="{FCD5E7FF-7F8D-4165-814C-2ECC52F77C9B}" name="Fuel price ($/gallon)" dataDxfId="114"/>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61E2169-944F-49D9-ACCC-EB4B21633B87}" name="Table18" displayName="Table18" ref="B12:E14" totalsRowShown="0" tableBorderDxfId="106">
  <autoFilter ref="B12:E14" xr:uid="{BF73EEA3-1AA7-4F95-831B-8C58095E6C1E}">
    <filterColumn colId="0" hiddenButton="1"/>
    <filterColumn colId="1" hiddenButton="1"/>
    <filterColumn colId="2" hiddenButton="1"/>
    <filterColumn colId="3" hiddenButton="1"/>
  </autoFilter>
  <tableColumns count="4">
    <tableColumn id="1" xr3:uid="{E1249DD3-20C3-4931-BE9A-55C2E699B781}" name="Item" dataDxfId="105"/>
    <tableColumn id="2" xr3:uid="{8B855DF9-EDFA-4C6E-AC2D-C1D4C589318A}" name="Total - minimum" dataDxfId="104">
      <calculatedColumnFormula>IFERROR(MIN(Capacity!I14:T14),"Unknown; user input required")</calculatedColumnFormula>
    </tableColumn>
    <tableColumn id="3" xr3:uid="{CE9266CB-030D-4487-A005-501631ED93C2}" name="Total - maximum" dataDxfId="103">
      <calculatedColumnFormula>IFERROR(MAX(Capacity!I16:T16),"Unknown; user input required")</calculatedColumnFormula>
    </tableColumn>
    <tableColumn id="4" xr3:uid="{4B66D8B3-8532-42A0-8C2A-937669800901}" name="Difference" dataDxfId="102">
      <calculatedColumnFormula>D13-C13</calculatedColumnFormula>
    </tableColumn>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184754FC-CE59-490E-8577-53F1AA8ABB37}" name="Table19" displayName="Table19" ref="B37:C41" totalsRowShown="0" headerRowBorderDxfId="101" tableBorderDxfId="100" totalsRowBorderDxfId="99">
  <tableColumns count="2">
    <tableColumn id="1" xr3:uid="{5A28F0AD-727C-4763-8D38-5D0AA5177F9E}" name="Item" dataDxfId="98"/>
    <tableColumn id="2" xr3:uid="{AF558311-CB2A-4548-801A-5D911F8370AB}" name="Value"/>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ED30960D-2779-4F4A-BC10-50467F419D00}" name="Table17" displayName="Table17" ref="A7:H12" totalsRowShown="0" headerRowDxfId="97" dataDxfId="95" headerRowBorderDxfId="96" tableBorderDxfId="94" totalsRowBorderDxfId="93">
  <autoFilter ref="A7:H12" xr:uid="{FB7BE3D9-F9A4-4F4B-9470-3CFECDB8BDCB}">
    <filterColumn colId="0" hiddenButton="1"/>
    <filterColumn colId="1" hiddenButton="1"/>
    <filterColumn colId="2" hiddenButton="1"/>
    <filterColumn colId="3" hiddenButton="1"/>
    <filterColumn colId="4" hiddenButton="1"/>
    <filterColumn colId="5" hiddenButton="1"/>
    <filterColumn colId="6" hiddenButton="1"/>
    <filterColumn colId="7" hiddenButton="1"/>
  </autoFilter>
  <tableColumns count="8">
    <tableColumn id="1" xr3:uid="{30A2A5B0-D913-486C-8BC9-FE1E9AC1A10C}" name="Vessel Class" dataDxfId="92"/>
    <tableColumn id="2" xr3:uid="{FFBBC526-B8F1-410E-8767-5B78A1305C2A}" name="Number of vessels" dataDxfId="91"/>
    <tableColumn id="3" xr3:uid="{04EC9E66-62F8-433E-9112-A61ACA5930F9}" name="Average # crew and passengers" dataDxfId="90"/>
    <tableColumn id="4" xr3:uid="{41F246A7-76C3-4728-B6F9-2A734CD6AD03}" name="Sewage generation rate (g/p/d)" dataDxfId="89"/>
    <tableColumn id="5" xr3:uid="{4C090A70-62A2-45C6-BF72-A21A9520133E}" name="# days between pumpouts" dataDxfId="88"/>
    <tableColumn id="6" xr3:uid="{F354AD79-B2B3-4CDD-81A7-CF48EDF34BEB}" name="Demand per pumpout per vessel (gallons)" dataDxfId="87"/>
    <tableColumn id="7" xr3:uid="{DA087484-CCC1-4550-9238-745D180F3C6E}" name="Total min. demand per day (gpd)" dataDxfId="86"/>
    <tableColumn id="8" xr3:uid="{00DEC1B9-FFBF-4CC5-8EA1-528AE0F2FC55}" name="Total max. demand per day (gpd)" dataDxfId="85"/>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BF986BBA-3F82-4336-B6A8-7F1BA8798CB5}" name="Table3" displayName="Table3" ref="A21:B25" totalsRowShown="0" headerRowDxfId="81" headerRowBorderDxfId="80" tableBorderDxfId="79" totalsRowBorderDxfId="78">
  <tableColumns count="2">
    <tableColumn id="1" xr3:uid="{95379C41-5048-4526-9887-55EAD9324B10}" name="Vessel Class" dataDxfId="77"/>
    <tableColumn id="2" xr3:uid="{D4E984E0-32F4-429D-82FA-125FD6EE76D7}" name="Pumpout Interval" dataDxfId="76"/>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FCA5D4C-04F4-4DDF-A844-606112EE08CE}" name="Table4" displayName="Table4" ref="A3:K16" totalsRowShown="0" headerRowDxfId="75" dataDxfId="73" headerRowBorderDxfId="74" tableBorderDxfId="72">
  <tableColumns count="11">
    <tableColumn id="1" xr3:uid="{4A9B1B96-9F31-4BDB-91FE-F36E408C83DB}" name="Vessel Class" dataDxfId="71"/>
    <tableColumn id="2" xr3:uid="{9093694F-FDC1-440F-B85C-983B0938BD7F}" name="Vessel Class2" dataDxfId="70"/>
    <tableColumn id="3" xr3:uid="{C210FA71-BB82-4DBD-A61E-91906DADA0FB}" name="Estimated Number of Vessels Using Type I MSDs"/>
    <tableColumn id="4" xr3:uid="{9B69A36A-D2FD-4BF3-8A96-AB154C5BC155}" name="Estimated Number of Vessels Using Type II MSDs"/>
    <tableColumn id="5" xr3:uid="{A6895F61-6B31-4A7A-948D-2DFD010B4EC7}" name="Estimated Number of Vessels Having Only Type III MSDs (not discharging)" dataDxfId="69"/>
    <tableColumn id="6" xr3:uid="{8E0AED39-05A1-4F7B-BD86-6C9BF158CA20}" name="Estimated Number of Vessels Using AWTS" dataDxfId="68"/>
    <tableColumn id="7" xr3:uid="{A3FE2882-EE7D-4B6F-BBA0-ACC56C5F8518}" name="Estimated % of Vessels with Type III or AWTS" dataDxfId="67" dataCellStyle="Percent"/>
    <tableColumn id="8" xr3:uid="{ACA323CF-7260-4A4F-B5C3-1B2681D66B05}" name="Average Number of Passengers and Crew Per Vessel" dataDxfId="66"/>
    <tableColumn id="9" xr3:uid="{60407FF4-E103-4723-936E-2285D160D437}" name="Number of Days Vessel is Discharging Sewage in U.S. Waters (days/yr)" dataDxfId="65"/>
    <tableColumn id="10" xr3:uid="{A3B28258-C4AF-469C-8EA4-B363D705F133}" name="Sewage Generation Rate (gal/day/person)" dataDxfId="64"/>
    <tableColumn id="11" xr3:uid="{AE5B6310-EA29-423F-9324-EB7F797113E8}" name="Total Annual Treated Sewage Possibly Discharged in U.S. Waters by Vessels Having Type I MSDs, Type II MSDs or AWTS (gal/yr)" dataDxfId="63"/>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BB223C60-00FE-4620-9384-962267CEEE05}" name="Table5" displayName="Table5" ref="A3:E7" totalsRowShown="0" headerRowDxfId="62" dataDxfId="61" tableBorderDxfId="60">
  <tableColumns count="5">
    <tableColumn id="1" xr3:uid="{82847936-A403-4705-A51C-E3C0E8E59DFC}" name="Facility Type" dataDxfId="59"/>
    <tableColumn id="4" xr3:uid="{AA23CF75-9929-4CA1-88F3-94B4B12089A3}" name="Holding tank capacity - min (gallons)" dataDxfId="58"/>
    <tableColumn id="5" xr3:uid="{100E1AB0-BB56-4629-B780-1929ACB3544C}" name="Holding tank capacity - max (gallons)" dataDxfId="57"/>
    <tableColumn id="6" xr3:uid="{9DBD9288-75E9-411E-B411-43E94621A09A}" name="Holding tank capacity - average (gallons)" dataDxfId="56">
      <calculatedColumnFormula>AVERAGE(B4:C4)</calculatedColumnFormula>
    </tableColumn>
    <tableColumn id="7" xr3:uid="{45C9CF5A-D0F6-41A2-A58D-26F0B1728D91}" name="Working flow (gpm)" dataDxfId="55"/>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667388AA-A45E-45C4-8C4B-95B471143537}" name="Table6" displayName="Table6" ref="A4:B39" totalsRowShown="0" dataDxfId="54" tableBorderDxfId="53">
  <autoFilter ref="A4:B39" xr:uid="{D48B7472-6D7F-4270-A88E-AB17506F4AA4}"/>
  <tableColumns count="2">
    <tableColumn id="1" xr3:uid="{05308123-DA09-4B4B-9200-0589733C9B85}" name="Source" dataDxfId="52"/>
    <tableColumn id="2" xr3:uid="{8BAA687E-A83A-42D8-86D5-414C9FAE473E}" name="Cost ($2018)" dataDxfId="51"/>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931735E3-1F15-4DDA-9EA0-29274D580168}" name="Table8" displayName="Table8" ref="A74:C79" totalsRowShown="0" tableBorderDxfId="50">
  <tableColumns count="3">
    <tableColumn id="1" xr3:uid="{3938FEBA-8C89-4EE0-B3A1-6667F771A88D}" name="Item" dataDxfId="49"/>
    <tableColumn id="2" xr3:uid="{EB578E86-916D-4204-8B34-E311EA7F7B2C}" name="$2011"/>
    <tableColumn id="3" xr3:uid="{27B34C6A-C50B-416B-9144-12F9E7E72EA3}" name="$2018" dataDxfId="48">
      <calculatedColumnFormula>B75*PPI_2011</calculatedColumnFormula>
    </tableColumn>
  </tableColumns>
  <tableStyleInfo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44F0AF81-E48F-419D-BF27-896AD5D4CF6F}" name="Table9" displayName="Table9" ref="A86:I99" totalsRowShown="0" headerRowDxfId="47" tableBorderDxfId="46">
  <autoFilter ref="A86:I99" xr:uid="{F4420A14-4F6C-43DC-A548-0F7182A04009}"/>
  <tableColumns count="9">
    <tableColumn id="1" xr3:uid="{4C25BF65-2573-4490-8D1C-284CE2BD8BE3}" name="Item" dataDxfId="45"/>
    <tableColumn id="2" xr3:uid="{768D5992-1EBB-4C12-9CC2-D8F6910578A0}" name="&lt;6.7 m net ($2010)" dataDxfId="44"/>
    <tableColumn id="3" xr3:uid="{0356F363-0728-4CE9-86BF-537D235265FD}" name="6.7-11 m Longline/net ($2010)" dataDxfId="43"/>
    <tableColumn id="4" xr3:uid="{8E84FB8F-9325-4122-8782-34C5FA0D514C}" name="11.3-16.8 m Seine/Longline/pot/jig ($2010)" dataDxfId="42"/>
    <tableColumn id="5" xr3:uid="{8978040D-41A9-4E57-949E-004A46C18D36}" name="16.8-30 m Seine/Longline/Crab ($2010)" dataDxfId="41"/>
    <tableColumn id="6" xr3:uid="{D083A269-9B91-44C5-8B1B-815290F31A0C}" name="&lt;6.7 m net ($2018)" dataDxfId="40">
      <calculatedColumnFormula>B87*PPI_2010</calculatedColumnFormula>
    </tableColumn>
    <tableColumn id="7" xr3:uid="{0F648B03-61FC-46F6-B350-2271B2514E79}" name="6.7-11 m Longline/net ($2018)" dataDxfId="39">
      <calculatedColumnFormula>C87*PPI_2010</calculatedColumnFormula>
    </tableColumn>
    <tableColumn id="8" xr3:uid="{F4B68ED9-8AB4-40C6-ACE1-757B5ED45C8B}" name="11.3-16.8 m Seine/Longline/pot/jig ($2018)" dataDxfId="38">
      <calculatedColumnFormula>D87*PPI_2010</calculatedColumnFormula>
    </tableColumn>
    <tableColumn id="9" xr3:uid="{51AF8FCE-D8F6-4AB8-B1FD-643697E2E655}" name="16.8-30 m Seine/Longline/Crab ($2018)" dataDxfId="37">
      <calculatedColumnFormula>E87*PPI_2010</calculatedColumnFormula>
    </tableColumn>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1E58E228-E91A-484A-9CB6-310C34F1AC8F}" name="Table11" displayName="Table11" ref="A5:E6" totalsRowShown="0" headerRowDxfId="36" tableBorderDxfId="35">
  <tableColumns count="5">
    <tableColumn id="1" xr3:uid="{4A9F35CB-AF1A-4FCF-ABFA-63DD440E6EB1}" name="Item" dataDxfId="34"/>
    <tableColumn id="2" xr3:uid="{FA04A615-8F6E-44FD-BFC1-FE9B5308DD1C}" name="Value" dataDxfId="33"/>
    <tableColumn id="3" xr3:uid="{73CA2C7E-4E64-4266-9D1C-578E64B98330}" name="Units" dataDxfId="32"/>
    <tableColumn id="4" xr3:uid="{2C13C946-BD84-42E6-8216-B5DB3A988BBB}" name="[Blank column]" dataDxfId="31"/>
    <tableColumn id="5" xr3:uid="{E481DDCE-3B4F-4E15-90FF-5C9FFCCA8C2C}" name="Source" dataDxfId="30" dataCellStyle="Hyperlink"/>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C9CEC7E-5CCA-4147-B596-1FBE78082185}" name="Table12" displayName="Table12" ref="A7:F11" totalsRowShown="0" headerRowDxfId="29" tableBorderDxfId="28">
  <tableColumns count="6">
    <tableColumn id="1" xr3:uid="{5E52E65C-8FBB-4C87-B8AA-BC4C7545B963}" name="Vessel speed" dataDxfId="27"/>
    <tableColumn id="2" xr3:uid="{9DD95DE7-81CF-4D82-A4CB-7E597E1C6FF1}" name="Min value"/>
    <tableColumn id="3" xr3:uid="{DE3AF1EA-A9F7-465E-A79C-B783CF599D98}" name="Max value"/>
    <tableColumn id="4" xr3:uid="{FD1FD0D1-0061-4800-AB11-5EF700BA5AB0}" name="Average value">
      <calculatedColumnFormula>AVERAGE(B8:C8)</calculatedColumnFormula>
    </tableColumn>
    <tableColumn id="5" xr3:uid="{6EC44A9C-589D-418E-A692-26FE7618E1A9}" name="Source"/>
    <tableColumn id="6" xr3:uid="{51A2848E-9877-4835-8635-2F8D0063C50B}" name="Units" dataDxfId="26"/>
  </tableColumns>
  <tableStyleInfo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450AD8CE-8657-498E-BDDB-423413D026BD}" name="Table13" displayName="Table13" ref="A12:E16" totalsRowShown="0" headerRowDxfId="25" tableBorderDxfId="24">
  <tableColumns count="5">
    <tableColumn id="1" xr3:uid="{664B5A1C-48D2-4560-B3E6-2375976EDCBB}" name="Hourly revenue" dataDxfId="23"/>
    <tableColumn id="2" xr3:uid="{ECD53FC1-5C28-41FA-926F-1D51041E9077}" name="Min value" dataDxfId="22"/>
    <tableColumn id="3" xr3:uid="{05E73743-72C8-491C-BD04-34F694D336F8}" name="Max value" dataDxfId="21"/>
    <tableColumn id="4" xr3:uid="{6EB94234-106F-4321-B3AD-756750B3A013}" name="Average value" dataDxfId="20"/>
    <tableColumn id="5" xr3:uid="{D646E800-CE22-4CE0-8293-732CC483AD44}" name="Source" dataCellStyle="Hyperlink"/>
  </tableColumns>
  <tableStyleInfo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C429CDB7-A233-4780-8D28-C1966490495E}" name="Table14" displayName="Table14" ref="A17:F21" totalsRowShown="0" headerRowDxfId="19" tableBorderDxfId="18">
  <tableColumns count="6">
    <tableColumn id="1" xr3:uid="{25938B79-AD15-435E-8B66-CF92C3A52AF1}" name="Fuel consumption" dataDxfId="17"/>
    <tableColumn id="2" xr3:uid="{2794A2B5-F9A6-4E8D-B66E-8B4DA0D5C685}" name="Min value"/>
    <tableColumn id="3" xr3:uid="{96879CE7-0F67-4DCE-8AEA-816E85E7EA02}" name="Max value"/>
    <tableColumn id="4" xr3:uid="{BA0E1250-AAB4-4B0E-8BAA-344EC4BC3005}" name="Average value">
      <calculatedColumnFormula>AVERAGE(B18:C18)</calculatedColumnFormula>
    </tableColumn>
    <tableColumn id="5" xr3:uid="{F20FA831-1890-4525-9EBA-F5D6991BB311}" name="Source" dataCellStyle="Hyperlink"/>
    <tableColumn id="6" xr3:uid="{CC6A0EC3-A00D-4FC1-9134-493DBE07E476}" name="Units" dataDxfId="16"/>
  </tableColumns>
  <tableStyleInfo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5E4F8409-8595-4EAE-B3D1-D05554448A46}" name="Table15" displayName="Table15" ref="A15:O32" totalsRowShown="0" headerRowDxfId="15" dataDxfId="14">
  <tableColumns count="15">
    <tableColumn id="1" xr3:uid="{0C8AD326-9B33-4091-AE82-C27778CD5B1D}" name="Year" dataDxfId="13"/>
    <tableColumn id="2" xr3:uid="{F77068DE-0A81-4A88-AC0D-1E96515F671A}" name="Jan" dataDxfId="12"/>
    <tableColumn id="3" xr3:uid="{380B12C8-D4F2-4A74-87E6-E857583C908A}" name="Feb" dataDxfId="11"/>
    <tableColumn id="4" xr3:uid="{9E979E63-48C8-4A20-8CB5-CDA66F7A70EE}" name="Mar" dataDxfId="10"/>
    <tableColumn id="5" xr3:uid="{E735B62C-1A95-46BE-B8E1-A90B0055ED4B}" name="Apr" dataDxfId="9"/>
    <tableColumn id="6" xr3:uid="{4C91583F-AFB1-4107-A382-6C91FB06F6D4}" name="May" dataDxfId="8"/>
    <tableColumn id="7" xr3:uid="{C0C4A994-0EFE-4977-9F51-985F908EB8EC}" name="Jun" dataDxfId="7"/>
    <tableColumn id="8" xr3:uid="{DF529F1B-16E9-47E3-B691-6576A91E3733}" name="Jul" dataDxfId="6"/>
    <tableColumn id="9" xr3:uid="{322D1B96-9286-46CB-BCDF-2F782D7BC6F8}" name="Aug" dataDxfId="5"/>
    <tableColumn id="10" xr3:uid="{A66403A5-7EA3-4290-B987-E24613D6393D}" name="Sep" dataDxfId="4"/>
    <tableColumn id="11" xr3:uid="{C25705DC-507B-4846-BB65-32BADF8CA372}" name="Oct" dataDxfId="3"/>
    <tableColumn id="12" xr3:uid="{E4E084FC-655E-42F3-B46C-F3A5906B19A3}" name="Nov" dataDxfId="2"/>
    <tableColumn id="13" xr3:uid="{901E9622-3CED-48E6-9104-D3FD4B8DFECE}" name="Dec" dataDxfId="1"/>
    <tableColumn id="14" xr3:uid="{123EF68C-0D74-4944-9A28-D85351FA9F76}" name="Annual Average" dataDxfId="0">
      <calculatedColumnFormula>AVERAGE(B16:M16)</calculatedColumnFormula>
    </tableColumn>
    <tableColumn id="15" xr3:uid="{9CD2EEEA-A2D6-43BD-B51E-49801AE8F38E}" name="Conversion factor to $2018">
      <calculatedColumnFormula>$N$30/N16</calculatedColumnFormula>
    </tableColumn>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table" Target="../tables/table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5.bin"/><Relationship Id="rId6" Type="http://schemas.openxmlformats.org/officeDocument/2006/relationships/table" Target="../tables/table4.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4.xml"/><Relationship Id="rId1" Type="http://schemas.openxmlformats.org/officeDocument/2006/relationships/printerSettings" Target="../printerSettings/printerSettings7.bin"/><Relationship Id="rId4" Type="http://schemas.openxmlformats.org/officeDocument/2006/relationships/table" Target="../tables/table7.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table" Target="../tables/table9.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hyperlink" Target="https://www.poa.usace.army.mil/Portals/34/docs/civilworks/arcticdeepdraft/AppendixBEconomics.pdf" TargetMode="External"/><Relationship Id="rId7" Type="http://schemas.openxmlformats.org/officeDocument/2006/relationships/table" Target="../tables/table14.xml"/><Relationship Id="rId2" Type="http://schemas.openxmlformats.org/officeDocument/2006/relationships/hyperlink" Target="https://planning.erdc.dren.mil/toolbox/library/EGMs/egm05-06.pdf" TargetMode="External"/><Relationship Id="rId1" Type="http://schemas.openxmlformats.org/officeDocument/2006/relationships/hyperlink" Target="https://www.poa.usace.army.mil/Portals/34/docs/civilworks/currentproj/vol2appendixbeconomicanalysis%20(2).pdf" TargetMode="External"/><Relationship Id="rId6" Type="http://schemas.openxmlformats.org/officeDocument/2006/relationships/table" Target="../tables/table13.xml"/><Relationship Id="rId5" Type="http://schemas.openxmlformats.org/officeDocument/2006/relationships/table" Target="../tables/table12.xml"/><Relationship Id="rId4"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8" Type="http://schemas.openxmlformats.org/officeDocument/2006/relationships/hyperlink" Target="https://ww3.arb.ca.gov/msprog/tech/techreport/draft_chc_technology_assessment.pdf" TargetMode="External"/><Relationship Id="rId13" Type="http://schemas.openxmlformats.org/officeDocument/2006/relationships/table" Target="../tables/table15.xml"/><Relationship Id="rId3" Type="http://schemas.openxmlformats.org/officeDocument/2006/relationships/hyperlink" Target="https://www.bostonharborcruises.com/whale-watch/" TargetMode="External"/><Relationship Id="rId7" Type="http://schemas.openxmlformats.org/officeDocument/2006/relationships/hyperlink" Target="https://ww3.arb.ca.gov/msprog/tech/techreport/draft_chc_technology_assessment.pdf" TargetMode="External"/><Relationship Id="rId12" Type="http://schemas.openxmlformats.org/officeDocument/2006/relationships/printerSettings" Target="../printerSettings/printerSettings18.bin"/><Relationship Id="rId2" Type="http://schemas.openxmlformats.org/officeDocument/2006/relationships/hyperlink" Target="https://fortress.wa.gov/ecy/publications/documents/1610015.pdf" TargetMode="External"/><Relationship Id="rId16" Type="http://schemas.openxmlformats.org/officeDocument/2006/relationships/table" Target="../tables/table18.xml"/><Relationship Id="rId1" Type="http://schemas.openxmlformats.org/officeDocument/2006/relationships/hyperlink" Target="https://www.eia.gov/dnav/pet/pet_pri_refoth_dcu_nus_a.htm" TargetMode="External"/><Relationship Id="rId6" Type="http://schemas.openxmlformats.org/officeDocument/2006/relationships/hyperlink" Target="https://ww3.arb.ca.gov/msprog/tech/techreport/draft_chc_technology_assessment.pdf" TargetMode="External"/><Relationship Id="rId11" Type="http://schemas.openxmlformats.org/officeDocument/2006/relationships/hyperlink" Target="https://reports.psmfc.org/pacfin/f?p=501:505:17395544389944:INITIAL:::F601_SELECTED_NODE:21&amp;cs=3rtK5mL6u_69za51veIWNtNxuJwY5K1rlJPXqvyGWWC2KHiJFCFKLiGOBvBesnQDHFvG8NlHaC1qq9-Kj-zxhVg;" TargetMode="External"/><Relationship Id="rId5" Type="http://schemas.openxmlformats.org/officeDocument/2006/relationships/hyperlink" Target="https://www.weeksmarine.com/equipment-division/tugboats" TargetMode="External"/><Relationship Id="rId15" Type="http://schemas.openxmlformats.org/officeDocument/2006/relationships/table" Target="../tables/table17.xml"/><Relationship Id="rId10" Type="http://schemas.openxmlformats.org/officeDocument/2006/relationships/hyperlink" Target="https://www.sanjuanco.com/DocumentCenter/View/1824/Ferry-Fact-Sheet-PDF?bidId=" TargetMode="External"/><Relationship Id="rId4" Type="http://schemas.openxmlformats.org/officeDocument/2006/relationships/hyperlink" Target="https://www.mauric.ecagroup.com/tuna-seiner-350" TargetMode="External"/><Relationship Id="rId9" Type="http://schemas.openxmlformats.org/officeDocument/2006/relationships/hyperlink" Target="https://ww3.arb.ca.gov/msprog/tech/techreport/draft_chc_technology_assessment.pdf" TargetMode="External"/><Relationship Id="rId14" Type="http://schemas.openxmlformats.org/officeDocument/2006/relationships/table" Target="../tables/table16.xml"/></Relationships>
</file>

<file path=xl/worksheets/_rels/sheet19.xml.rels><?xml version="1.0" encoding="UTF-8" standalone="yes"?>
<Relationships xmlns="http://schemas.openxmlformats.org/package/2006/relationships"><Relationship Id="rId3" Type="http://schemas.openxmlformats.org/officeDocument/2006/relationships/table" Target="../tables/table19.xml"/><Relationship Id="rId2" Type="http://schemas.openxmlformats.org/officeDocument/2006/relationships/printerSettings" Target="../printerSettings/printerSettings19.bin"/><Relationship Id="rId1" Type="http://schemas.openxmlformats.org/officeDocument/2006/relationships/hyperlink" Target="https://www.bls.gov/ppi/"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CEDFC3-C19E-4A92-A9DC-FAFDB5BA0B25}">
  <sheetPr codeName="Sheet1">
    <tabColor theme="1"/>
  </sheetPr>
  <dimension ref="A1:AB69"/>
  <sheetViews>
    <sheetView tabSelected="1" zoomScaleNormal="100" workbookViewId="0">
      <selection activeCell="A2" sqref="A2:F2"/>
    </sheetView>
  </sheetViews>
  <sheetFormatPr defaultColWidth="8.85546875" defaultRowHeight="14.25" x14ac:dyDescent="0.2"/>
  <cols>
    <col min="1" max="1" width="8.85546875" style="25" customWidth="1"/>
    <col min="2" max="2" width="4.140625" style="25" customWidth="1"/>
    <col min="3" max="3" width="22.5703125" style="25" bestFit="1" customWidth="1"/>
    <col min="4" max="4" width="4" style="25" customWidth="1"/>
    <col min="5" max="5" width="4.5703125" style="25" customWidth="1"/>
    <col min="6" max="6" width="16.85546875" style="25" customWidth="1"/>
    <col min="7" max="7" width="4" style="25" customWidth="1"/>
    <col min="8" max="10" width="8.85546875" style="25"/>
    <col min="11" max="11" width="4.5703125" style="25" customWidth="1"/>
    <col min="12" max="12" width="16.85546875" style="25" customWidth="1"/>
    <col min="13" max="13" width="4.140625" style="25" customWidth="1"/>
    <col min="14" max="14" width="8.85546875" style="25" customWidth="1"/>
    <col min="15" max="15" width="6.140625" style="25" customWidth="1"/>
    <col min="16" max="18" width="8.85546875" style="25" customWidth="1"/>
    <col min="19" max="19" width="11" style="25" customWidth="1"/>
    <col min="20" max="28" width="8.85546875" style="25" customWidth="1"/>
    <col min="29" max="16384" width="8.85546875" style="25"/>
  </cols>
  <sheetData>
    <row r="1" spans="1:20" ht="23.25" x14ac:dyDescent="0.35">
      <c r="A1" s="438" t="s">
        <v>453</v>
      </c>
      <c r="B1" s="436"/>
      <c r="C1" s="436"/>
      <c r="D1" s="436"/>
      <c r="E1" s="436"/>
      <c r="F1" s="436"/>
      <c r="G1" s="437"/>
      <c r="H1" s="247"/>
      <c r="I1" s="434"/>
      <c r="J1" s="248"/>
      <c r="K1" s="248"/>
      <c r="L1" s="248"/>
      <c r="M1" s="433"/>
      <c r="N1" s="248"/>
      <c r="O1" s="248"/>
      <c r="P1" s="248"/>
      <c r="Q1" s="248"/>
      <c r="R1" s="248"/>
      <c r="S1" s="249"/>
      <c r="T1" s="250"/>
    </row>
    <row r="2" spans="1:20" ht="18" x14ac:dyDescent="0.25">
      <c r="A2" s="439" t="s">
        <v>457</v>
      </c>
      <c r="B2" s="440"/>
      <c r="C2" s="440"/>
      <c r="D2" s="440"/>
      <c r="E2" s="440"/>
      <c r="F2" s="440"/>
      <c r="G2" s="250"/>
      <c r="H2" s="250"/>
      <c r="I2" s="435"/>
      <c r="J2" s="250"/>
      <c r="K2" s="250"/>
      <c r="L2" s="250"/>
      <c r="M2" s="250"/>
      <c r="N2" s="250"/>
      <c r="O2" s="250"/>
      <c r="P2" s="250"/>
      <c r="Q2" s="250"/>
      <c r="R2" s="250"/>
      <c r="S2" s="251"/>
      <c r="T2" s="250"/>
    </row>
    <row r="3" spans="1:20" x14ac:dyDescent="0.2">
      <c r="A3" s="252"/>
      <c r="B3" s="250"/>
      <c r="C3" s="250"/>
      <c r="D3" s="250"/>
      <c r="E3" s="250"/>
      <c r="F3" s="250"/>
      <c r="G3" s="250"/>
      <c r="H3" s="250"/>
      <c r="I3" s="250"/>
      <c r="J3" s="250"/>
      <c r="K3" s="250"/>
      <c r="L3" s="250"/>
      <c r="M3" s="250"/>
      <c r="N3" s="250"/>
      <c r="O3" s="250"/>
      <c r="P3" s="250"/>
      <c r="Q3" s="250"/>
      <c r="R3" s="250"/>
      <c r="S3" s="251"/>
      <c r="T3" s="250"/>
    </row>
    <row r="4" spans="1:20" ht="30.75" customHeight="1" x14ac:dyDescent="0.2">
      <c r="A4" s="253" t="s">
        <v>0</v>
      </c>
      <c r="B4" s="254"/>
      <c r="C4" s="254"/>
      <c r="D4" s="254"/>
      <c r="E4" s="254"/>
      <c r="F4" s="254"/>
      <c r="G4" s="254"/>
      <c r="H4" s="254"/>
      <c r="I4" s="254"/>
      <c r="J4" s="254"/>
      <c r="K4" s="254"/>
      <c r="L4" s="254"/>
      <c r="M4" s="250"/>
      <c r="N4" s="250"/>
      <c r="O4" s="250"/>
      <c r="P4" s="250"/>
      <c r="Q4" s="250"/>
      <c r="R4" s="250"/>
      <c r="S4" s="251"/>
      <c r="T4" s="250"/>
    </row>
    <row r="5" spans="1:20" ht="45" customHeight="1" x14ac:dyDescent="0.2">
      <c r="A5" s="252"/>
      <c r="B5" s="254" t="s">
        <v>1</v>
      </c>
      <c r="C5" s="254"/>
      <c r="D5" s="254"/>
      <c r="E5" s="254"/>
      <c r="F5" s="254"/>
      <c r="G5" s="254"/>
      <c r="H5" s="254"/>
      <c r="I5" s="254"/>
      <c r="J5" s="254"/>
      <c r="K5" s="254"/>
      <c r="L5" s="254"/>
      <c r="M5" s="250"/>
      <c r="N5" s="250"/>
      <c r="O5" s="250"/>
      <c r="P5" s="250"/>
      <c r="Q5" s="250"/>
      <c r="R5" s="250"/>
      <c r="S5" s="251"/>
      <c r="T5" s="250"/>
    </row>
    <row r="6" spans="1:20" ht="29.25" customHeight="1" x14ac:dyDescent="0.2">
      <c r="A6" s="252"/>
      <c r="B6" s="212" t="s">
        <v>2</v>
      </c>
      <c r="C6" s="212"/>
      <c r="D6" s="212"/>
      <c r="E6" s="212"/>
      <c r="F6" s="212"/>
      <c r="G6" s="212"/>
      <c r="H6" s="212"/>
      <c r="I6" s="212"/>
      <c r="J6" s="212"/>
      <c r="K6" s="212"/>
      <c r="L6" s="212"/>
      <c r="M6" s="250"/>
      <c r="N6" s="250"/>
      <c r="O6" s="250"/>
      <c r="P6" s="250"/>
      <c r="Q6" s="250"/>
      <c r="R6" s="250"/>
      <c r="S6" s="251"/>
      <c r="T6" s="250"/>
    </row>
    <row r="7" spans="1:20" x14ac:dyDescent="0.2">
      <c r="A7" s="252"/>
      <c r="B7" s="250"/>
      <c r="C7" s="250"/>
      <c r="D7" s="250"/>
      <c r="E7" s="250"/>
      <c r="F7" s="250"/>
      <c r="G7" s="250"/>
      <c r="H7" s="250"/>
      <c r="I7" s="250"/>
      <c r="J7" s="250"/>
      <c r="K7" s="250"/>
      <c r="L7" s="250"/>
      <c r="M7" s="250"/>
      <c r="N7" s="250"/>
      <c r="O7" s="250"/>
      <c r="P7" s="250"/>
      <c r="Q7" s="250"/>
      <c r="R7" s="250"/>
      <c r="S7" s="251"/>
      <c r="T7" s="250"/>
    </row>
    <row r="8" spans="1:20" x14ac:dyDescent="0.2">
      <c r="A8" s="252"/>
      <c r="B8" s="250"/>
      <c r="C8" s="250"/>
      <c r="D8" s="250"/>
      <c r="E8" s="250"/>
      <c r="F8" s="250"/>
      <c r="G8" s="250"/>
      <c r="H8" s="250"/>
      <c r="I8" s="250"/>
      <c r="J8" s="250"/>
      <c r="K8" s="250"/>
      <c r="L8" s="250"/>
      <c r="M8" s="250"/>
      <c r="N8" s="250"/>
      <c r="O8" s="250"/>
      <c r="P8" s="250"/>
      <c r="Q8" s="250"/>
      <c r="R8" s="250"/>
      <c r="S8" s="251"/>
      <c r="T8" s="250"/>
    </row>
    <row r="9" spans="1:20" ht="22.5" customHeight="1" x14ac:dyDescent="0.2">
      <c r="A9" s="255" t="s">
        <v>3</v>
      </c>
      <c r="B9" s="256"/>
      <c r="C9" s="256"/>
      <c r="D9" s="256"/>
      <c r="E9" s="256"/>
      <c r="F9" s="256"/>
      <c r="G9" s="256"/>
      <c r="H9" s="256"/>
      <c r="I9" s="256"/>
      <c r="J9" s="256"/>
      <c r="K9" s="256"/>
      <c r="L9" s="256"/>
      <c r="M9" s="250"/>
      <c r="N9" s="250"/>
      <c r="O9" s="250"/>
      <c r="P9" s="250"/>
      <c r="Q9" s="250"/>
      <c r="R9" s="250"/>
      <c r="S9" s="251"/>
      <c r="T9" s="250"/>
    </row>
    <row r="10" spans="1:20" ht="15.75" customHeight="1" x14ac:dyDescent="0.2">
      <c r="A10" s="257"/>
      <c r="B10" s="57" t="s">
        <v>4</v>
      </c>
      <c r="C10" s="58"/>
      <c r="D10" s="58"/>
      <c r="E10" s="59"/>
      <c r="F10" s="258"/>
      <c r="G10" s="258"/>
      <c r="H10" s="258"/>
      <c r="I10" s="258"/>
      <c r="J10" s="258"/>
      <c r="K10" s="258"/>
      <c r="L10" s="258"/>
      <c r="M10" s="250"/>
      <c r="N10" s="250"/>
      <c r="O10" s="250"/>
      <c r="P10" s="250"/>
      <c r="Q10" s="250"/>
      <c r="R10" s="250"/>
      <c r="S10" s="251"/>
      <c r="T10" s="250"/>
    </row>
    <row r="11" spans="1:20" ht="15.75" customHeight="1" x14ac:dyDescent="0.2">
      <c r="A11" s="257"/>
      <c r="B11" s="259" t="s">
        <v>5</v>
      </c>
      <c r="C11" s="260"/>
      <c r="D11" s="260"/>
      <c r="E11" s="261"/>
      <c r="F11" s="258"/>
      <c r="G11" s="258"/>
      <c r="H11" s="258"/>
      <c r="I11" s="258"/>
      <c r="J11" s="258"/>
      <c r="K11" s="258"/>
      <c r="L11" s="258"/>
      <c r="M11" s="250"/>
      <c r="N11" s="250"/>
      <c r="O11" s="250"/>
      <c r="P11" s="250"/>
      <c r="Q11" s="250"/>
      <c r="R11" s="250"/>
      <c r="S11" s="251"/>
      <c r="T11" s="250"/>
    </row>
    <row r="12" spans="1:20" ht="15.75" customHeight="1" x14ac:dyDescent="0.2">
      <c r="A12" s="257"/>
      <c r="B12" s="262" t="s">
        <v>6</v>
      </c>
      <c r="C12" s="263"/>
      <c r="D12" s="263"/>
      <c r="E12" s="264"/>
      <c r="F12" s="258"/>
      <c r="G12" s="258"/>
      <c r="H12" s="258"/>
      <c r="I12" s="258"/>
      <c r="J12" s="258"/>
      <c r="K12" s="258"/>
      <c r="L12" s="258"/>
      <c r="M12" s="250"/>
      <c r="N12" s="250"/>
      <c r="O12" s="250"/>
      <c r="P12" s="250"/>
      <c r="Q12" s="250"/>
      <c r="R12" s="250"/>
      <c r="S12" s="251"/>
      <c r="T12" s="250"/>
    </row>
    <row r="13" spans="1:20" ht="15.75" customHeight="1" x14ac:dyDescent="0.2">
      <c r="A13" s="257"/>
      <c r="B13" s="265" t="s">
        <v>7</v>
      </c>
      <c r="C13" s="266"/>
      <c r="D13" s="266"/>
      <c r="E13" s="267"/>
      <c r="F13" s="258"/>
      <c r="G13" s="258"/>
      <c r="H13" s="258"/>
      <c r="I13" s="258"/>
      <c r="J13" s="258"/>
      <c r="K13" s="258"/>
      <c r="L13" s="258"/>
      <c r="M13" s="250"/>
      <c r="N13" s="250"/>
      <c r="O13" s="250"/>
      <c r="P13" s="250"/>
      <c r="Q13" s="250"/>
      <c r="R13" s="250"/>
      <c r="S13" s="251"/>
      <c r="T13" s="250"/>
    </row>
    <row r="14" spans="1:20" ht="14.25" customHeight="1" x14ac:dyDescent="0.2">
      <c r="A14" s="257"/>
      <c r="B14" s="268"/>
      <c r="C14" s="258"/>
      <c r="D14" s="258"/>
      <c r="E14" s="258"/>
      <c r="F14" s="258"/>
      <c r="G14" s="258"/>
      <c r="H14" s="258"/>
      <c r="I14" s="258"/>
      <c r="J14" s="258"/>
      <c r="K14" s="258"/>
      <c r="L14" s="258"/>
      <c r="M14" s="250"/>
      <c r="N14" s="250"/>
      <c r="O14" s="250"/>
      <c r="P14" s="250"/>
      <c r="Q14" s="250"/>
      <c r="R14" s="250"/>
      <c r="S14" s="251"/>
      <c r="T14" s="250"/>
    </row>
    <row r="15" spans="1:20" ht="57.75" customHeight="1" x14ac:dyDescent="0.25">
      <c r="A15" s="253" t="s">
        <v>8</v>
      </c>
      <c r="B15" s="254"/>
      <c r="C15" s="254"/>
      <c r="D15" s="254"/>
      <c r="E15" s="254"/>
      <c r="F15" s="254"/>
      <c r="G15" s="254"/>
      <c r="H15" s="254"/>
      <c r="I15" s="254"/>
      <c r="J15" s="254"/>
      <c r="K15" s="254"/>
      <c r="L15" s="254"/>
      <c r="M15" s="250"/>
      <c r="N15" s="250"/>
      <c r="O15" s="250"/>
      <c r="P15" s="250"/>
      <c r="Q15" s="250"/>
      <c r="R15" s="250"/>
      <c r="S15" s="251"/>
      <c r="T15" s="60"/>
    </row>
    <row r="16" spans="1:20" x14ac:dyDescent="0.2">
      <c r="A16" s="252"/>
      <c r="B16" s="250"/>
      <c r="C16" s="250"/>
      <c r="D16" s="250"/>
      <c r="E16" s="250"/>
      <c r="F16" s="250"/>
      <c r="G16" s="250"/>
      <c r="H16" s="250"/>
      <c r="I16" s="250"/>
      <c r="J16" s="250"/>
      <c r="K16" s="250"/>
      <c r="L16" s="250"/>
      <c r="M16" s="250"/>
      <c r="N16" s="250"/>
      <c r="O16" s="250"/>
      <c r="P16" s="250"/>
      <c r="Q16" s="250"/>
      <c r="R16" s="250"/>
      <c r="S16" s="251"/>
      <c r="T16" s="250"/>
    </row>
    <row r="17" spans="1:28" x14ac:dyDescent="0.2">
      <c r="A17" s="252"/>
      <c r="B17" s="259" t="s">
        <v>9</v>
      </c>
      <c r="C17" s="260"/>
      <c r="D17" s="260"/>
      <c r="E17" s="261"/>
      <c r="F17" s="250"/>
      <c r="G17" s="250"/>
      <c r="H17" s="250"/>
      <c r="I17" s="250"/>
      <c r="J17" s="250"/>
      <c r="K17" s="250"/>
      <c r="L17" s="250"/>
      <c r="M17" s="250"/>
      <c r="N17" s="250"/>
      <c r="O17" s="250"/>
      <c r="P17" s="250"/>
      <c r="Q17" s="250"/>
      <c r="R17" s="250"/>
      <c r="S17" s="251"/>
      <c r="T17" s="250"/>
      <c r="U17" s="250"/>
      <c r="V17" s="250"/>
      <c r="W17" s="250"/>
      <c r="X17" s="250"/>
      <c r="Y17" s="250"/>
      <c r="Z17" s="250"/>
      <c r="AA17" s="250"/>
      <c r="AB17" s="250"/>
    </row>
    <row r="18" spans="1:28" x14ac:dyDescent="0.2">
      <c r="A18" s="252"/>
      <c r="B18" s="259" t="s">
        <v>10</v>
      </c>
      <c r="C18" s="260"/>
      <c r="D18" s="260"/>
      <c r="E18" s="261"/>
      <c r="F18" s="250"/>
      <c r="G18" s="250"/>
      <c r="H18" s="250"/>
      <c r="I18" s="250"/>
      <c r="J18" s="250"/>
      <c r="K18" s="250"/>
      <c r="L18" s="250"/>
      <c r="M18" s="250"/>
      <c r="N18" s="250"/>
      <c r="O18" s="250"/>
      <c r="P18" s="250"/>
      <c r="Q18" s="250"/>
      <c r="R18" s="250"/>
      <c r="S18" s="251"/>
      <c r="T18" s="250"/>
      <c r="U18" s="250"/>
      <c r="V18" s="250"/>
      <c r="W18" s="250"/>
      <c r="X18" s="250"/>
      <c r="Y18" s="250"/>
      <c r="Z18" s="250"/>
      <c r="AA18" s="250"/>
      <c r="AB18" s="250"/>
    </row>
    <row r="19" spans="1:28" x14ac:dyDescent="0.2">
      <c r="A19" s="252"/>
      <c r="B19" s="259" t="s">
        <v>11</v>
      </c>
      <c r="C19" s="260"/>
      <c r="D19" s="260"/>
      <c r="E19" s="261"/>
      <c r="F19" s="250"/>
      <c r="G19" s="250"/>
      <c r="H19" s="250"/>
      <c r="I19" s="250"/>
      <c r="J19" s="250"/>
      <c r="K19" s="250"/>
      <c r="L19" s="250"/>
      <c r="M19" s="250"/>
      <c r="N19" s="250"/>
      <c r="O19" s="250"/>
      <c r="P19" s="250"/>
      <c r="Q19" s="250"/>
      <c r="R19" s="250"/>
      <c r="S19" s="251"/>
      <c r="T19" s="250"/>
      <c r="U19" s="250"/>
      <c r="V19" s="250"/>
      <c r="W19" s="250"/>
      <c r="X19" s="250"/>
      <c r="Y19" s="250"/>
      <c r="Z19" s="250"/>
      <c r="AA19" s="250"/>
      <c r="AB19" s="250"/>
    </row>
    <row r="20" spans="1:28" x14ac:dyDescent="0.2">
      <c r="A20" s="252"/>
      <c r="B20" s="250"/>
      <c r="C20" s="250"/>
      <c r="D20" s="250"/>
      <c r="E20" s="250"/>
      <c r="F20" s="250"/>
      <c r="G20" s="250"/>
      <c r="H20" s="250"/>
      <c r="I20" s="250"/>
      <c r="J20" s="250"/>
      <c r="K20" s="250"/>
      <c r="L20" s="250"/>
      <c r="M20" s="250"/>
      <c r="N20" s="250"/>
      <c r="O20" s="250"/>
      <c r="P20" s="250"/>
      <c r="Q20" s="250"/>
      <c r="R20" s="250"/>
      <c r="S20" s="251"/>
      <c r="T20" s="250"/>
      <c r="U20" s="250"/>
      <c r="V20" s="250"/>
      <c r="W20" s="250"/>
      <c r="X20" s="250"/>
      <c r="Y20" s="250"/>
      <c r="Z20" s="250"/>
      <c r="AA20" s="250"/>
      <c r="AB20" s="250"/>
    </row>
    <row r="21" spans="1:28" ht="44.1" customHeight="1" x14ac:dyDescent="0.2">
      <c r="A21" s="253" t="s">
        <v>12</v>
      </c>
      <c r="B21" s="254"/>
      <c r="C21" s="254"/>
      <c r="D21" s="254"/>
      <c r="E21" s="254"/>
      <c r="F21" s="254"/>
      <c r="G21" s="254"/>
      <c r="H21" s="254"/>
      <c r="I21" s="254"/>
      <c r="J21" s="254"/>
      <c r="K21" s="254"/>
      <c r="L21" s="254"/>
      <c r="M21" s="250"/>
      <c r="N21" s="250"/>
      <c r="O21" s="250"/>
      <c r="P21" s="250"/>
      <c r="Q21" s="250"/>
      <c r="R21" s="250"/>
      <c r="S21" s="251"/>
      <c r="T21" s="250"/>
      <c r="U21" s="250"/>
      <c r="V21" s="250"/>
      <c r="W21" s="250"/>
      <c r="X21" s="250"/>
      <c r="Y21" s="250"/>
      <c r="Z21" s="250"/>
      <c r="AA21" s="250"/>
      <c r="AB21" s="250"/>
    </row>
    <row r="22" spans="1:28" x14ac:dyDescent="0.2">
      <c r="A22" s="269"/>
      <c r="B22" s="250"/>
      <c r="C22" s="250"/>
      <c r="D22" s="250"/>
      <c r="E22" s="250"/>
      <c r="F22" s="250"/>
      <c r="G22" s="250"/>
      <c r="H22" s="250"/>
      <c r="I22" s="250"/>
      <c r="J22" s="250"/>
      <c r="K22" s="250"/>
      <c r="L22" s="250"/>
      <c r="M22" s="250"/>
      <c r="N22" s="250"/>
      <c r="O22" s="250"/>
      <c r="P22" s="250"/>
      <c r="Q22" s="250"/>
      <c r="R22" s="250"/>
      <c r="S22" s="251"/>
      <c r="T22" s="250"/>
      <c r="U22" s="250"/>
      <c r="V22" s="250"/>
      <c r="W22" s="250"/>
      <c r="X22" s="250"/>
      <c r="Y22" s="250"/>
      <c r="Z22" s="250"/>
      <c r="AA22" s="250"/>
      <c r="AB22" s="250"/>
    </row>
    <row r="23" spans="1:28" x14ac:dyDescent="0.2">
      <c r="A23" s="269"/>
      <c r="B23" s="270"/>
      <c r="C23" s="271"/>
      <c r="D23" s="272"/>
      <c r="E23" s="250"/>
      <c r="F23" s="250"/>
      <c r="G23" s="250"/>
      <c r="H23" s="250"/>
      <c r="I23" s="250"/>
      <c r="J23" s="250"/>
      <c r="K23" s="250"/>
      <c r="L23" s="250"/>
      <c r="M23" s="250"/>
      <c r="N23" s="250"/>
      <c r="O23" s="250"/>
      <c r="P23" s="250"/>
      <c r="Q23" s="250"/>
      <c r="R23" s="250"/>
      <c r="S23" s="251"/>
      <c r="T23" s="250"/>
      <c r="U23" s="250"/>
      <c r="V23" s="250"/>
      <c r="W23" s="250"/>
      <c r="X23" s="250"/>
      <c r="Y23" s="250"/>
      <c r="Z23" s="250"/>
      <c r="AA23" s="250"/>
      <c r="AB23" s="250"/>
    </row>
    <row r="24" spans="1:28" x14ac:dyDescent="0.2">
      <c r="A24" s="269"/>
      <c r="B24" s="273"/>
      <c r="C24" s="274" t="s">
        <v>13</v>
      </c>
      <c r="D24" s="275"/>
      <c r="E24" s="250"/>
      <c r="F24" s="250"/>
      <c r="G24" s="250"/>
      <c r="H24" s="250"/>
      <c r="I24" s="250"/>
      <c r="J24" s="250"/>
      <c r="K24" s="250"/>
      <c r="L24" s="250"/>
      <c r="M24" s="250"/>
      <c r="N24" s="250"/>
      <c r="O24" s="250"/>
      <c r="P24" s="250"/>
      <c r="Q24" s="250"/>
      <c r="R24" s="250"/>
      <c r="S24" s="251"/>
      <c r="T24" s="250"/>
      <c r="U24" s="250"/>
      <c r="V24" s="250"/>
      <c r="W24" s="250"/>
      <c r="X24" s="250"/>
      <c r="Y24" s="250"/>
      <c r="Z24" s="250"/>
      <c r="AA24" s="250"/>
      <c r="AB24" s="250"/>
    </row>
    <row r="25" spans="1:28" x14ac:dyDescent="0.2">
      <c r="A25" s="269"/>
      <c r="B25" s="273"/>
      <c r="C25" s="250"/>
      <c r="D25" s="275"/>
      <c r="E25" s="250"/>
      <c r="F25" s="250"/>
      <c r="G25" s="250"/>
      <c r="H25" s="250"/>
      <c r="I25" s="250"/>
      <c r="J25" s="250"/>
      <c r="K25" s="250"/>
      <c r="L25" s="250"/>
      <c r="M25" s="250"/>
      <c r="N25" s="250"/>
      <c r="O25" s="250"/>
      <c r="P25" s="250"/>
      <c r="Q25" s="250"/>
      <c r="R25" s="250"/>
      <c r="S25" s="251"/>
      <c r="T25" s="250"/>
      <c r="U25" s="250"/>
      <c r="V25" s="250"/>
      <c r="W25" s="250"/>
      <c r="X25" s="250"/>
      <c r="Y25" s="250"/>
      <c r="Z25" s="250"/>
      <c r="AA25" s="250"/>
      <c r="AB25" s="250"/>
    </row>
    <row r="26" spans="1:28" ht="14.1" customHeight="1" x14ac:dyDescent="0.2">
      <c r="A26" s="252"/>
      <c r="B26" s="273"/>
      <c r="C26" s="276" t="s">
        <v>14</v>
      </c>
      <c r="D26" s="275"/>
      <c r="E26" s="250"/>
      <c r="F26" s="250"/>
      <c r="G26" s="250"/>
      <c r="H26" s="250"/>
      <c r="I26" s="250"/>
      <c r="J26" s="250"/>
      <c r="K26" s="250"/>
      <c r="L26" s="250"/>
      <c r="M26" s="250"/>
      <c r="N26" s="250"/>
      <c r="O26" s="250"/>
      <c r="P26" s="250"/>
      <c r="Q26" s="213"/>
      <c r="R26" s="213"/>
      <c r="S26" s="232"/>
      <c r="T26" s="213"/>
      <c r="U26" s="213"/>
      <c r="V26" s="213"/>
      <c r="W26" s="213"/>
      <c r="X26" s="213"/>
      <c r="Y26" s="213"/>
      <c r="Z26" s="213"/>
      <c r="AA26" s="213"/>
      <c r="AB26" s="213"/>
    </row>
    <row r="27" spans="1:28" ht="15" x14ac:dyDescent="0.2">
      <c r="A27" s="252"/>
      <c r="B27" s="273"/>
      <c r="C27" s="250"/>
      <c r="D27" s="275"/>
      <c r="E27" s="250"/>
      <c r="F27" s="250"/>
      <c r="G27" s="250"/>
      <c r="H27" s="250"/>
      <c r="I27" s="250"/>
      <c r="J27" s="250"/>
      <c r="K27" s="250"/>
      <c r="L27" s="250"/>
      <c r="M27" s="250"/>
      <c r="N27" s="250"/>
      <c r="O27" s="250"/>
      <c r="P27" s="250"/>
      <c r="Q27" s="213"/>
      <c r="R27" s="213"/>
      <c r="S27" s="232"/>
      <c r="T27" s="213"/>
      <c r="U27" s="213"/>
      <c r="V27" s="213"/>
      <c r="W27" s="213"/>
      <c r="X27" s="213"/>
      <c r="Y27" s="213"/>
      <c r="Z27" s="213"/>
      <c r="AA27" s="213"/>
      <c r="AB27" s="213"/>
    </row>
    <row r="28" spans="1:28" ht="15" x14ac:dyDescent="0.2">
      <c r="A28" s="252"/>
      <c r="B28" s="273"/>
      <c r="C28" s="277" t="s">
        <v>15</v>
      </c>
      <c r="D28" s="275"/>
      <c r="E28" s="250"/>
      <c r="F28" s="250"/>
      <c r="G28" s="250"/>
      <c r="H28" s="250"/>
      <c r="I28" s="250"/>
      <c r="J28" s="250"/>
      <c r="K28" s="250"/>
      <c r="L28" s="250"/>
      <c r="M28" s="250"/>
      <c r="N28" s="250"/>
      <c r="O28" s="250"/>
      <c r="P28" s="250"/>
      <c r="Q28" s="213"/>
      <c r="R28" s="213"/>
      <c r="S28" s="232"/>
      <c r="T28" s="213"/>
      <c r="U28" s="213"/>
      <c r="V28" s="213"/>
      <c r="W28" s="213"/>
      <c r="X28" s="213"/>
      <c r="Y28" s="213"/>
      <c r="Z28" s="213"/>
      <c r="AA28" s="213"/>
      <c r="AB28" s="213"/>
    </row>
    <row r="29" spans="1:28" ht="15" x14ac:dyDescent="0.2">
      <c r="A29" s="252"/>
      <c r="B29" s="273"/>
      <c r="C29" s="250"/>
      <c r="D29" s="275"/>
      <c r="E29" s="250"/>
      <c r="F29" s="250"/>
      <c r="G29" s="250"/>
      <c r="H29" s="250"/>
      <c r="I29" s="250"/>
      <c r="J29" s="250"/>
      <c r="K29" s="250"/>
      <c r="L29" s="250"/>
      <c r="M29" s="250"/>
      <c r="N29" s="250"/>
      <c r="O29" s="250"/>
      <c r="P29" s="213"/>
      <c r="Q29" s="213"/>
      <c r="R29" s="213"/>
      <c r="S29" s="232"/>
      <c r="T29" s="213"/>
      <c r="U29" s="213"/>
      <c r="V29" s="213"/>
      <c r="W29" s="213"/>
      <c r="X29" s="213"/>
      <c r="Y29" s="213"/>
      <c r="Z29" s="213"/>
      <c r="AA29" s="213"/>
      <c r="AB29" s="213"/>
    </row>
    <row r="30" spans="1:28" ht="15" x14ac:dyDescent="0.2">
      <c r="A30" s="252"/>
      <c r="B30" s="273"/>
      <c r="C30" s="22" t="s">
        <v>16</v>
      </c>
      <c r="D30" s="275"/>
      <c r="E30" s="250"/>
      <c r="F30" s="250"/>
      <c r="G30" s="250"/>
      <c r="H30" s="250"/>
      <c r="I30" s="250"/>
      <c r="J30" s="250"/>
      <c r="K30" s="250"/>
      <c r="L30" s="250"/>
      <c r="M30" s="250"/>
      <c r="N30" s="250"/>
      <c r="O30" s="250"/>
      <c r="P30" s="213"/>
      <c r="Q30" s="213"/>
      <c r="R30" s="213"/>
      <c r="S30" s="232"/>
      <c r="T30" s="213"/>
      <c r="U30" s="213"/>
      <c r="V30" s="213"/>
      <c r="W30" s="213"/>
      <c r="X30" s="213"/>
      <c r="Y30" s="213"/>
      <c r="Z30" s="213"/>
      <c r="AA30" s="213"/>
      <c r="AB30" s="213"/>
    </row>
    <row r="31" spans="1:28" ht="15" x14ac:dyDescent="0.2">
      <c r="A31" s="252"/>
      <c r="B31" s="278"/>
      <c r="C31" s="279"/>
      <c r="D31" s="280"/>
      <c r="E31" s="250"/>
      <c r="F31" s="250"/>
      <c r="G31" s="250"/>
      <c r="H31" s="250"/>
      <c r="I31" s="250"/>
      <c r="J31" s="250"/>
      <c r="K31" s="250"/>
      <c r="L31" s="250"/>
      <c r="M31" s="250"/>
      <c r="N31" s="250"/>
      <c r="O31" s="250"/>
      <c r="P31" s="213"/>
      <c r="Q31" s="213"/>
      <c r="R31" s="213"/>
      <c r="S31" s="232"/>
      <c r="T31" s="213"/>
      <c r="U31" s="213"/>
      <c r="V31" s="213"/>
      <c r="W31" s="213"/>
      <c r="X31" s="213"/>
      <c r="Y31" s="213"/>
      <c r="Z31" s="213"/>
      <c r="AA31" s="213"/>
      <c r="AB31" s="213"/>
    </row>
    <row r="32" spans="1:28" ht="15" x14ac:dyDescent="0.2">
      <c r="A32" s="252"/>
      <c r="B32" s="250"/>
      <c r="C32" s="250"/>
      <c r="D32" s="250"/>
      <c r="E32" s="250"/>
      <c r="F32" s="250"/>
      <c r="G32" s="250"/>
      <c r="H32" s="250"/>
      <c r="I32" s="250"/>
      <c r="J32" s="250"/>
      <c r="K32" s="250"/>
      <c r="L32" s="250"/>
      <c r="M32" s="250"/>
      <c r="N32" s="250"/>
      <c r="O32" s="250"/>
      <c r="P32" s="213"/>
      <c r="Q32" s="213"/>
      <c r="R32" s="213"/>
      <c r="S32" s="232"/>
      <c r="T32" s="213"/>
      <c r="U32" s="213"/>
      <c r="V32" s="213"/>
      <c r="W32" s="213"/>
      <c r="X32" s="213"/>
      <c r="Y32" s="213"/>
      <c r="Z32" s="213"/>
      <c r="AA32" s="213"/>
      <c r="AB32" s="213"/>
    </row>
    <row r="33" spans="1:28" ht="33" customHeight="1" x14ac:dyDescent="0.2">
      <c r="A33" s="281" t="s">
        <v>17</v>
      </c>
      <c r="B33" s="282"/>
      <c r="C33" s="282"/>
      <c r="D33" s="282"/>
      <c r="E33" s="282"/>
      <c r="F33" s="282"/>
      <c r="G33" s="282"/>
      <c r="H33" s="282"/>
      <c r="I33" s="282"/>
      <c r="J33" s="282"/>
      <c r="K33" s="282"/>
      <c r="L33" s="282"/>
      <c r="M33" s="250"/>
      <c r="N33" s="250"/>
      <c r="O33" s="250"/>
      <c r="P33" s="213"/>
      <c r="Q33" s="213"/>
      <c r="R33" s="213"/>
      <c r="S33" s="232"/>
      <c r="T33" s="213"/>
      <c r="U33" s="213"/>
      <c r="V33" s="213"/>
      <c r="W33" s="213"/>
      <c r="X33" s="213"/>
      <c r="Y33" s="213"/>
      <c r="Z33" s="213"/>
      <c r="AA33" s="213"/>
      <c r="AB33" s="213"/>
    </row>
    <row r="34" spans="1:28" ht="15" x14ac:dyDescent="0.25">
      <c r="A34" s="252"/>
      <c r="B34" s="283" t="s">
        <v>18</v>
      </c>
      <c r="C34" s="283"/>
      <c r="D34" s="283"/>
      <c r="E34" s="283"/>
      <c r="F34" s="283"/>
      <c r="G34" s="283"/>
      <c r="H34" s="283"/>
      <c r="I34" s="283"/>
      <c r="J34" s="283"/>
      <c r="K34" s="283"/>
      <c r="L34" s="283"/>
      <c r="M34" s="250"/>
      <c r="N34" s="250"/>
      <c r="O34" s="250"/>
      <c r="P34" s="213"/>
      <c r="Q34" s="213"/>
      <c r="R34" s="213"/>
      <c r="S34" s="232"/>
      <c r="T34" s="213"/>
      <c r="U34" s="213"/>
      <c r="V34" s="213"/>
      <c r="W34" s="213"/>
      <c r="X34" s="213"/>
      <c r="Y34" s="213"/>
      <c r="Z34" s="213"/>
      <c r="AA34" s="213"/>
      <c r="AB34" s="213"/>
    </row>
    <row r="35" spans="1:28" ht="27.6" customHeight="1" x14ac:dyDescent="0.2">
      <c r="A35" s="252"/>
      <c r="B35" s="254" t="s">
        <v>19</v>
      </c>
      <c r="C35" s="254"/>
      <c r="D35" s="254"/>
      <c r="E35" s="254"/>
      <c r="F35" s="254"/>
      <c r="G35" s="254"/>
      <c r="H35" s="254"/>
      <c r="I35" s="254"/>
      <c r="J35" s="254"/>
      <c r="K35" s="254"/>
      <c r="L35" s="254"/>
      <c r="M35" s="254"/>
      <c r="N35" s="250"/>
      <c r="O35" s="250"/>
      <c r="P35" s="213"/>
      <c r="Q35" s="213"/>
      <c r="R35" s="213"/>
      <c r="S35" s="232"/>
      <c r="T35" s="213"/>
      <c r="U35" s="213"/>
      <c r="V35" s="213"/>
      <c r="W35" s="213"/>
      <c r="X35" s="213"/>
      <c r="Y35" s="213"/>
      <c r="Z35" s="213"/>
      <c r="AA35" s="213"/>
      <c r="AB35" s="213"/>
    </row>
    <row r="36" spans="1:28" ht="17.45" customHeight="1" x14ac:dyDescent="0.2">
      <c r="A36" s="252"/>
      <c r="B36" s="250"/>
      <c r="C36" s="250"/>
      <c r="D36" s="250"/>
      <c r="E36" s="250"/>
      <c r="F36" s="250"/>
      <c r="G36" s="250"/>
      <c r="H36" s="250"/>
      <c r="I36" s="250"/>
      <c r="J36" s="250"/>
      <c r="K36" s="250"/>
      <c r="L36" s="250"/>
      <c r="M36" s="250"/>
      <c r="N36" s="250"/>
      <c r="O36" s="250"/>
      <c r="P36" s="213"/>
      <c r="Q36" s="213"/>
      <c r="R36" s="213"/>
      <c r="S36" s="232"/>
      <c r="T36" s="213"/>
      <c r="U36" s="213"/>
      <c r="V36" s="213"/>
      <c r="W36" s="213"/>
      <c r="X36" s="213"/>
      <c r="Y36" s="213"/>
      <c r="Z36" s="213"/>
      <c r="AA36" s="213"/>
      <c r="AB36" s="213"/>
    </row>
    <row r="37" spans="1:28" ht="96" customHeight="1" x14ac:dyDescent="0.2">
      <c r="A37" s="253" t="s">
        <v>20</v>
      </c>
      <c r="B37" s="254"/>
      <c r="C37" s="254"/>
      <c r="D37" s="254"/>
      <c r="E37" s="254"/>
      <c r="F37" s="254"/>
      <c r="G37" s="254"/>
      <c r="H37" s="254"/>
      <c r="I37" s="254"/>
      <c r="J37" s="254"/>
      <c r="K37" s="254"/>
      <c r="L37" s="254"/>
      <c r="M37" s="250"/>
      <c r="N37" s="250"/>
      <c r="O37" s="250"/>
      <c r="P37" s="250"/>
      <c r="Q37" s="250"/>
      <c r="R37" s="250"/>
      <c r="S37" s="251"/>
      <c r="T37" s="250"/>
      <c r="U37" s="250"/>
      <c r="V37" s="250"/>
      <c r="W37" s="250"/>
      <c r="X37" s="250"/>
      <c r="Y37" s="250"/>
      <c r="Z37" s="250"/>
      <c r="AA37" s="250"/>
      <c r="AB37" s="250"/>
    </row>
    <row r="38" spans="1:28" ht="15.75" x14ac:dyDescent="0.25">
      <c r="A38" s="117" t="s">
        <v>21</v>
      </c>
      <c r="B38" s="250"/>
      <c r="C38" s="250"/>
      <c r="D38" s="250"/>
      <c r="E38" s="250"/>
      <c r="F38" s="250"/>
      <c r="G38" s="250"/>
      <c r="H38" s="250"/>
      <c r="I38" s="250"/>
      <c r="J38" s="250"/>
      <c r="K38" s="250"/>
      <c r="L38" s="250"/>
      <c r="M38" s="250"/>
      <c r="N38" s="250"/>
      <c r="O38" s="250"/>
      <c r="P38" s="250"/>
      <c r="Q38" s="250"/>
      <c r="R38" s="250"/>
      <c r="S38" s="251"/>
      <c r="T38" s="250"/>
      <c r="U38" s="250"/>
      <c r="V38" s="250"/>
      <c r="W38" s="250"/>
      <c r="X38" s="250"/>
      <c r="Y38" s="250"/>
      <c r="Z38" s="250"/>
      <c r="AA38" s="250"/>
      <c r="AB38" s="250"/>
    </row>
    <row r="39" spans="1:28" x14ac:dyDescent="0.2">
      <c r="A39" s="252"/>
      <c r="B39" s="250"/>
      <c r="C39" s="250"/>
      <c r="D39" s="250"/>
      <c r="E39" s="250"/>
      <c r="F39" s="250"/>
      <c r="G39" s="250"/>
      <c r="H39" s="250"/>
      <c r="I39" s="250"/>
      <c r="J39" s="250"/>
      <c r="K39" s="250"/>
      <c r="L39" s="250"/>
      <c r="M39" s="250"/>
      <c r="N39" s="250"/>
      <c r="O39" s="250"/>
      <c r="P39" s="250"/>
      <c r="Q39" s="250"/>
      <c r="R39" s="250"/>
      <c r="S39" s="251"/>
      <c r="T39" s="250"/>
      <c r="U39" s="250"/>
      <c r="V39" s="250"/>
      <c r="W39" s="250"/>
      <c r="X39" s="250"/>
      <c r="Y39" s="250"/>
      <c r="Z39" s="250"/>
      <c r="AA39" s="250"/>
      <c r="AB39" s="250"/>
    </row>
    <row r="40" spans="1:28" x14ac:dyDescent="0.2">
      <c r="A40" s="252"/>
      <c r="B40" s="250"/>
      <c r="C40" s="250"/>
      <c r="D40" s="250"/>
      <c r="E40" s="250"/>
      <c r="F40" s="250"/>
      <c r="G40" s="250"/>
      <c r="H40" s="250"/>
      <c r="I40" s="250"/>
      <c r="J40" s="250"/>
      <c r="K40" s="250"/>
      <c r="L40" s="250"/>
      <c r="M40" s="250"/>
      <c r="N40" s="250"/>
      <c r="O40" s="250"/>
      <c r="P40" s="250"/>
      <c r="Q40" s="250"/>
      <c r="R40" s="250"/>
      <c r="S40" s="251"/>
      <c r="T40" s="250"/>
      <c r="U40" s="250"/>
      <c r="V40" s="250"/>
      <c r="W40" s="250"/>
      <c r="X40" s="250"/>
      <c r="Y40" s="250"/>
      <c r="Z40" s="250"/>
      <c r="AA40" s="250"/>
      <c r="AB40" s="250"/>
    </row>
    <row r="41" spans="1:28" x14ac:dyDescent="0.2">
      <c r="A41" s="252"/>
      <c r="B41" s="250"/>
      <c r="C41" s="250"/>
      <c r="D41" s="250"/>
      <c r="E41" s="250"/>
      <c r="F41" s="250"/>
      <c r="G41" s="250"/>
      <c r="H41" s="250"/>
      <c r="I41" s="250"/>
      <c r="J41" s="250"/>
      <c r="K41" s="250"/>
      <c r="L41" s="250"/>
      <c r="M41" s="250"/>
      <c r="N41" s="250"/>
      <c r="O41" s="250"/>
      <c r="P41" s="250"/>
      <c r="Q41" s="250"/>
      <c r="R41" s="250"/>
      <c r="S41" s="251"/>
      <c r="T41" s="250"/>
      <c r="U41" s="250"/>
      <c r="V41" s="250"/>
      <c r="W41" s="250"/>
      <c r="X41" s="250"/>
      <c r="Y41" s="250"/>
      <c r="Z41" s="250"/>
      <c r="AA41" s="250"/>
      <c r="AB41" s="250"/>
    </row>
    <row r="42" spans="1:28" x14ac:dyDescent="0.2">
      <c r="A42" s="252"/>
      <c r="B42" s="250"/>
      <c r="C42" s="250"/>
      <c r="D42" s="250"/>
      <c r="E42" s="250"/>
      <c r="F42" s="250"/>
      <c r="G42" s="250"/>
      <c r="H42" s="250"/>
      <c r="I42" s="250"/>
      <c r="J42" s="250"/>
      <c r="K42" s="250"/>
      <c r="L42" s="250"/>
      <c r="M42" s="250"/>
      <c r="N42" s="250"/>
      <c r="O42" s="250"/>
      <c r="P42" s="250"/>
      <c r="Q42" s="250"/>
      <c r="R42" s="250"/>
      <c r="S42" s="251"/>
      <c r="T42" s="250"/>
      <c r="U42" s="250"/>
      <c r="V42" s="250"/>
      <c r="W42" s="250"/>
      <c r="X42" s="250"/>
      <c r="Y42" s="250"/>
      <c r="Z42" s="250"/>
      <c r="AA42" s="250"/>
      <c r="AB42" s="250"/>
    </row>
    <row r="43" spans="1:28" x14ac:dyDescent="0.2">
      <c r="A43" s="252"/>
      <c r="B43" s="250"/>
      <c r="C43" s="250"/>
      <c r="D43" s="250"/>
      <c r="E43" s="250"/>
      <c r="F43" s="250"/>
      <c r="G43" s="250"/>
      <c r="H43" s="250"/>
      <c r="I43" s="250"/>
      <c r="J43" s="250"/>
      <c r="K43" s="250"/>
      <c r="L43" s="250"/>
      <c r="M43" s="250"/>
      <c r="N43" s="250"/>
      <c r="O43" s="250"/>
      <c r="P43" s="250"/>
      <c r="Q43" s="250"/>
      <c r="R43" s="250"/>
      <c r="S43" s="251"/>
      <c r="T43" s="250"/>
      <c r="U43" s="250"/>
      <c r="V43" s="250"/>
      <c r="W43" s="250"/>
      <c r="X43" s="250"/>
      <c r="Y43" s="250"/>
      <c r="Z43" s="250"/>
      <c r="AA43" s="250"/>
      <c r="AB43" s="250"/>
    </row>
    <row r="44" spans="1:28" x14ac:dyDescent="0.2">
      <c r="A44" s="252"/>
      <c r="B44" s="250"/>
      <c r="C44" s="250"/>
      <c r="D44" s="250"/>
      <c r="E44" s="250"/>
      <c r="F44" s="250"/>
      <c r="G44" s="250"/>
      <c r="H44" s="250"/>
      <c r="I44" s="250"/>
      <c r="J44" s="250"/>
      <c r="K44" s="250"/>
      <c r="L44" s="250"/>
      <c r="M44" s="250"/>
      <c r="N44" s="250"/>
      <c r="O44" s="250"/>
      <c r="P44" s="250"/>
      <c r="Q44" s="250"/>
      <c r="R44" s="250"/>
      <c r="S44" s="251"/>
      <c r="T44" s="250"/>
      <c r="U44" s="250"/>
      <c r="V44" s="250"/>
      <c r="W44" s="250"/>
      <c r="X44" s="250"/>
      <c r="Y44" s="250"/>
      <c r="Z44" s="250"/>
      <c r="AA44" s="250"/>
      <c r="AB44" s="250"/>
    </row>
    <row r="45" spans="1:28" x14ac:dyDescent="0.2">
      <c r="A45" s="252"/>
      <c r="B45" s="250"/>
      <c r="C45" s="250"/>
      <c r="D45" s="250"/>
      <c r="E45" s="250"/>
      <c r="F45" s="250"/>
      <c r="G45" s="250"/>
      <c r="H45" s="250"/>
      <c r="I45" s="250"/>
      <c r="J45" s="250"/>
      <c r="K45" s="250"/>
      <c r="L45" s="250"/>
      <c r="M45" s="250"/>
      <c r="N45" s="250"/>
      <c r="O45" s="250"/>
      <c r="P45" s="250"/>
      <c r="Q45" s="250"/>
      <c r="R45" s="250"/>
      <c r="S45" s="251"/>
      <c r="T45" s="250"/>
      <c r="U45" s="250"/>
      <c r="V45" s="250"/>
      <c r="W45" s="250"/>
      <c r="X45" s="250"/>
      <c r="Y45" s="250"/>
      <c r="Z45" s="250"/>
      <c r="AA45" s="250"/>
      <c r="AB45" s="250"/>
    </row>
    <row r="46" spans="1:28" x14ac:dyDescent="0.2">
      <c r="A46" s="252"/>
      <c r="B46" s="250"/>
      <c r="C46" s="250"/>
      <c r="D46" s="250"/>
      <c r="E46" s="250"/>
      <c r="F46" s="250"/>
      <c r="G46" s="250"/>
      <c r="H46" s="250"/>
      <c r="I46" s="250"/>
      <c r="J46" s="250"/>
      <c r="K46" s="250"/>
      <c r="L46" s="250"/>
      <c r="M46" s="250"/>
      <c r="N46" s="250"/>
      <c r="O46" s="250"/>
      <c r="P46" s="250"/>
      <c r="Q46" s="250"/>
      <c r="R46" s="250"/>
      <c r="S46" s="251"/>
      <c r="T46" s="250"/>
      <c r="U46" s="250"/>
      <c r="V46" s="250"/>
      <c r="W46" s="250"/>
      <c r="X46" s="250"/>
      <c r="Y46" s="250"/>
      <c r="Z46" s="250"/>
      <c r="AA46" s="250"/>
      <c r="AB46" s="250"/>
    </row>
    <row r="47" spans="1:28" x14ac:dyDescent="0.2">
      <c r="A47" s="252"/>
      <c r="B47" s="250"/>
      <c r="C47" s="250"/>
      <c r="D47" s="250"/>
      <c r="E47" s="250"/>
      <c r="F47" s="250"/>
      <c r="G47" s="250"/>
      <c r="H47" s="250"/>
      <c r="I47" s="250"/>
      <c r="J47" s="250"/>
      <c r="K47" s="250"/>
      <c r="L47" s="250"/>
      <c r="M47" s="250"/>
      <c r="N47" s="250"/>
      <c r="O47" s="250"/>
      <c r="P47" s="250"/>
      <c r="Q47" s="250"/>
      <c r="R47" s="250"/>
      <c r="S47" s="251"/>
      <c r="T47" s="250"/>
      <c r="U47" s="250"/>
      <c r="V47" s="250"/>
      <c r="W47" s="250"/>
      <c r="X47" s="250"/>
      <c r="Y47" s="250"/>
      <c r="Z47" s="250"/>
      <c r="AA47" s="250"/>
      <c r="AB47" s="250"/>
    </row>
    <row r="48" spans="1:28" x14ac:dyDescent="0.2">
      <c r="A48" s="252"/>
      <c r="B48" s="250"/>
      <c r="C48" s="250"/>
      <c r="D48" s="250"/>
      <c r="E48" s="250"/>
      <c r="F48" s="250"/>
      <c r="G48" s="250"/>
      <c r="H48" s="250"/>
      <c r="I48" s="250"/>
      <c r="J48" s="250"/>
      <c r="K48" s="250"/>
      <c r="L48" s="250"/>
      <c r="M48" s="250"/>
      <c r="N48" s="250"/>
      <c r="O48" s="250"/>
      <c r="P48" s="250"/>
      <c r="Q48" s="250"/>
      <c r="R48" s="250"/>
      <c r="S48" s="251"/>
      <c r="T48" s="250"/>
      <c r="U48" s="250"/>
      <c r="V48" s="250"/>
      <c r="W48" s="250"/>
      <c r="X48" s="250"/>
      <c r="Y48" s="250"/>
      <c r="Z48" s="250"/>
      <c r="AA48" s="250"/>
      <c r="AB48" s="250"/>
    </row>
    <row r="49" spans="1:19" x14ac:dyDescent="0.2">
      <c r="A49" s="252"/>
      <c r="B49" s="250"/>
      <c r="C49" s="250"/>
      <c r="D49" s="250"/>
      <c r="E49" s="250"/>
      <c r="F49" s="250"/>
      <c r="G49" s="250"/>
      <c r="H49" s="250"/>
      <c r="I49" s="250"/>
      <c r="J49" s="250"/>
      <c r="K49" s="250"/>
      <c r="L49" s="250"/>
      <c r="M49" s="250"/>
      <c r="N49" s="250"/>
      <c r="O49" s="250"/>
      <c r="P49" s="250"/>
      <c r="Q49" s="250"/>
      <c r="R49" s="250"/>
      <c r="S49" s="251"/>
    </row>
    <row r="50" spans="1:19" x14ac:dyDescent="0.2">
      <c r="A50" s="252"/>
      <c r="B50" s="250"/>
      <c r="C50" s="250"/>
      <c r="D50" s="250"/>
      <c r="E50" s="250"/>
      <c r="F50" s="250"/>
      <c r="G50" s="250"/>
      <c r="H50" s="250"/>
      <c r="I50" s="250"/>
      <c r="J50" s="250"/>
      <c r="K50" s="250"/>
      <c r="L50" s="250"/>
      <c r="M50" s="250"/>
      <c r="N50" s="250"/>
      <c r="O50" s="250"/>
      <c r="P50" s="250"/>
      <c r="Q50" s="250"/>
      <c r="R50" s="250"/>
      <c r="S50" s="251"/>
    </row>
    <row r="51" spans="1:19" x14ac:dyDescent="0.2">
      <c r="A51" s="252"/>
      <c r="B51" s="250"/>
      <c r="C51" s="250"/>
      <c r="D51" s="250"/>
      <c r="E51" s="250"/>
      <c r="F51" s="250"/>
      <c r="G51" s="250"/>
      <c r="H51" s="250"/>
      <c r="I51" s="250"/>
      <c r="J51" s="250"/>
      <c r="K51" s="250"/>
      <c r="L51" s="250"/>
      <c r="M51" s="250"/>
      <c r="N51" s="250"/>
      <c r="O51" s="250"/>
      <c r="P51" s="250"/>
      <c r="Q51" s="250"/>
      <c r="R51" s="250"/>
      <c r="S51" s="251"/>
    </row>
    <row r="52" spans="1:19" x14ac:dyDescent="0.2">
      <c r="A52" s="252"/>
      <c r="B52" s="250"/>
      <c r="C52" s="250"/>
      <c r="D52" s="250"/>
      <c r="E52" s="250"/>
      <c r="F52" s="250"/>
      <c r="G52" s="250"/>
      <c r="H52" s="250"/>
      <c r="I52" s="250"/>
      <c r="J52" s="250"/>
      <c r="K52" s="250"/>
      <c r="L52" s="250"/>
      <c r="M52" s="250"/>
      <c r="N52" s="250"/>
      <c r="O52" s="250"/>
      <c r="P52" s="250"/>
      <c r="Q52" s="250"/>
      <c r="R52" s="250"/>
      <c r="S52" s="251"/>
    </row>
    <row r="53" spans="1:19" x14ac:dyDescent="0.2">
      <c r="A53" s="252"/>
      <c r="B53" s="250"/>
      <c r="C53" s="250"/>
      <c r="D53" s="250"/>
      <c r="E53" s="250"/>
      <c r="F53" s="250"/>
      <c r="G53" s="250"/>
      <c r="H53" s="250"/>
      <c r="I53" s="250"/>
      <c r="J53" s="250"/>
      <c r="K53" s="250"/>
      <c r="L53" s="250"/>
      <c r="M53" s="250"/>
      <c r="N53" s="250"/>
      <c r="O53" s="250"/>
      <c r="P53" s="250"/>
      <c r="Q53" s="250"/>
      <c r="R53" s="250"/>
      <c r="S53" s="251"/>
    </row>
    <row r="54" spans="1:19" x14ac:dyDescent="0.2">
      <c r="A54" s="252"/>
      <c r="B54" s="250"/>
      <c r="C54" s="250"/>
      <c r="D54" s="250"/>
      <c r="E54" s="250"/>
      <c r="F54" s="250"/>
      <c r="G54" s="250"/>
      <c r="H54" s="250"/>
      <c r="I54" s="250"/>
      <c r="J54" s="250"/>
      <c r="K54" s="250"/>
      <c r="L54" s="250"/>
      <c r="M54" s="250"/>
      <c r="N54" s="250"/>
      <c r="O54" s="250"/>
      <c r="P54" s="250"/>
      <c r="Q54" s="250"/>
      <c r="R54" s="250"/>
      <c r="S54" s="251"/>
    </row>
    <row r="55" spans="1:19" x14ac:dyDescent="0.2">
      <c r="A55" s="252"/>
      <c r="B55" s="250"/>
      <c r="C55" s="250"/>
      <c r="D55" s="250"/>
      <c r="E55" s="250"/>
      <c r="F55" s="250"/>
      <c r="G55" s="250"/>
      <c r="H55" s="250"/>
      <c r="I55" s="250"/>
      <c r="J55" s="250"/>
      <c r="K55" s="250"/>
      <c r="L55" s="250"/>
      <c r="M55" s="250"/>
      <c r="N55" s="250"/>
      <c r="O55" s="250"/>
      <c r="P55" s="250"/>
      <c r="Q55" s="250"/>
      <c r="R55" s="250"/>
      <c r="S55" s="251"/>
    </row>
    <row r="56" spans="1:19" x14ac:dyDescent="0.2">
      <c r="A56" s="252"/>
      <c r="B56" s="250"/>
      <c r="C56" s="250"/>
      <c r="D56" s="250"/>
      <c r="E56" s="250"/>
      <c r="F56" s="250"/>
      <c r="G56" s="250"/>
      <c r="H56" s="250"/>
      <c r="I56" s="250"/>
      <c r="J56" s="250"/>
      <c r="K56" s="250"/>
      <c r="L56" s="250"/>
      <c r="M56" s="250"/>
      <c r="N56" s="250"/>
      <c r="O56" s="250"/>
      <c r="P56" s="250"/>
      <c r="Q56" s="250"/>
      <c r="R56" s="250"/>
      <c r="S56" s="251"/>
    </row>
    <row r="57" spans="1:19" x14ac:dyDescent="0.2">
      <c r="A57" s="252"/>
      <c r="B57" s="250"/>
      <c r="C57" s="250"/>
      <c r="D57" s="250"/>
      <c r="E57" s="250"/>
      <c r="F57" s="250"/>
      <c r="G57" s="250"/>
      <c r="H57" s="250"/>
      <c r="I57" s="250"/>
      <c r="J57" s="250"/>
      <c r="K57" s="250"/>
      <c r="L57" s="250"/>
      <c r="M57" s="250"/>
      <c r="N57" s="250"/>
      <c r="O57" s="250"/>
      <c r="P57" s="250"/>
      <c r="Q57" s="250"/>
      <c r="R57" s="250"/>
      <c r="S57" s="251"/>
    </row>
    <row r="58" spans="1:19" x14ac:dyDescent="0.2">
      <c r="A58" s="252"/>
      <c r="B58" s="250"/>
      <c r="C58" s="250"/>
      <c r="D58" s="250"/>
      <c r="E58" s="250"/>
      <c r="F58" s="250"/>
      <c r="G58" s="250"/>
      <c r="H58" s="250"/>
      <c r="I58" s="250"/>
      <c r="J58" s="250"/>
      <c r="K58" s="250"/>
      <c r="L58" s="250"/>
      <c r="M58" s="250"/>
      <c r="N58" s="250"/>
      <c r="O58" s="250"/>
      <c r="P58" s="250"/>
      <c r="Q58" s="250"/>
      <c r="R58" s="250"/>
      <c r="S58" s="251"/>
    </row>
    <row r="59" spans="1:19" x14ac:dyDescent="0.2">
      <c r="A59" s="252"/>
      <c r="B59" s="250"/>
      <c r="C59" s="250"/>
      <c r="D59" s="250"/>
      <c r="E59" s="250"/>
      <c r="F59" s="250"/>
      <c r="G59" s="250"/>
      <c r="H59" s="250"/>
      <c r="I59" s="250"/>
      <c r="J59" s="250"/>
      <c r="K59" s="250"/>
      <c r="L59" s="250"/>
      <c r="M59" s="250"/>
      <c r="N59" s="250"/>
      <c r="O59" s="250"/>
      <c r="P59" s="250"/>
      <c r="Q59" s="250"/>
      <c r="R59" s="250"/>
      <c r="S59" s="251"/>
    </row>
    <row r="60" spans="1:19" x14ac:dyDescent="0.2">
      <c r="A60" s="252"/>
      <c r="B60" s="250"/>
      <c r="C60" s="250"/>
      <c r="D60" s="250"/>
      <c r="E60" s="250"/>
      <c r="F60" s="250"/>
      <c r="G60" s="250"/>
      <c r="H60" s="250"/>
      <c r="I60" s="250"/>
      <c r="J60" s="250"/>
      <c r="K60" s="250"/>
      <c r="L60" s="250"/>
      <c r="M60" s="250"/>
      <c r="N60" s="250"/>
      <c r="O60" s="250"/>
      <c r="P60" s="250"/>
      <c r="Q60" s="250"/>
      <c r="R60" s="250"/>
      <c r="S60" s="251"/>
    </row>
    <row r="61" spans="1:19" x14ac:dyDescent="0.2">
      <c r="A61" s="252"/>
      <c r="B61" s="250"/>
      <c r="C61" s="250"/>
      <c r="D61" s="250"/>
      <c r="E61" s="250"/>
      <c r="F61" s="250"/>
      <c r="G61" s="250"/>
      <c r="H61" s="250"/>
      <c r="I61" s="250"/>
      <c r="J61" s="250"/>
      <c r="K61" s="250"/>
      <c r="L61" s="250"/>
      <c r="M61" s="250"/>
      <c r="N61" s="250"/>
      <c r="O61" s="250"/>
      <c r="P61" s="250"/>
      <c r="Q61" s="250"/>
      <c r="R61" s="250"/>
      <c r="S61" s="251"/>
    </row>
    <row r="62" spans="1:19" x14ac:dyDescent="0.2">
      <c r="A62" s="252"/>
      <c r="B62" s="250"/>
      <c r="C62" s="250"/>
      <c r="D62" s="250"/>
      <c r="E62" s="250"/>
      <c r="F62" s="250"/>
      <c r="G62" s="250"/>
      <c r="H62" s="250"/>
      <c r="I62" s="250"/>
      <c r="J62" s="250"/>
      <c r="K62" s="250"/>
      <c r="L62" s="250"/>
      <c r="M62" s="250"/>
      <c r="N62" s="250"/>
      <c r="O62" s="250"/>
      <c r="P62" s="250"/>
      <c r="Q62" s="250"/>
      <c r="R62" s="250"/>
      <c r="S62" s="251"/>
    </row>
    <row r="63" spans="1:19" x14ac:dyDescent="0.2">
      <c r="A63" s="252"/>
      <c r="B63" s="250"/>
      <c r="C63" s="250"/>
      <c r="D63" s="250"/>
      <c r="E63" s="250"/>
      <c r="F63" s="250"/>
      <c r="G63" s="250"/>
      <c r="H63" s="250"/>
      <c r="I63" s="250"/>
      <c r="J63" s="250"/>
      <c r="K63" s="250"/>
      <c r="L63" s="250"/>
      <c r="M63" s="250"/>
      <c r="N63" s="250"/>
      <c r="O63" s="250"/>
      <c r="P63" s="250"/>
      <c r="Q63" s="250"/>
      <c r="R63" s="250"/>
      <c r="S63" s="251"/>
    </row>
    <row r="64" spans="1:19" x14ac:dyDescent="0.2">
      <c r="A64" s="252"/>
      <c r="B64" s="250"/>
      <c r="C64" s="250"/>
      <c r="D64" s="250"/>
      <c r="E64" s="250"/>
      <c r="F64" s="250"/>
      <c r="G64" s="250"/>
      <c r="H64" s="250"/>
      <c r="I64" s="250"/>
      <c r="J64" s="250"/>
      <c r="K64" s="250"/>
      <c r="L64" s="250"/>
      <c r="M64" s="250"/>
      <c r="N64" s="250"/>
      <c r="O64" s="250"/>
      <c r="P64" s="250"/>
      <c r="Q64" s="250"/>
      <c r="R64" s="250"/>
      <c r="S64" s="251"/>
    </row>
    <row r="65" spans="1:19" x14ac:dyDescent="0.2">
      <c r="A65" s="252"/>
      <c r="B65" s="250"/>
      <c r="C65" s="250"/>
      <c r="D65" s="250"/>
      <c r="E65" s="250"/>
      <c r="F65" s="250"/>
      <c r="G65" s="250"/>
      <c r="H65" s="250"/>
      <c r="I65" s="250"/>
      <c r="J65" s="250"/>
      <c r="K65" s="250"/>
      <c r="L65" s="250"/>
      <c r="M65" s="250"/>
      <c r="N65" s="250"/>
      <c r="O65" s="250"/>
      <c r="P65" s="250"/>
      <c r="Q65" s="250"/>
      <c r="R65" s="250"/>
      <c r="S65" s="251"/>
    </row>
    <row r="66" spans="1:19" x14ac:dyDescent="0.2">
      <c r="A66" s="252"/>
      <c r="B66" s="250"/>
      <c r="C66" s="250"/>
      <c r="D66" s="250"/>
      <c r="E66" s="250"/>
      <c r="F66" s="250"/>
      <c r="G66" s="250"/>
      <c r="H66" s="250"/>
      <c r="I66" s="250"/>
      <c r="J66" s="250"/>
      <c r="K66" s="250"/>
      <c r="L66" s="250"/>
      <c r="M66" s="250"/>
      <c r="N66" s="250"/>
      <c r="O66" s="250"/>
      <c r="P66" s="250"/>
      <c r="Q66" s="250"/>
      <c r="R66" s="250"/>
      <c r="S66" s="251"/>
    </row>
    <row r="67" spans="1:19" ht="101.25" thickBot="1" x14ac:dyDescent="0.25">
      <c r="A67" s="284"/>
      <c r="B67" s="233" t="s">
        <v>22</v>
      </c>
      <c r="C67" s="285"/>
      <c r="D67" s="285"/>
      <c r="E67" s="285"/>
      <c r="F67" s="285"/>
      <c r="G67" s="285"/>
      <c r="H67" s="285"/>
      <c r="I67" s="285"/>
      <c r="J67" s="285"/>
      <c r="K67" s="285"/>
      <c r="L67" s="285"/>
      <c r="M67" s="285"/>
      <c r="N67" s="286"/>
      <c r="O67" s="286"/>
      <c r="P67" s="286"/>
      <c r="Q67" s="286"/>
      <c r="R67" s="286"/>
      <c r="S67" s="287"/>
    </row>
    <row r="68" spans="1:19" ht="15" x14ac:dyDescent="0.2">
      <c r="A68" s="250"/>
      <c r="B68" s="231"/>
      <c r="C68" s="250"/>
      <c r="D68" s="250"/>
      <c r="E68" s="250"/>
      <c r="F68" s="250"/>
      <c r="G68" s="250"/>
      <c r="H68" s="250"/>
      <c r="I68" s="250"/>
      <c r="J68" s="250"/>
      <c r="K68" s="250"/>
      <c r="L68" s="250"/>
      <c r="M68" s="250"/>
      <c r="N68" s="250"/>
      <c r="O68" s="250"/>
      <c r="P68" s="250"/>
      <c r="Q68" s="250"/>
      <c r="R68" s="250"/>
      <c r="S68" s="250"/>
    </row>
    <row r="69" spans="1:19" x14ac:dyDescent="0.2">
      <c r="A69" s="250"/>
      <c r="B69" s="288"/>
      <c r="C69" s="250"/>
      <c r="D69" s="250"/>
      <c r="E69" s="250"/>
      <c r="F69" s="250"/>
      <c r="G69" s="250"/>
      <c r="H69" s="250"/>
      <c r="I69" s="250"/>
      <c r="J69" s="250"/>
      <c r="K69" s="250"/>
      <c r="L69" s="250"/>
      <c r="M69" s="250"/>
      <c r="N69" s="250"/>
      <c r="O69" s="250"/>
      <c r="P69" s="250"/>
      <c r="Q69" s="250"/>
      <c r="R69" s="250"/>
      <c r="S69" s="250"/>
    </row>
  </sheetData>
  <mergeCells count="1">
    <mergeCell ref="A2:F2"/>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85B381-6901-4679-8B5F-DAA782EBDB65}">
  <sheetPr codeName="Sheet8">
    <tabColor theme="1"/>
    <pageSetUpPr fitToPage="1"/>
  </sheetPr>
  <dimension ref="A1:C30"/>
  <sheetViews>
    <sheetView showGridLines="0" zoomScale="90" zoomScaleNormal="90" workbookViewId="0">
      <pane xSplit="1" ySplit="1" topLeftCell="B4" activePane="bottomRight" state="frozen"/>
      <selection pane="topRight" activeCell="B1" sqref="B1"/>
      <selection pane="bottomLeft" activeCell="A3" sqref="A3"/>
      <selection pane="bottomRight" activeCell="B17" sqref="B17"/>
    </sheetView>
  </sheetViews>
  <sheetFormatPr defaultColWidth="8.85546875" defaultRowHeight="15" x14ac:dyDescent="0.25"/>
  <cols>
    <col min="1" max="1" width="22.140625" style="56" customWidth="1"/>
    <col min="2" max="2" width="26.140625" style="56" customWidth="1"/>
    <col min="3" max="3" width="88.5703125" style="56" customWidth="1"/>
    <col min="4" max="16384" width="8.85546875" style="41"/>
  </cols>
  <sheetData>
    <row r="1" spans="1:3" ht="15.75" thickBot="1" x14ac:dyDescent="0.3">
      <c r="A1" s="140" t="s">
        <v>23</v>
      </c>
      <c r="B1" s="140" t="s">
        <v>24</v>
      </c>
      <c r="C1" s="140" t="s">
        <v>25</v>
      </c>
    </row>
    <row r="2" spans="1:3" ht="62.25" customHeight="1" x14ac:dyDescent="0.25">
      <c r="A2" s="289" t="s">
        <v>9</v>
      </c>
      <c r="B2" s="290" t="str">
        <f>'(1) Vessel Inputs'!C8</f>
        <v>Number Operating in Potential NDZ</v>
      </c>
      <c r="C2" s="290" t="s">
        <v>26</v>
      </c>
    </row>
    <row r="3" spans="1:3" ht="88.5" customHeight="1" x14ac:dyDescent="0.25">
      <c r="A3" s="291" t="s">
        <v>9</v>
      </c>
      <c r="B3" s="292" t="str">
        <f>'(1) Vessel Inputs'!E8</f>
        <v>Operating months start date (month and day)</v>
      </c>
      <c r="C3" s="292" t="s">
        <v>27</v>
      </c>
    </row>
    <row r="4" spans="1:3" ht="88.5" customHeight="1" x14ac:dyDescent="0.25">
      <c r="A4" s="291" t="s">
        <v>9</v>
      </c>
      <c r="B4" s="292" t="str">
        <f>'(1) Vessel Inputs'!G8</f>
        <v>Operating months end date (month and day)</v>
      </c>
      <c r="C4" s="292" t="s">
        <v>28</v>
      </c>
    </row>
    <row r="5" spans="1:3" ht="99.75" x14ac:dyDescent="0.25">
      <c r="A5" s="291" t="s">
        <v>9</v>
      </c>
      <c r="B5" s="292" t="str">
        <f>Table7[[#Headers],[Secondary operating months start date (month and day)]]</f>
        <v>Secondary operating months start date (month and day)</v>
      </c>
      <c r="C5" s="292" t="s">
        <v>29</v>
      </c>
    </row>
    <row r="6" spans="1:3" ht="99.75" x14ac:dyDescent="0.25">
      <c r="A6" s="291" t="s">
        <v>9</v>
      </c>
      <c r="B6" s="292" t="str">
        <f>Table7[[#Headers],[Secondary operating months end date (month and day)]]</f>
        <v>Secondary operating months end date (month and day)</v>
      </c>
      <c r="C6" s="292" t="s">
        <v>30</v>
      </c>
    </row>
    <row r="7" spans="1:3" ht="48.95" customHeight="1" x14ac:dyDescent="0.25">
      <c r="A7" s="291" t="s">
        <v>9</v>
      </c>
      <c r="B7" s="292" t="str">
        <f>'(1) Vessel Inputs'!M8</f>
        <v>Average number of crew and passengers per vessel</v>
      </c>
      <c r="C7" s="292" t="s">
        <v>31</v>
      </c>
    </row>
    <row r="8" spans="1:3" ht="62.1" customHeight="1" x14ac:dyDescent="0.25">
      <c r="A8" s="291" t="s">
        <v>9</v>
      </c>
      <c r="B8" s="292" t="str">
        <f>'(1) Vessel Inputs'!O8</f>
        <v>Sewage generation rate (gallons per person per day (g/p/d))</v>
      </c>
      <c r="C8" s="292" t="s">
        <v>32</v>
      </c>
    </row>
    <row r="9" spans="1:3" ht="73.5" customHeight="1" x14ac:dyDescent="0.25">
      <c r="A9" s="291" t="s">
        <v>9</v>
      </c>
      <c r="B9" s="292" t="str">
        <f>'(1) Vessel Inputs'!Q8</f>
        <v>Pumpout interval (number of days between pumpout)</v>
      </c>
      <c r="C9" s="292" t="s">
        <v>33</v>
      </c>
    </row>
    <row r="10" spans="1:3" ht="88.5" customHeight="1" x14ac:dyDescent="0.25">
      <c r="A10" s="291" t="s">
        <v>9</v>
      </c>
      <c r="B10" s="293" t="str">
        <f>'(1) Vessel Inputs'!S8</f>
        <v>Average distance traveled (nautical miles)</v>
      </c>
      <c r="C10" s="293" t="s">
        <v>34</v>
      </c>
    </row>
    <row r="11" spans="1:3" ht="45" customHeight="1" x14ac:dyDescent="0.25">
      <c r="A11" s="291" t="s">
        <v>9</v>
      </c>
      <c r="B11" s="293" t="str">
        <f>Percent_HT</f>
        <v>Percent of vessels with holding tank installed</v>
      </c>
      <c r="C11" s="293" t="s">
        <v>35</v>
      </c>
    </row>
    <row r="12" spans="1:3" ht="45" customHeight="1" thickBot="1" x14ac:dyDescent="0.3">
      <c r="A12" s="294" t="s">
        <v>9</v>
      </c>
      <c r="B12" s="294" t="str">
        <f>Buffer</f>
        <v>Buffer time when pumping out (minutes)</v>
      </c>
      <c r="C12" s="294" t="s">
        <v>36</v>
      </c>
    </row>
    <row r="13" spans="1:3" ht="48" customHeight="1" x14ac:dyDescent="0.25">
      <c r="A13" s="295" t="s">
        <v>10</v>
      </c>
      <c r="B13" s="296" t="str">
        <f>Facilities_Start_Table</f>
        <v>Facility Name</v>
      </c>
      <c r="C13" s="296" t="s">
        <v>37</v>
      </c>
    </row>
    <row r="14" spans="1:3" ht="33.6" customHeight="1" x14ac:dyDescent="0.25">
      <c r="A14" s="291" t="s">
        <v>10</v>
      </c>
      <c r="B14" s="292" t="str">
        <f>'(2) Facility Inputs'!C8</f>
        <v>Facility Type</v>
      </c>
      <c r="C14" s="292" t="s">
        <v>38</v>
      </c>
    </row>
    <row r="15" spans="1:3" ht="36.6" customHeight="1" x14ac:dyDescent="0.25">
      <c r="A15" s="291" t="s">
        <v>10</v>
      </c>
      <c r="B15" s="292" t="str">
        <f>'(2) Facility Inputs'!E8</f>
        <v>Number of hours of operation per day</v>
      </c>
      <c r="C15" s="292" t="s">
        <v>39</v>
      </c>
    </row>
    <row r="16" spans="1:3" ht="21.6" customHeight="1" x14ac:dyDescent="0.25">
      <c r="A16" s="291" t="s">
        <v>10</v>
      </c>
      <c r="B16" s="292" t="str">
        <f>'(2) Facility Inputs'!G8</f>
        <v>Days per week in operation</v>
      </c>
      <c r="C16" s="292" t="s">
        <v>40</v>
      </c>
    </row>
    <row r="17" spans="1:3" ht="42.75" x14ac:dyDescent="0.25">
      <c r="A17" s="291" t="s">
        <v>10</v>
      </c>
      <c r="B17" s="292" t="str">
        <f>'(2) Facility Inputs'!I8</f>
        <v>Opening month (if facility operates year-round, enter 1)</v>
      </c>
      <c r="C17" s="428" t="s">
        <v>451</v>
      </c>
    </row>
    <row r="18" spans="1:3" ht="42.75" x14ac:dyDescent="0.25">
      <c r="A18" s="291" t="s">
        <v>10</v>
      </c>
      <c r="B18" s="292" t="str">
        <f>'(2) Facility Inputs'!K8</f>
        <v>Closing month (if facility operates year-round, enter 12)</v>
      </c>
      <c r="C18" s="428" t="s">
        <v>452</v>
      </c>
    </row>
    <row r="19" spans="1:3" ht="43.5" customHeight="1" x14ac:dyDescent="0.25">
      <c r="A19" s="291" t="s">
        <v>10</v>
      </c>
      <c r="B19" s="292" t="str">
        <f>'(2) Facility Inputs'!M8</f>
        <v>Connection to sewer?</v>
      </c>
      <c r="C19" s="292" t="s">
        <v>41</v>
      </c>
    </row>
    <row r="20" spans="1:3" ht="57" x14ac:dyDescent="0.25">
      <c r="A20" s="291" t="s">
        <v>10</v>
      </c>
      <c r="B20" s="292" t="str">
        <f>'(2) Facility Inputs'!O8</f>
        <v>Tank Capacity (gallons)</v>
      </c>
      <c r="C20" s="292" t="s">
        <v>42</v>
      </c>
    </row>
    <row r="21" spans="1:3" ht="60" customHeight="1" x14ac:dyDescent="0.25">
      <c r="A21" s="291" t="s">
        <v>10</v>
      </c>
      <c r="B21" s="292" t="str">
        <f>'(2) Facility Inputs'!Q8</f>
        <v xml:space="preserve">Total working flow (gpm) </v>
      </c>
      <c r="C21" s="292" t="s">
        <v>43</v>
      </c>
    </row>
    <row r="22" spans="1:3" ht="45" customHeight="1" x14ac:dyDescent="0.25">
      <c r="A22" s="291" t="s">
        <v>10</v>
      </c>
      <c r="B22" s="292" t="str">
        <f>'(2) Facility Inputs'!S8</f>
        <v>Base/Service Fee</v>
      </c>
      <c r="C22" s="292" t="s">
        <v>44</v>
      </c>
    </row>
    <row r="23" spans="1:3" ht="46.5" customHeight="1" x14ac:dyDescent="0.25">
      <c r="A23" s="291" t="s">
        <v>10</v>
      </c>
      <c r="B23" s="292" t="str">
        <f>'(2) Facility Inputs'!U8</f>
        <v>Base Gallons</v>
      </c>
      <c r="C23" s="292" t="s">
        <v>45</v>
      </c>
    </row>
    <row r="24" spans="1:3" ht="51.6" customHeight="1" x14ac:dyDescent="0.25">
      <c r="A24" s="291" t="s">
        <v>10</v>
      </c>
      <c r="B24" s="292" t="str">
        <f>'(2) Facility Inputs'!W8</f>
        <v>Fee ($/gallon)</v>
      </c>
      <c r="C24" s="292" t="s">
        <v>46</v>
      </c>
    </row>
    <row r="25" spans="1:3" ht="49.5" customHeight="1" thickBot="1" x14ac:dyDescent="0.3">
      <c r="A25" s="291" t="s">
        <v>10</v>
      </c>
      <c r="B25" s="292" t="str">
        <f>'(2) Facility Inputs'!X8</f>
        <v>Fee ($/hour)</v>
      </c>
      <c r="C25" s="292" t="s">
        <v>47</v>
      </c>
    </row>
    <row r="26" spans="1:3" ht="72" customHeight="1" x14ac:dyDescent="0.25">
      <c r="A26" s="289" t="s">
        <v>11</v>
      </c>
      <c r="B26" s="290" t="str">
        <f>'(3) Cost Inputs'!B7</f>
        <v>Annual baseline operating costs ($/vessel)</v>
      </c>
      <c r="C26" s="290" t="s">
        <v>48</v>
      </c>
    </row>
    <row r="27" spans="1:3" ht="46.5" customHeight="1" x14ac:dyDescent="0.25">
      <c r="A27" s="291" t="s">
        <v>11</v>
      </c>
      <c r="B27" s="292" t="str">
        <f>'(3) Cost Inputs'!D7</f>
        <v>Vessel speed (nautical miles per hour)</v>
      </c>
      <c r="C27" s="292" t="s">
        <v>49</v>
      </c>
    </row>
    <row r="28" spans="1:3" ht="55.5" customHeight="1" x14ac:dyDescent="0.25">
      <c r="A28" s="291" t="s">
        <v>11</v>
      </c>
      <c r="B28" s="292" t="str">
        <f>'(3) Cost Inputs'!F7</f>
        <v>Fuel consumption (gallons per hour)</v>
      </c>
      <c r="C28" s="292" t="s">
        <v>50</v>
      </c>
    </row>
    <row r="29" spans="1:3" ht="45" customHeight="1" x14ac:dyDescent="0.25">
      <c r="A29" s="291" t="s">
        <v>11</v>
      </c>
      <c r="B29" s="292" t="str">
        <f>'(3) Cost Inputs'!H7</f>
        <v>Hourly revenue ($/hour/vessel)</v>
      </c>
      <c r="C29" s="292" t="s">
        <v>51</v>
      </c>
    </row>
    <row r="30" spans="1:3" ht="43.5" customHeight="1" x14ac:dyDescent="0.25">
      <c r="A30" s="297" t="s">
        <v>11</v>
      </c>
      <c r="B30" s="293" t="str">
        <f>'(3) Cost Inputs'!J7</f>
        <v>Fuel price ($/gallon)</v>
      </c>
      <c r="C30" s="293" t="s">
        <v>52</v>
      </c>
    </row>
  </sheetData>
  <pageMargins left="0.7" right="0.7" top="0.75" bottom="0.75" header="0.3" footer="0.3"/>
  <pageSetup scale="87" fitToHeight="0" orientation="landscape"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5D6E7B-67C7-4B88-B800-44014A01DE16}">
  <sheetPr codeName="Sheet9">
    <tabColor theme="1"/>
  </sheetPr>
  <dimension ref="A1:H35"/>
  <sheetViews>
    <sheetView showGridLines="0" zoomScale="90" workbookViewId="0">
      <selection activeCell="D19" sqref="D19"/>
    </sheetView>
  </sheetViews>
  <sheetFormatPr defaultColWidth="9.140625" defaultRowHeight="14.25" x14ac:dyDescent="0.2"/>
  <cols>
    <col min="1" max="1" width="23.85546875" style="61" customWidth="1"/>
    <col min="2" max="2" width="39.42578125" style="61" customWidth="1"/>
    <col min="3" max="3" width="18.42578125" style="61" customWidth="1"/>
    <col min="4" max="4" width="49.140625" style="61" customWidth="1"/>
    <col min="5" max="5" width="8.85546875" style="61" hidden="1" customWidth="1"/>
    <col min="6" max="6" width="5.85546875" style="61" customWidth="1"/>
    <col min="7" max="16384" width="9.140625" style="61"/>
  </cols>
  <sheetData>
    <row r="1" spans="1:7" ht="20.25" x14ac:dyDescent="0.3">
      <c r="A1" s="42" t="s">
        <v>53</v>
      </c>
      <c r="B1" s="298"/>
      <c r="C1" s="298"/>
      <c r="D1" s="298"/>
      <c r="E1" s="298"/>
      <c r="F1" s="299"/>
      <c r="G1" s="298"/>
    </row>
    <row r="2" spans="1:7" ht="11.45" customHeight="1" x14ac:dyDescent="0.2">
      <c r="A2" s="298"/>
      <c r="B2" s="298"/>
      <c r="C2" s="298"/>
      <c r="D2" s="298"/>
      <c r="E2" s="298"/>
      <c r="F2" s="299"/>
      <c r="G2" s="298"/>
    </row>
    <row r="3" spans="1:7" ht="46.5" customHeight="1" x14ac:dyDescent="0.2">
      <c r="A3" s="211" t="s">
        <v>54</v>
      </c>
      <c r="B3" s="210"/>
      <c r="C3" s="210"/>
      <c r="D3" s="210"/>
      <c r="E3" s="298"/>
      <c r="F3" s="299"/>
      <c r="G3" s="298"/>
    </row>
    <row r="4" spans="1:7" ht="15" x14ac:dyDescent="0.2">
      <c r="A4" s="126"/>
      <c r="B4" s="126"/>
      <c r="C4" s="126"/>
      <c r="D4" s="126"/>
      <c r="E4" s="298"/>
      <c r="F4" s="299"/>
      <c r="G4" s="298"/>
    </row>
    <row r="5" spans="1:7" ht="15" x14ac:dyDescent="0.25">
      <c r="A5" s="214" t="s">
        <v>55</v>
      </c>
      <c r="B5" s="215"/>
      <c r="C5" s="215"/>
      <c r="D5" s="216"/>
      <c r="E5" s="300"/>
      <c r="F5" s="299"/>
      <c r="G5" s="298"/>
    </row>
    <row r="6" spans="1:7" ht="15" x14ac:dyDescent="0.2">
      <c r="A6" s="144" t="s">
        <v>56</v>
      </c>
      <c r="B6" s="145" t="s">
        <v>57</v>
      </c>
      <c r="C6" s="145" t="s">
        <v>58</v>
      </c>
      <c r="D6" s="146" t="s">
        <v>59</v>
      </c>
      <c r="E6" s="300"/>
      <c r="F6" s="299"/>
      <c r="G6" s="298"/>
    </row>
    <row r="7" spans="1:7" x14ac:dyDescent="0.2">
      <c r="A7" s="141" t="s">
        <v>9</v>
      </c>
      <c r="B7" s="139" t="s">
        <v>60</v>
      </c>
      <c r="C7" s="301" t="str">
        <f>IF(COUNTBLANK('(1) Vessel Inputs'!A9:A13)&gt;0,"Input required","Complete")</f>
        <v>Complete</v>
      </c>
      <c r="D7" s="302" t="str">
        <f>IF(SUM('(1) Vessel Inputs'!B9:B13)&gt;1,"Multiple values missing in "&amp;B7&amp;" (column A)",IF(C7="Input required","Missing value in cell "&amp;ADDRESS(MATCH(1,'(1) Vessel Inputs'!B9:B13,0)+8,COLUMN(Vessels_Start_Table),4),""))</f>
        <v/>
      </c>
      <c r="E7" s="300"/>
      <c r="F7" s="299"/>
      <c r="G7" s="303"/>
    </row>
    <row r="8" spans="1:7" ht="31.5" customHeight="1" x14ac:dyDescent="0.2">
      <c r="A8" s="141" t="s">
        <v>9</v>
      </c>
      <c r="B8" s="147" t="s">
        <v>61</v>
      </c>
      <c r="C8" s="301" t="str">
        <f>IF(COUNTBLANK('(1) Vessel Inputs'!C9:C13)&gt;0,"Input required","Complete")</f>
        <v>Input required</v>
      </c>
      <c r="D8" s="302" t="str">
        <f>IF(SUM('(1) Vessel Inputs'!D9:D13)&gt;1,"Multiple values missing in "&amp;B8&amp;" (column C)",IF(C8="Input required","Missing value in cell "&amp;ADDRESS(MATCH(1,'(1) Vessel Inputs'!D9:D13,0)+8,COLUMN(Vessels_Operating),4),""))</f>
        <v>Multiple values missing in Number Operating in Potential NDZ (column C)</v>
      </c>
      <c r="E8" s="300"/>
      <c r="F8" s="299"/>
      <c r="G8" s="303"/>
    </row>
    <row r="9" spans="1:7" ht="31.5" customHeight="1" x14ac:dyDescent="0.2">
      <c r="A9" s="141" t="s">
        <v>9</v>
      </c>
      <c r="B9" s="147" t="s">
        <v>62</v>
      </c>
      <c r="C9" s="301" t="str">
        <f>IF(SUM('(1) Vessel Inputs'!F9:F13)&gt;0,"Input required","Complete")</f>
        <v>Complete</v>
      </c>
      <c r="D9" s="302" t="str">
        <f>IF(SUM('(1) Vessel Inputs'!F9:F13)&gt;1,"Multiple values missing in "&amp;B9&amp;" (column E)",IF(C9="Input required","Missing value in cell "&amp;ADDRESS(MATCH(1,'(1) Vessel Inputs'!F9:F13,0)+8,COLUMN(Start_Date),4),""))</f>
        <v/>
      </c>
      <c r="E9" s="300"/>
      <c r="F9" s="299"/>
      <c r="G9" s="303"/>
    </row>
    <row r="10" spans="1:7" ht="31.5" customHeight="1" x14ac:dyDescent="0.2">
      <c r="A10" s="141" t="s">
        <v>9</v>
      </c>
      <c r="B10" s="139" t="s">
        <v>63</v>
      </c>
      <c r="C10" s="301" t="str">
        <f>IF(SUM('(1) Vessel Inputs'!H9:H13)&gt;0,"Input required","Complete")</f>
        <v>Complete</v>
      </c>
      <c r="D10" s="302" t="str">
        <f>IF(SUM('(1) Vessel Inputs'!H9:H13)&gt;1,"Multiple values missing in "&amp;B10&amp;" (column G)",IF(C10="Input required","Missing value in cell "&amp;ADDRESS(MATCH(1,'(1) Vessel Inputs'!H9:H13,0)+8,COLUMN('(1) Vessel Inputs'!G8),4),""))</f>
        <v/>
      </c>
      <c r="E10" s="300"/>
      <c r="F10" s="299"/>
      <c r="G10" s="303"/>
    </row>
    <row r="11" spans="1:7" ht="31.5" customHeight="1" x14ac:dyDescent="0.2">
      <c r="A11" s="141" t="s">
        <v>9</v>
      </c>
      <c r="B11" s="147" t="s">
        <v>64</v>
      </c>
      <c r="C11" s="301" t="str">
        <f>IF(SUM('(1) Vessel Inputs'!N9:N13)&gt;0,"Input required","Complete")</f>
        <v>Complete</v>
      </c>
      <c r="D11" s="302" t="str">
        <f>IF(SUM('(1) Vessel Inputs'!N9:N13)&gt;1,"Multiple values missing in "&amp;B11&amp;" (column M)",IF(C11="Input required","Missing value in cell "&amp;ADDRESS(MATCH(1,'(1) Vessel Inputs'!N9:N13,0)+8,COLUMN('(1) Vessel Inputs'!M8),4),""))</f>
        <v/>
      </c>
      <c r="E11" s="300"/>
      <c r="F11" s="299"/>
      <c r="G11" s="303"/>
    </row>
    <row r="12" spans="1:7" ht="31.5" customHeight="1" x14ac:dyDescent="0.2">
      <c r="A12" s="141" t="s">
        <v>9</v>
      </c>
      <c r="B12" s="147" t="s">
        <v>65</v>
      </c>
      <c r="C12" s="301" t="str">
        <f>IF(SUM('(1) Vessel Inputs'!P9:P13)&gt;0,"Input required","Complete")</f>
        <v>Complete</v>
      </c>
      <c r="D12" s="302" t="str">
        <f>IF(SUM('(1) Vessel Inputs'!P9:P13)&gt;1,"Multiple values missing in "&amp;B12&amp;" (column O)",IF(C12="Input required","Missing value in cell "&amp;ADDRESS(MATCH(1,'(1) Vessel Inputs'!P9:P13,0)+8,COLUMN('(1) Vessel Inputs'!O9),4),""))</f>
        <v/>
      </c>
      <c r="E12" s="300"/>
      <c r="F12" s="299"/>
      <c r="G12" s="303"/>
    </row>
    <row r="13" spans="1:7" ht="31.5" customHeight="1" x14ac:dyDescent="0.2">
      <c r="A13" s="141" t="s">
        <v>9</v>
      </c>
      <c r="B13" s="147" t="s">
        <v>66</v>
      </c>
      <c r="C13" s="301" t="str">
        <f>IF(SUM('(1) Vessel Inputs'!R9:R13)&gt;0,"Input required","Complete")</f>
        <v>Complete</v>
      </c>
      <c r="D13" s="302" t="str">
        <f>IF(SUM('(1) Vessel Inputs'!R9:R13)&gt;1,"Multiple values missing in "&amp;B13&amp;" (column Q)",IF(C13="Input required","Missing value in cell "&amp;ADDRESS(MATCH(1,'(1) Vessel Inputs'!R9:R13,0)+8,COLUMN('(1) Vessel Inputs'!Q8),4),""))</f>
        <v/>
      </c>
      <c r="E13" s="300"/>
      <c r="F13" s="299"/>
      <c r="G13" s="303"/>
    </row>
    <row r="14" spans="1:7" ht="31.5" customHeight="1" x14ac:dyDescent="0.2">
      <c r="A14" s="141" t="s">
        <v>9</v>
      </c>
      <c r="B14" s="139" t="s">
        <v>67</v>
      </c>
      <c r="C14" s="301" t="str">
        <f>IF(SUM('(1) Vessel Inputs'!T9:T13)&gt;0,"Input required","Complete")</f>
        <v>Complete</v>
      </c>
      <c r="D14" s="302" t="str">
        <f>IF(SUM('(1) Vessel Inputs'!T9:T13)&gt;1,"Multiple values missing in "&amp;B14&amp;" (column S)",IF(C14="Input required","Missing value in cell "&amp;ADDRESS(MATCH(1,'(1) Vessel Inputs'!T9:T13,0)+8,COLUMN('(1) Vessel Inputs'!S9),4),""))</f>
        <v/>
      </c>
      <c r="E14" s="300"/>
      <c r="F14" s="299"/>
      <c r="G14" s="303"/>
    </row>
    <row r="15" spans="1:7" ht="31.5" customHeight="1" x14ac:dyDescent="0.2">
      <c r="A15" s="141" t="s">
        <v>9</v>
      </c>
      <c r="B15" s="147" t="s">
        <v>68</v>
      </c>
      <c r="C15" s="301" t="str">
        <f>IF(SUM('(1) Vessel Inputs'!V9:V13)&gt;0,"Input required","Complete")</f>
        <v>Complete</v>
      </c>
      <c r="D15" s="302" t="str">
        <f>IF(SUM('(1) Vessel Inputs'!V9:V13)&gt;1,"Multiple values missing in "&amp;B15&amp;" (column U)",IF(C15="Input required","Missing value in cell "&amp;ADDRESS(MATCH(1,'(1) Vessel Inputs'!V9:V13,0)+8,COLUMN('(1) Vessel Inputs'!U10),4),""))</f>
        <v/>
      </c>
      <c r="E15" s="300"/>
      <c r="F15" s="299"/>
      <c r="G15" s="303"/>
    </row>
    <row r="16" spans="1:7" ht="31.5" customHeight="1" x14ac:dyDescent="0.2">
      <c r="A16" s="141" t="s">
        <v>9</v>
      </c>
      <c r="B16" s="147" t="s">
        <v>69</v>
      </c>
      <c r="C16" s="301" t="str">
        <f>IF(SUM('(1) Vessel Inputs'!X9:X13)&gt;0,"Input required","Complete")</f>
        <v>Input required</v>
      </c>
      <c r="D16" s="302" t="str">
        <f>IF(SUM('(1) Vessel Inputs'!X9:X13)&gt;1,"Multiple values missing in "&amp;B16&amp;" (column W)",IF(C16="Input required","Missing value in cell "&amp;ADDRESS(MATCH(1,'(1) Vessel Inputs'!X9:X13,0)+8,COLUMN('(1) Vessel Inputs'!W10),4),""))</f>
        <v>Multiple values missing in Buffer time when pumping out (column W)</v>
      </c>
      <c r="E16" s="300"/>
      <c r="F16" s="299"/>
      <c r="G16" s="303"/>
    </row>
    <row r="17" spans="1:8" ht="31.5" customHeight="1" x14ac:dyDescent="0.2">
      <c r="A17" s="142" t="s">
        <v>10</v>
      </c>
      <c r="B17" s="147" t="s">
        <v>70</v>
      </c>
      <c r="C17" s="301" t="str">
        <f>IF(COUNTBLANK('(2) Facility Inputs'!A9:A13)&gt;0,"Input required","Complete")</f>
        <v>Complete</v>
      </c>
      <c r="D17" s="302" t="str">
        <f>IF(SUM('(2) Facility Inputs'!B9:B13)&gt;1,"Multiple values missing in "&amp;B17&amp;" (column A)",IF(C17="Input required","Missing value in cell "&amp;ADDRESS(MATCH(1,'(2) Facility Inputs'!B9:B13,0)+8,COLUMN(Facilities_Start_Table),4),""))</f>
        <v/>
      </c>
      <c r="E17" s="300"/>
      <c r="F17" s="299"/>
      <c r="G17" s="298"/>
      <c r="H17" s="298"/>
    </row>
    <row r="18" spans="1:8" ht="31.5" customHeight="1" x14ac:dyDescent="0.2">
      <c r="A18" s="142" t="s">
        <v>10</v>
      </c>
      <c r="B18" s="147" t="s">
        <v>71</v>
      </c>
      <c r="C18" s="301" t="str">
        <f>IF(COUNTBLANK('(2) Facility Inputs'!C9:C13)&gt;0,"Input required","Complete")</f>
        <v>Complete</v>
      </c>
      <c r="D18" s="302" t="str">
        <f>IF(SUM('(2) Facility Inputs'!D9:D13)&gt;1,"Mutiple values missing in "&amp;B18&amp;" (column C)",IF(C18="Input required","Missing value in cell "&amp;ADDRESS(MATCH(1,'(2) Facility Inputs'!D9:D13,0)+8,COLUMN(Facility_Type),4),""))</f>
        <v/>
      </c>
      <c r="E18" s="300"/>
      <c r="F18" s="299"/>
      <c r="G18" s="298"/>
      <c r="H18" s="298"/>
    </row>
    <row r="19" spans="1:8" ht="31.5" customHeight="1" x14ac:dyDescent="0.2">
      <c r="A19" s="142" t="s">
        <v>10</v>
      </c>
      <c r="B19" s="147" t="s">
        <v>72</v>
      </c>
      <c r="C19" s="301" t="str">
        <f>IF(COUNTBLANK('(2) Facility Inputs'!E9:E13)&gt;0,"Input required","Complete")</f>
        <v>Input required</v>
      </c>
      <c r="D19" s="302" t="str">
        <f>IF(SUM('(2) Facility Inputs'!F9:F13)&gt;1,"Multiple values missing in "&amp;B19&amp;" (column E)",IF(C19="Input required","Missing value in cell "&amp;ADDRESS(MATCH(1,'(2) Facility Inputs'!F9:F13,0)+8,COLUMN(Hours_Operation),4),""))</f>
        <v>Multiple values missing in Number of hours in operation per day (column E)</v>
      </c>
      <c r="E19" s="300"/>
      <c r="F19" s="299"/>
      <c r="G19" s="298"/>
      <c r="H19" s="298"/>
    </row>
    <row r="20" spans="1:8" ht="31.5" customHeight="1" x14ac:dyDescent="0.2">
      <c r="A20" s="142" t="s">
        <v>10</v>
      </c>
      <c r="B20" s="147" t="s">
        <v>73</v>
      </c>
      <c r="C20" s="301" t="str">
        <f>IF(COUNTBLANK('(2) Facility Inputs'!G9:G13)&gt;0,"Input required","Complete")</f>
        <v>Input required</v>
      </c>
      <c r="D20" s="302" t="str">
        <f>IF(SUM('(2) Facility Inputs'!H9:H13)&gt;1,"Multiple values missing in "&amp;B20&amp;" (column G)",IF(C20="Input required","Missing value in cell "&amp;ADDRESS(MATCH(1,'(2) Facility Inputs'!H9:H13,0)+8,COLUMN(Days_Operation),4),""))</f>
        <v>Multiple values missing in Days per week in operation (column G)</v>
      </c>
      <c r="E20" s="300"/>
      <c r="F20" s="299"/>
      <c r="G20" s="298"/>
      <c r="H20" s="298"/>
    </row>
    <row r="21" spans="1:8" ht="31.5" customHeight="1" x14ac:dyDescent="0.2">
      <c r="A21" s="142" t="s">
        <v>10</v>
      </c>
      <c r="B21" s="147" t="s">
        <v>74</v>
      </c>
      <c r="C21" s="301" t="str">
        <f>IF(SUM('(2) Facility Inputs'!J9:J13)&gt;0,"Input required","Complete")</f>
        <v>Input required</v>
      </c>
      <c r="D21" s="302" t="str">
        <f>IF(SUM('(2) Facility Inputs'!J9:J13)&gt;1,"Multiple values missing in "&amp;B21&amp;" (column I)",IF(C21="Input required","Missing value in cell "&amp;ADDRESS(MATCH(1,'(2) Facility Inputs'!J9:J13,0)+8,COLUMN(Opening_Month),4),""))</f>
        <v>Multiple values missing in Opening month (column I)</v>
      </c>
      <c r="E21" s="300"/>
      <c r="F21" s="299"/>
      <c r="G21" s="298"/>
      <c r="H21" s="298"/>
    </row>
    <row r="22" spans="1:8" ht="31.5" customHeight="1" x14ac:dyDescent="0.2">
      <c r="A22" s="142" t="s">
        <v>10</v>
      </c>
      <c r="B22" s="147" t="s">
        <v>75</v>
      </c>
      <c r="C22" s="301" t="str">
        <f>IF(SUM('(2) Facility Inputs'!L9:L13)&gt;0,"Input required","Complete")</f>
        <v>Input required</v>
      </c>
      <c r="D22" s="302" t="str">
        <f>IF(SUM('(2) Facility Inputs'!L9:L13)&gt;1,"Multiple values missing in "&amp;B22&amp;" (column K)",IF(C22="Input required","Missing value in cell "&amp;ADDRESS(MATCH(1,'(2) Facility Inputs'!L9:L13,0)+8,COLUMN(Closing_Month),4),""))</f>
        <v>Multiple values missing in Closing month (column K)</v>
      </c>
      <c r="E22" s="300"/>
      <c r="F22" s="299"/>
      <c r="G22" s="298"/>
      <c r="H22" s="298"/>
    </row>
    <row r="23" spans="1:8" ht="31.5" customHeight="1" x14ac:dyDescent="0.2">
      <c r="A23" s="142" t="s">
        <v>10</v>
      </c>
      <c r="B23" s="147" t="s">
        <v>76</v>
      </c>
      <c r="C23" s="301" t="str">
        <f>IF(COUNTBLANK('(2) Facility Inputs'!M9:M13)&gt;0,"Input required","Complete")</f>
        <v>Complete</v>
      </c>
      <c r="D23" s="302" t="str">
        <f>IF(SUM('(2) Facility Inputs'!N9:N13)&gt;1,"Multiple values missing in "&amp;B23&amp;" (column M)",IF(C23="Input required","Missing value in cell "&amp;ADDRESS(MATCH(1,'(2) Facility Inputs'!N9:N13,0)+8,COLUMN(Sewer),4),""))</f>
        <v/>
      </c>
      <c r="E23" s="300"/>
      <c r="F23" s="299"/>
      <c r="G23" s="298"/>
      <c r="H23" s="304"/>
    </row>
    <row r="24" spans="1:8" ht="31.5" customHeight="1" x14ac:dyDescent="0.2">
      <c r="A24" s="142" t="s">
        <v>10</v>
      </c>
      <c r="B24" s="147" t="s">
        <v>77</v>
      </c>
      <c r="C24" s="301" t="str">
        <f>IF(SUM('(2) Facility Inputs'!P9:P13)&gt;0,"Input required","Complete")</f>
        <v>Complete</v>
      </c>
      <c r="D24" s="302" t="str">
        <f>IF(SUM('(2) Facility Inputs'!P9:P13)&gt;1,"Multiple values missing in "&amp;B24&amp;" (column O)",IF(C24="Input required","Missing value in cell "&amp;ADDRESS(MATCH(1,'(2) Facility Inputs'!P9:P13,0)+8,COLUMN(Tank_Capacity),4),""))</f>
        <v/>
      </c>
      <c r="E24" s="300"/>
      <c r="F24" s="299"/>
      <c r="G24" s="298"/>
      <c r="H24" s="304"/>
    </row>
    <row r="25" spans="1:8" ht="31.5" customHeight="1" x14ac:dyDescent="0.2">
      <c r="A25" s="142" t="s">
        <v>10</v>
      </c>
      <c r="B25" s="147" t="s">
        <v>78</v>
      </c>
      <c r="C25" s="301" t="str">
        <f>IF(SUM('(2) Facility Inputs'!R9:R13)&gt;0,"Input required","Complete")</f>
        <v>Complete</v>
      </c>
      <c r="D25" s="302" t="str">
        <f>IF(SUM('(2) Facility Inputs'!R9:R13)&gt;1,"Multiple values missing in "&amp;B25&amp;" (column Q)",IF(C25="Input required","Missing value in cell "&amp;ADDRESS(MATCH(1,'(2) Facility Inputs'!R9:R13,0)+8,COLUMN(Total_WF),4),""))</f>
        <v/>
      </c>
      <c r="E25" s="300"/>
      <c r="F25" s="299"/>
      <c r="G25" s="298"/>
      <c r="H25" s="304"/>
    </row>
    <row r="26" spans="1:8" ht="31.5" customHeight="1" x14ac:dyDescent="0.2">
      <c r="A26" s="142" t="s">
        <v>10</v>
      </c>
      <c r="B26" s="147" t="s">
        <v>79</v>
      </c>
      <c r="C26" s="301" t="str">
        <f>IF(SUM('(2) Facility Inputs'!T9:T13)&gt;0,"Input required","Complete")</f>
        <v>Input required</v>
      </c>
      <c r="D26" s="302" t="str">
        <f>IF(SUM('(2) Facility Inputs'!T9:T13)&gt;1,"Multiple values missing in "&amp;B26&amp;" (column S)",IF(C26="Input required","Missing value in cell "&amp;ADDRESS(MATCH(1,'(2) Facility Inputs'!T9:T13,0)+8,COLUMN(Base_Fee),4),""))</f>
        <v>Multiple values missing in Base/Service Fee (column S)</v>
      </c>
      <c r="E26" s="300"/>
      <c r="F26" s="299"/>
      <c r="G26" s="298"/>
      <c r="H26" s="298"/>
    </row>
    <row r="27" spans="1:8" ht="31.5" customHeight="1" x14ac:dyDescent="0.2">
      <c r="A27" s="142" t="s">
        <v>10</v>
      </c>
      <c r="B27" s="147" t="s">
        <v>80</v>
      </c>
      <c r="C27" s="301" t="str">
        <f>IF(SUM('(2) Facility Inputs'!V9:V13)&gt;0,"Input required","Complete")</f>
        <v>Complete</v>
      </c>
      <c r="D27" s="302" t="str">
        <f>IF(SUM('(2) Facility Inputs'!V9:V13)&gt;1,"Multiple values missing in "&amp;B27&amp;" (column U)",IF(C27="Input required","Missing value in cell "&amp;ADDRESS(MATCH(1,'(2) Facility Inputs'!V9:V13,0)+8,COLUMN(Base_Gallons),4),""))</f>
        <v/>
      </c>
      <c r="E27" s="300"/>
      <c r="F27" s="299"/>
      <c r="G27" s="298"/>
      <c r="H27" s="298"/>
    </row>
    <row r="28" spans="1:8" ht="31.5" customHeight="1" x14ac:dyDescent="0.2">
      <c r="A28" s="142" t="s">
        <v>10</v>
      </c>
      <c r="B28" s="147" t="s">
        <v>81</v>
      </c>
      <c r="C28" s="301" t="str">
        <f>IF(SUM('(2) Facility Inputs'!Y9:Y13)&gt;0,"Input required","Complete")</f>
        <v>Input required</v>
      </c>
      <c r="D28" s="302" t="str">
        <f>IF(SUM('(2) Facility Inputs'!Y9:Y13)&gt;1,"Multiple values missing in Fee ($/gallon) (column W) or Fee ($/hour) (column X)",IF(C28="Input required","Missing value in Fee ($/gallon) or Fee ($/hour), row "&amp;MATCH(1,'(2) Facility Inputs'!Y9:Y13,0)+8,""))</f>
        <v>Multiple values missing in Fee ($/gallon) (column W) or Fee ($/hour) (column X)</v>
      </c>
      <c r="E28" s="300"/>
      <c r="F28" s="299"/>
      <c r="G28" s="298"/>
      <c r="H28" s="303"/>
    </row>
    <row r="29" spans="1:8" ht="31.5" customHeight="1" x14ac:dyDescent="0.2">
      <c r="A29" s="143" t="s">
        <v>11</v>
      </c>
      <c r="B29" s="139" t="s">
        <v>82</v>
      </c>
      <c r="C29" s="301" t="str">
        <f ca="1">IF(SUM('(3) Cost Inputs'!C8:C12)&gt;0,"Input required","Complete")</f>
        <v>Complete</v>
      </c>
      <c r="D29" s="302" t="str">
        <f ca="1">IF(SUM('(3) Cost Inputs'!C8:C12)&gt;1,"Multiple values missing in "&amp;B29&amp;" (column B)",IF(C29="Input required","Missing value in cell "&amp;ADDRESS(MATCH(1,'(3) Cost Inputs'!C8:C12,0)+7,COLUMN('(3) Cost Inputs'!B7),4),""))</f>
        <v/>
      </c>
      <c r="E29" s="300"/>
      <c r="F29" s="299"/>
      <c r="G29" s="298"/>
      <c r="H29" s="303"/>
    </row>
    <row r="30" spans="1:8" ht="31.5" customHeight="1" x14ac:dyDescent="0.2">
      <c r="A30" s="143" t="s">
        <v>11</v>
      </c>
      <c r="B30" s="139" t="s">
        <v>83</v>
      </c>
      <c r="C30" s="301" t="str">
        <f ca="1">IF(SUM('(3) Cost Inputs'!E8:E12)&gt;0,"Input required","Complete")</f>
        <v>Complete</v>
      </c>
      <c r="D30" s="302" t="str">
        <f ca="1">IF(SUM('(3) Cost Inputs'!E8:E12)&gt;1,"Multiple values missing in "&amp;B30&amp;" (column D)",IF(C30="Input required","Missing value in cell "&amp;ADDRESS(MATCH(1,'(3) Cost Inputs'!E8:E12,0)+7,COLUMN('(3) Cost Inputs'!D7),4),""))</f>
        <v/>
      </c>
      <c r="E30" s="300"/>
      <c r="F30" s="299"/>
      <c r="G30" s="298"/>
      <c r="H30" s="303"/>
    </row>
    <row r="31" spans="1:8" ht="31.5" customHeight="1" x14ac:dyDescent="0.2">
      <c r="A31" s="143" t="s">
        <v>11</v>
      </c>
      <c r="B31" s="139" t="s">
        <v>84</v>
      </c>
      <c r="C31" s="301" t="str">
        <f ca="1">IF(SUM('(3) Cost Inputs'!G8:G12)&gt;0,"Input required","Complete")</f>
        <v>Complete</v>
      </c>
      <c r="D31" s="302" t="str">
        <f ca="1">IF(SUM('(3) Cost Inputs'!G8:G12)&gt;1,"Multiple values missing in "&amp;B31&amp;" (column F)",IF(C31="Input required","Missing value in cell "&amp;ADDRESS(MATCH(1,'(3) Cost Inputs'!G8:G12,0)+7,COLUMN('(3) Cost Inputs'!F7),4),""))</f>
        <v/>
      </c>
      <c r="E31" s="300"/>
      <c r="F31" s="299"/>
      <c r="G31" s="298"/>
      <c r="H31" s="303"/>
    </row>
    <row r="32" spans="1:8" ht="31.5" customHeight="1" x14ac:dyDescent="0.2">
      <c r="A32" s="143" t="s">
        <v>11</v>
      </c>
      <c r="B32" s="139" t="s">
        <v>85</v>
      </c>
      <c r="C32" s="301" t="str">
        <f ca="1">IF(SUM('(3) Cost Inputs'!I8:I12)&gt;0,"Input required","Complete")</f>
        <v>Complete</v>
      </c>
      <c r="D32" s="302" t="str">
        <f ca="1">IF(SUM('(3) Cost Inputs'!I8:I12)&gt;1,"Multiple values missing in "&amp;B32&amp;" (column H)",IF(C32="Input required","Missing value in cell "&amp;ADDRESS(MATCH(1,'(3) Cost Inputs'!I8:I12,0)+7,COLUMN('(3) Cost Inputs'!H7),4),""))</f>
        <v/>
      </c>
      <c r="E32" s="300"/>
      <c r="F32" s="299"/>
      <c r="G32" s="298"/>
      <c r="H32" s="303"/>
    </row>
    <row r="33" spans="1:8" ht="31.5" customHeight="1" x14ac:dyDescent="0.2">
      <c r="A33" s="141" t="s">
        <v>11</v>
      </c>
      <c r="B33" s="138" t="s">
        <v>86</v>
      </c>
      <c r="C33" s="305" t="str">
        <f>IF(SUM('(3) Cost Inputs'!K8:K12)&gt;0,"Input required","Complete")</f>
        <v>Complete</v>
      </c>
      <c r="D33" s="306" t="str">
        <f>IF(SUM('(3) Cost Inputs'!K8:K12)&gt;1,"Multiple values missing in "&amp;B33&amp;" (column K)",IF(C33="Input required","Missing value in cell "&amp;ADDRESS(MATCH(1,'(3) Cost Inputs'!K8:K12,0)+7,COLUMN(Fuel_Price),4),""))</f>
        <v/>
      </c>
      <c r="E33" s="300"/>
      <c r="F33" s="299"/>
      <c r="G33" s="298"/>
      <c r="H33" s="303"/>
    </row>
    <row r="34" spans="1:8" hidden="1" x14ac:dyDescent="0.2">
      <c r="A34" s="300"/>
      <c r="B34" s="300"/>
      <c r="C34" s="300"/>
      <c r="D34" s="300"/>
      <c r="E34" s="300"/>
      <c r="F34" s="299"/>
      <c r="G34" s="298"/>
      <c r="H34" s="298"/>
    </row>
    <row r="35" spans="1:8" ht="17.45" customHeight="1" thickBot="1" x14ac:dyDescent="0.25">
      <c r="A35" s="307"/>
      <c r="B35" s="307"/>
      <c r="C35" s="307"/>
      <c r="D35" s="307"/>
      <c r="E35" s="307"/>
      <c r="F35" s="308"/>
      <c r="G35" s="298"/>
      <c r="H35" s="298"/>
    </row>
  </sheetData>
  <conditionalFormatting sqref="C7:D33">
    <cfRule type="cellIs" dxfId="216" priority="8" operator="equal">
      <formula>"""Input required"""</formula>
    </cfRule>
  </conditionalFormatting>
  <conditionalFormatting sqref="D7:D33 B7:B33">
    <cfRule type="expression" dxfId="215" priority="7">
      <formula>$C7="Input required"</formula>
    </cfRule>
  </conditionalFormatting>
  <conditionalFormatting sqref="C7:C33">
    <cfRule type="cellIs" dxfId="214" priority="5" operator="equal">
      <formula>"Input required"</formula>
    </cfRule>
  </conditionalFormatting>
  <hyperlinks>
    <hyperlink ref="A7" location="'(1) Vessel Inputs'!A1" display="(1) Vessel Inputs" xr:uid="{3856452B-1485-4A60-838F-67E2DE2DD4DC}"/>
    <hyperlink ref="B8" location="Vessels_Operating" display="Number Operating in Potential NDZ" xr:uid="{3D9ED85C-08B0-45CF-9C52-7BA320CADDFC}"/>
    <hyperlink ref="B17" location="Facilities_Start_Table" display="Facility Name" xr:uid="{8BCD8B44-1BC0-4DC3-A26F-45B8E30D6A2E}"/>
    <hyperlink ref="B18" location="Facility_Type" display="Facility Type" xr:uid="{FE3497CE-6A0A-4ADD-9602-482996A578F0}"/>
    <hyperlink ref="B19" location="'(2) Facility Inputs'!G16" display="Number of hours in operation per day" xr:uid="{8B57FDA5-232F-496C-881F-B67C3E9C857A}"/>
    <hyperlink ref="B20" location="Days_Operation" display="Days per week in operation" xr:uid="{DE73F936-372F-4E95-9D00-ABA690B9A598}"/>
    <hyperlink ref="B23" location="Sewer" display="Connection to sewer?" xr:uid="{9605AE38-6BC9-4F59-85A8-5F49CC54E536}"/>
    <hyperlink ref="B27" location="Base_Gallons" display="Base Gallons" xr:uid="{D4B48975-13FD-41C4-A624-E1FD99EC6D11}"/>
    <hyperlink ref="B28" location="Fee" display="Fee" xr:uid="{E20A5592-A5F4-4590-B69C-54B6F283693E}"/>
    <hyperlink ref="B7" location="Vessels_Start_Table" display="Vessel Class" xr:uid="{52B582C0-72DA-46D3-BDBD-A415CBE72428}"/>
    <hyperlink ref="B26" location="Base_Fee" display="Base/Service Fee" xr:uid="{747B28A6-0E0C-45F8-9CE1-4FA12F5DCDBC}"/>
    <hyperlink ref="A29:A32" location="'(3) Cost Inputs'!A1" display="(3) Cost Inputs" xr:uid="{2AF63DD3-BA49-4A58-9E8D-CD3CA707C476}"/>
    <hyperlink ref="B29" location="Operating_Cost" display="Reported baseline operating costs ($/vessel)" xr:uid="{5EEADA2C-758F-42F8-9ED7-E51ADD9D5376}"/>
    <hyperlink ref="B30" location="Vessel_Speed" display="Reported vessel speed (nautical miles per hour)" xr:uid="{0F364EC1-16E1-4FA1-AE79-D487A477DF93}"/>
    <hyperlink ref="B31" location="Fuel_Consumption" display="Reported fuel consumption (gallons per hour)" xr:uid="{DFF21F3A-B58E-4C4C-AF14-D077192B1161}"/>
    <hyperlink ref="B32" location="Hourly_Revenue" display="Reported hourly revenue ($/hour/vessel)" xr:uid="{7B395AD2-F9D7-481C-B6C1-ECAA2C022668}"/>
    <hyperlink ref="B9" location="Start_Date" display="Season start date (month and day)" xr:uid="{712CBF79-BED0-4B18-B4CB-1F30B49889BA}"/>
    <hyperlink ref="B10" location="End_Date" display="Season end date (month and day)" xr:uid="{188E91ED-4217-480B-95DE-A5DE0DBF6046}"/>
    <hyperlink ref="B11" location="Crew_Passengers" display="Average number of crew and passengers per vessel" xr:uid="{1955149E-6F54-4D86-86EE-6FCB5FAFE5D1}"/>
    <hyperlink ref="B12" location="Sewage_Rate" display="Sewage generation rate" xr:uid="{3A0356C1-DC01-44E7-B7D9-6F6D68C7A938}"/>
    <hyperlink ref="B13" location="Pumpout_Interval" display="Pumpout interval (number of days between pumpout)" xr:uid="{1546F814-3931-4157-8F8D-4EA7DD39E81D}"/>
    <hyperlink ref="B14" location="Distance_Traveled" display="Average distance traveled (nautical miles)" xr:uid="{0F8AF01D-5276-4386-8057-0C8C15CDA82F}"/>
    <hyperlink ref="B15" location="Percent_HT" display="Percent of vessels with holding tank installed" xr:uid="{2CC7D32A-0F59-45C7-B331-90B8DB60D55F}"/>
    <hyperlink ref="B21" location="Opening_Month" display="Opening month" xr:uid="{4EEDB2D1-71F3-4F19-ADBC-96F45D79CC48}"/>
    <hyperlink ref="B22" location="Closing_Month" display="Closing month" xr:uid="{BD965315-5DB6-4407-A755-9215016E9056}"/>
    <hyperlink ref="B24" location="Tank_Capacity" display="Tank Capacity (gallons)" xr:uid="{BC6DC157-0A58-45AA-BD2B-6BB24F587216}"/>
    <hyperlink ref="B25" location="Total_WF" display="Total working flow (gpm) " xr:uid="{A8533B1D-08D7-4907-9834-C6CD75E0FC8C}"/>
    <hyperlink ref="B33" location="Fuel_Price" display="Fuel price ($/gallon)" xr:uid="{DA71C2AD-124C-4411-9A0D-43538922BFC4}"/>
    <hyperlink ref="A8:A15" location="'(1) Vessel Inputs'!A1" display="(1) Vessel Inputs" xr:uid="{A8EB7626-3620-42F8-A7A7-E32ADF0D2C07}"/>
    <hyperlink ref="A30:A33" location="'(3) Cost Inputs'!A1" display="(3) Cost Inputs" xr:uid="{A9148DCB-787D-4149-B961-94FBAE9B9C37}"/>
    <hyperlink ref="A15:A16" location="'(1) Vessel Inputs'!A1" display="(1) Vessel Inputs" xr:uid="{3C2A073E-7CDD-4EA9-BCF0-65F571130490}"/>
    <hyperlink ref="B16" location="Buffer" display="Buffer time when pumping out" xr:uid="{21C220F9-5674-423C-8194-08BEF8A91400}"/>
  </hyperlinks>
  <pageMargins left="0.7" right="0.7" top="0.75" bottom="0.75" header="0.3" footer="0.3"/>
  <pageSetup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13360-50C9-4F5F-88D5-A93ED71C3FDF}">
  <sheetPr codeName="Sheet10">
    <tabColor theme="8" tint="0.79998168889431442"/>
  </sheetPr>
  <dimension ref="A1:AB31"/>
  <sheetViews>
    <sheetView showGridLines="0" topLeftCell="A4" zoomScale="80" zoomScaleNormal="80" workbookViewId="0">
      <selection activeCell="U11" sqref="U11"/>
    </sheetView>
  </sheetViews>
  <sheetFormatPr defaultColWidth="8.85546875" defaultRowHeight="14.25" x14ac:dyDescent="0.2"/>
  <cols>
    <col min="1" max="1" width="30.5703125" style="19" customWidth="1"/>
    <col min="2" max="2" width="13.85546875" style="19" hidden="1" customWidth="1"/>
    <col min="3" max="3" width="26.85546875" style="19" customWidth="1"/>
    <col min="4" max="4" width="14.5703125" style="19" hidden="1" customWidth="1"/>
    <col min="5" max="5" width="30.5703125" style="19" customWidth="1"/>
    <col min="6" max="6" width="13.140625" style="19" hidden="1" customWidth="1"/>
    <col min="7" max="7" width="30.5703125" style="19" customWidth="1"/>
    <col min="8" max="8" width="17.140625" style="19" hidden="1" customWidth="1"/>
    <col min="9" max="9" width="21.85546875" style="19" customWidth="1"/>
    <col min="10" max="10" width="17.140625" style="19" hidden="1" customWidth="1"/>
    <col min="11" max="11" width="19.5703125" style="19" customWidth="1"/>
    <col min="12" max="12" width="17.140625" style="19" hidden="1" customWidth="1"/>
    <col min="13" max="13" width="30.5703125" style="19" customWidth="1"/>
    <col min="14" max="14" width="11.42578125" style="19" hidden="1" customWidth="1"/>
    <col min="15" max="15" width="30.5703125" style="19" customWidth="1"/>
    <col min="16" max="16" width="12.85546875" style="19" hidden="1" customWidth="1"/>
    <col min="17" max="17" width="30.5703125" style="19" customWidth="1"/>
    <col min="18" max="18" width="21.42578125" style="19" hidden="1" customWidth="1"/>
    <col min="19" max="19" width="30.5703125" style="19" customWidth="1"/>
    <col min="20" max="20" width="10.85546875" style="19" hidden="1" customWidth="1"/>
    <col min="21" max="21" width="30.5703125" style="19" customWidth="1"/>
    <col min="22" max="22" width="12.140625" style="19" hidden="1" customWidth="1"/>
    <col min="23" max="23" width="18.85546875" style="19" customWidth="1"/>
    <col min="24" max="24" width="12.140625" style="19" hidden="1" customWidth="1"/>
    <col min="25" max="25" width="21.85546875" style="19" hidden="1" customWidth="1"/>
    <col min="26" max="26" width="5.85546875" style="19" customWidth="1"/>
    <col min="27" max="27" width="13.5703125" style="19" customWidth="1"/>
    <col min="28" max="28" width="10.42578125" style="19" customWidth="1"/>
    <col min="29" max="30" width="15.140625" style="19" customWidth="1"/>
    <col min="31" max="16384" width="8.85546875" style="19"/>
  </cols>
  <sheetData>
    <row r="1" spans="1:28" ht="20.25" x14ac:dyDescent="0.3">
      <c r="A1" s="42" t="s">
        <v>87</v>
      </c>
      <c r="B1" s="42"/>
      <c r="C1" s="304"/>
      <c r="D1" s="304"/>
      <c r="E1" s="304"/>
      <c r="F1" s="304"/>
      <c r="G1" s="304"/>
      <c r="H1" s="304"/>
      <c r="I1" s="304"/>
      <c r="J1" s="304"/>
      <c r="K1" s="304"/>
      <c r="L1" s="304"/>
      <c r="M1" s="304"/>
      <c r="N1" s="304"/>
      <c r="O1" s="304"/>
      <c r="P1" s="304"/>
      <c r="Q1" s="304"/>
      <c r="R1" s="304"/>
      <c r="S1" s="304"/>
      <c r="T1" s="304"/>
      <c r="U1" s="304"/>
      <c r="V1" s="304"/>
      <c r="W1" s="304"/>
      <c r="X1" s="304"/>
      <c r="Y1" s="304"/>
      <c r="Z1" s="309"/>
      <c r="AA1" s="304"/>
      <c r="AB1" s="304"/>
    </row>
    <row r="2" spans="1:28" x14ac:dyDescent="0.2">
      <c r="A2" s="304"/>
      <c r="B2" s="304"/>
      <c r="C2" s="304"/>
      <c r="D2" s="304"/>
      <c r="E2" s="304"/>
      <c r="F2" s="304"/>
      <c r="G2" s="304"/>
      <c r="H2" s="304"/>
      <c r="I2" s="304"/>
      <c r="J2" s="304"/>
      <c r="K2" s="304"/>
      <c r="L2" s="304"/>
      <c r="M2" s="304"/>
      <c r="N2" s="304"/>
      <c r="O2" s="304"/>
      <c r="P2" s="304"/>
      <c r="Q2" s="304"/>
      <c r="R2" s="304"/>
      <c r="S2" s="304"/>
      <c r="T2" s="304"/>
      <c r="U2" s="304"/>
      <c r="V2" s="304"/>
      <c r="W2" s="304"/>
      <c r="X2" s="304"/>
      <c r="Y2" s="304"/>
      <c r="Z2" s="309"/>
      <c r="AA2" s="304"/>
      <c r="AB2" s="304"/>
    </row>
    <row r="3" spans="1:28" ht="18" x14ac:dyDescent="0.25">
      <c r="A3" s="43" t="s">
        <v>88</v>
      </c>
      <c r="B3" s="43"/>
      <c r="C3" s="304"/>
      <c r="D3" s="304"/>
      <c r="E3" s="304"/>
      <c r="F3" s="304"/>
      <c r="G3" s="304"/>
      <c r="H3" s="304"/>
      <c r="I3" s="304"/>
      <c r="J3" s="304"/>
      <c r="K3" s="304"/>
      <c r="L3" s="304"/>
      <c r="M3" s="304"/>
      <c r="N3" s="304"/>
      <c r="O3" s="304"/>
      <c r="P3" s="304"/>
      <c r="Q3" s="304"/>
      <c r="R3" s="304"/>
      <c r="S3" s="304"/>
      <c r="T3" s="304"/>
      <c r="U3" s="304"/>
      <c r="V3" s="304"/>
      <c r="W3" s="304"/>
      <c r="X3" s="304"/>
      <c r="Y3" s="304"/>
      <c r="Z3" s="309"/>
      <c r="AA3" s="304"/>
      <c r="AB3" s="304"/>
    </row>
    <row r="4" spans="1:28" ht="54.75" customHeight="1" x14ac:dyDescent="0.2">
      <c r="A4" s="209" t="s">
        <v>89</v>
      </c>
      <c r="B4" s="209"/>
      <c r="C4" s="209"/>
      <c r="D4" s="209"/>
      <c r="E4" s="209"/>
      <c r="F4" s="209"/>
      <c r="G4" s="209"/>
      <c r="H4" s="209"/>
      <c r="I4" s="209"/>
      <c r="J4" s="209"/>
      <c r="K4" s="209"/>
      <c r="L4" s="209"/>
      <c r="M4" s="209"/>
      <c r="N4" s="209"/>
      <c r="O4" s="209"/>
      <c r="P4" s="209"/>
      <c r="Q4" s="209"/>
      <c r="R4" s="304"/>
      <c r="S4" s="304"/>
      <c r="T4" s="304"/>
      <c r="U4" s="304"/>
      <c r="V4" s="304"/>
      <c r="W4" s="304"/>
      <c r="X4" s="304"/>
      <c r="Y4" s="304"/>
      <c r="Z4" s="309"/>
      <c r="AA4" s="304"/>
      <c r="AB4" s="304"/>
    </row>
    <row r="5" spans="1:28" x14ac:dyDescent="0.2">
      <c r="A5" s="304"/>
      <c r="B5" s="304"/>
      <c r="C5" s="304"/>
      <c r="D5" s="304"/>
      <c r="E5" s="304"/>
      <c r="F5" s="304"/>
      <c r="G5" s="304"/>
      <c r="H5" s="304"/>
      <c r="I5" s="304"/>
      <c r="J5" s="304"/>
      <c r="K5" s="304"/>
      <c r="L5" s="304"/>
      <c r="M5" s="304"/>
      <c r="N5" s="304"/>
      <c r="O5" s="304"/>
      <c r="P5" s="304"/>
      <c r="Q5" s="304"/>
      <c r="R5" s="304"/>
      <c r="S5" s="304"/>
      <c r="T5" s="304"/>
      <c r="U5" s="304"/>
      <c r="V5" s="304"/>
      <c r="W5" s="304"/>
      <c r="X5" s="304"/>
      <c r="Y5" s="304"/>
      <c r="Z5" s="309"/>
      <c r="AA5" s="304"/>
      <c r="AB5" s="304"/>
    </row>
    <row r="6" spans="1:28" x14ac:dyDescent="0.2">
      <c r="A6" s="46"/>
      <c r="B6" s="46"/>
      <c r="C6" s="46"/>
      <c r="D6" s="46"/>
      <c r="E6" s="47"/>
      <c r="F6" s="47"/>
      <c r="G6" s="47"/>
      <c r="H6" s="47"/>
      <c r="I6" s="47"/>
      <c r="J6" s="47"/>
      <c r="K6" s="47"/>
      <c r="L6" s="47"/>
      <c r="M6" s="47"/>
      <c r="N6" s="47"/>
      <c r="O6" s="47"/>
      <c r="P6" s="47"/>
      <c r="Q6" s="47"/>
      <c r="R6" s="47"/>
      <c r="S6" s="47"/>
      <c r="T6" s="47"/>
      <c r="U6" s="47"/>
      <c r="V6" s="47"/>
      <c r="W6" s="47"/>
      <c r="X6" s="47"/>
      <c r="Y6" s="47"/>
      <c r="Z6" s="48"/>
      <c r="AA6" s="304"/>
      <c r="AB6" s="304"/>
    </row>
    <row r="7" spans="1:28" ht="15" hidden="1" x14ac:dyDescent="0.25">
      <c r="A7" s="20">
        <f>COLUMN()</f>
        <v>1</v>
      </c>
      <c r="B7" s="20"/>
      <c r="C7" s="20">
        <f>COLUMN()</f>
        <v>3</v>
      </c>
      <c r="D7" s="20"/>
      <c r="E7" s="20">
        <f>COLUMN()</f>
        <v>5</v>
      </c>
      <c r="F7" s="20"/>
      <c r="G7" s="20">
        <f>COLUMN()</f>
        <v>7</v>
      </c>
      <c r="H7" s="20"/>
      <c r="I7" s="20">
        <f>COLUMN()</f>
        <v>9</v>
      </c>
      <c r="J7" s="20"/>
      <c r="K7" s="20">
        <f>COLUMN()</f>
        <v>11</v>
      </c>
      <c r="L7" s="20"/>
      <c r="M7" s="20">
        <f>COLUMN()</f>
        <v>13</v>
      </c>
      <c r="N7" s="20"/>
      <c r="O7" s="20">
        <f>COLUMN()</f>
        <v>15</v>
      </c>
      <c r="P7" s="20"/>
      <c r="Q7" s="20">
        <f>COLUMN()</f>
        <v>17</v>
      </c>
      <c r="R7" s="20"/>
      <c r="S7" s="20">
        <f>COLUMN()</f>
        <v>19</v>
      </c>
      <c r="T7" s="20"/>
      <c r="U7" s="20">
        <f>COLUMN()</f>
        <v>21</v>
      </c>
      <c r="V7" s="20"/>
      <c r="W7" s="20">
        <f>COLUMN()</f>
        <v>23</v>
      </c>
      <c r="X7" s="20"/>
      <c r="Y7" s="20">
        <f>COLUMN()</f>
        <v>25</v>
      </c>
      <c r="Z7" s="309"/>
      <c r="AA7" s="304"/>
      <c r="AB7" s="304"/>
    </row>
    <row r="8" spans="1:28" ht="63.95" customHeight="1" x14ac:dyDescent="0.25">
      <c r="A8" s="148" t="s">
        <v>60</v>
      </c>
      <c r="B8" s="188" t="s">
        <v>90</v>
      </c>
      <c r="C8" s="189" t="s">
        <v>61</v>
      </c>
      <c r="D8" s="189" t="s">
        <v>91</v>
      </c>
      <c r="E8" s="189" t="s">
        <v>62</v>
      </c>
      <c r="F8" s="189" t="s">
        <v>92</v>
      </c>
      <c r="G8" s="189" t="s">
        <v>63</v>
      </c>
      <c r="H8" s="189" t="s">
        <v>93</v>
      </c>
      <c r="I8" s="189" t="s">
        <v>94</v>
      </c>
      <c r="J8" s="189" t="s">
        <v>95</v>
      </c>
      <c r="K8" s="189" t="s">
        <v>96</v>
      </c>
      <c r="L8" s="189" t="s">
        <v>97</v>
      </c>
      <c r="M8" s="189" t="s">
        <v>64</v>
      </c>
      <c r="N8" s="189" t="s">
        <v>98</v>
      </c>
      <c r="O8" s="189" t="s">
        <v>65</v>
      </c>
      <c r="P8" s="189" t="s">
        <v>99</v>
      </c>
      <c r="Q8" s="189" t="s">
        <v>66</v>
      </c>
      <c r="R8" s="189" t="s">
        <v>100</v>
      </c>
      <c r="S8" s="189" t="s">
        <v>67</v>
      </c>
      <c r="T8" s="189" t="s">
        <v>101</v>
      </c>
      <c r="U8" s="190" t="s">
        <v>68</v>
      </c>
      <c r="V8" s="189" t="s">
        <v>102</v>
      </c>
      <c r="W8" s="189" t="s">
        <v>103</v>
      </c>
      <c r="X8" s="21" t="s">
        <v>104</v>
      </c>
      <c r="Y8" s="22" t="s">
        <v>105</v>
      </c>
      <c r="Z8" s="309"/>
      <c r="AA8" s="304"/>
      <c r="AB8" s="304"/>
    </row>
    <row r="9" spans="1:28" x14ac:dyDescent="0.2">
      <c r="A9" s="310" t="s">
        <v>106</v>
      </c>
      <c r="B9" s="311">
        <f t="shared" ref="B9:B12" si="0">IF(ISBLANK(A9),1,0)</f>
        <v>0</v>
      </c>
      <c r="C9" s="312"/>
      <c r="D9" s="312">
        <f>IF(ISBLANK(C9),1,0)</f>
        <v>1</v>
      </c>
      <c r="E9" s="313" cm="1">
        <f t="array" ref="E9">+Default_Start_Date</f>
        <v>8</v>
      </c>
      <c r="F9" s="314">
        <f>IF(ISBLANK(E9),1,0)</f>
        <v>0</v>
      </c>
      <c r="G9" s="313" cm="1">
        <f t="array" ref="G9">+Default_End_Date</f>
        <v>358</v>
      </c>
      <c r="H9" s="314">
        <f>IF(ISBLANK(G9),1,0)</f>
        <v>0</v>
      </c>
      <c r="I9" s="315"/>
      <c r="J9" s="316">
        <f t="shared" ref="J9:J13" si="1">IF(ISBLANK(I9),1,0)</f>
        <v>1</v>
      </c>
      <c r="K9" s="316"/>
      <c r="L9" s="317">
        <f t="shared" ref="L9:L13" si="2">IF(ISBLANK(K9),1,0)</f>
        <v>1</v>
      </c>
      <c r="M9" s="318" cm="1">
        <f t="array" ref="M9">+Default_Crew_Passenger</f>
        <v>6</v>
      </c>
      <c r="N9" s="314">
        <f>IF(ISBLANK(M9),1,0)</f>
        <v>0</v>
      </c>
      <c r="O9" s="319" cm="1">
        <f t="array" ref="O9">+Default_Sewage</f>
        <v>11</v>
      </c>
      <c r="P9" s="314">
        <f>IF(ISBLANK(O9),1,0)</f>
        <v>0</v>
      </c>
      <c r="Q9" s="320" cm="1">
        <f t="array" ref="Q9">+Default_Pumpout_Interval</f>
        <v>7.5</v>
      </c>
      <c r="R9" s="314">
        <f t="shared" ref="R9:R12" si="3">IF(AND(NOT(OR(A9="Tugboats",A9="Commercial Fishing Vessels",A9="Excursion",A9="Ferries")),ISBLANK(Q9)),1,0)</f>
        <v>0</v>
      </c>
      <c r="S9" s="318">
        <f>+Default_Distance_Traveled</f>
        <v>0</v>
      </c>
      <c r="T9" s="314">
        <f>IF(ISBLANK(S9),1,0)</f>
        <v>0</v>
      </c>
      <c r="U9" s="321" cm="1">
        <f t="array" ref="U9">+Default_Percent_Holding_Tank</f>
        <v>0</v>
      </c>
      <c r="V9" s="314">
        <f>IF(ISBLANK(U9),1,0)</f>
        <v>0</v>
      </c>
      <c r="W9" s="312"/>
      <c r="X9" s="322">
        <f>IF(ISBLANK(W9),1,0)</f>
        <v>1</v>
      </c>
      <c r="Y9" s="323"/>
      <c r="Z9" s="309"/>
      <c r="AA9" s="304"/>
      <c r="AB9" s="324"/>
    </row>
    <row r="10" spans="1:28" x14ac:dyDescent="0.2">
      <c r="A10" s="310" t="s">
        <v>107</v>
      </c>
      <c r="B10" s="311">
        <f t="shared" si="0"/>
        <v>0</v>
      </c>
      <c r="C10" s="274"/>
      <c r="D10" s="312">
        <f t="shared" ref="D10:D12" si="4">IF(ISBLANK(C10),1,0)</f>
        <v>1</v>
      </c>
      <c r="E10" s="313" cm="1">
        <f t="array" ref="E10">+Default_Start_Date</f>
        <v>136</v>
      </c>
      <c r="F10" s="314">
        <f t="shared" ref="F10:H12" si="5">IF(ISBLANK(E10),1,0)</f>
        <v>0</v>
      </c>
      <c r="G10" s="313" cm="1">
        <f t="array" ref="G10">+Default_End_Date</f>
        <v>230</v>
      </c>
      <c r="H10" s="314">
        <f t="shared" si="5"/>
        <v>0</v>
      </c>
      <c r="I10" s="315"/>
      <c r="J10" s="316">
        <f t="shared" si="1"/>
        <v>1</v>
      </c>
      <c r="K10" s="315"/>
      <c r="L10" s="317">
        <f t="shared" si="2"/>
        <v>1</v>
      </c>
      <c r="M10" s="318" cm="1">
        <f t="array" ref="M10">+Default_Crew_Passenger</f>
        <v>7</v>
      </c>
      <c r="N10" s="314">
        <f t="shared" ref="N10" si="6">IF(ISBLANK(M10),1,0)</f>
        <v>0</v>
      </c>
      <c r="O10" s="319" cm="1">
        <f t="array" ref="O10">+Default_Sewage</f>
        <v>11</v>
      </c>
      <c r="P10" s="314">
        <f t="shared" ref="P10" si="7">IF(ISBLANK(O10),1,0)</f>
        <v>0</v>
      </c>
      <c r="Q10" s="320" cm="1">
        <f t="array" ref="Q10">+Default_Pumpout_Interval</f>
        <v>2</v>
      </c>
      <c r="R10" s="314">
        <f t="shared" si="3"/>
        <v>0</v>
      </c>
      <c r="S10" s="318">
        <f>+Default_Distance_Traveled</f>
        <v>0</v>
      </c>
      <c r="T10" s="314">
        <f t="shared" ref="T10" si="8">IF(ISBLANK(S10),1,0)</f>
        <v>0</v>
      </c>
      <c r="U10" s="321" cm="1">
        <f t="array" ref="U10">+Default_Percent_Holding_Tank</f>
        <v>0</v>
      </c>
      <c r="V10" s="314">
        <f t="shared" ref="V10:X10" si="9">IF(ISBLANK(U10),1,0)</f>
        <v>0</v>
      </c>
      <c r="W10" s="274"/>
      <c r="X10" s="322">
        <f t="shared" si="9"/>
        <v>1</v>
      </c>
      <c r="Y10" s="323"/>
      <c r="Z10" s="309"/>
      <c r="AA10" s="304"/>
      <c r="AB10" s="304"/>
    </row>
    <row r="11" spans="1:28" x14ac:dyDescent="0.2">
      <c r="A11" s="310" t="s">
        <v>108</v>
      </c>
      <c r="B11" s="311">
        <f t="shared" si="0"/>
        <v>0</v>
      </c>
      <c r="C11" s="274"/>
      <c r="D11" s="312">
        <f t="shared" si="4"/>
        <v>1</v>
      </c>
      <c r="E11" s="313" cm="1">
        <f t="array" ref="E11">+Default_Start_Date</f>
        <v>96</v>
      </c>
      <c r="F11" s="314">
        <f t="shared" si="5"/>
        <v>0</v>
      </c>
      <c r="G11" s="313" cm="1">
        <f t="array" ref="G11">+Default_End_Date</f>
        <v>270</v>
      </c>
      <c r="H11" s="314">
        <f t="shared" si="5"/>
        <v>0</v>
      </c>
      <c r="I11" s="315"/>
      <c r="J11" s="316">
        <f t="shared" si="1"/>
        <v>1</v>
      </c>
      <c r="K11" s="315"/>
      <c r="L11" s="317">
        <f t="shared" si="2"/>
        <v>1</v>
      </c>
      <c r="M11" s="318" cm="1">
        <f t="array" ref="M11">+Default_Crew_Passenger</f>
        <v>187</v>
      </c>
      <c r="N11" s="314">
        <f t="shared" ref="N11" si="10">IF(ISBLANK(M11),1,0)</f>
        <v>0</v>
      </c>
      <c r="O11" s="319" cm="1">
        <f t="array" ref="O11">+Default_Sewage</f>
        <v>8.4</v>
      </c>
      <c r="P11" s="314">
        <f t="shared" ref="P11" si="11">IF(ISBLANK(O11),1,0)</f>
        <v>0</v>
      </c>
      <c r="Q11" s="320" cm="1">
        <f t="array" ref="Q11">+Default_Pumpout_Interval</f>
        <v>0.5</v>
      </c>
      <c r="R11" s="314">
        <f t="shared" si="3"/>
        <v>0</v>
      </c>
      <c r="S11" s="318">
        <f>+Default_Distance_Traveled</f>
        <v>0</v>
      </c>
      <c r="T11" s="314">
        <f t="shared" ref="T11" si="12">IF(ISBLANK(S11),1,0)</f>
        <v>0</v>
      </c>
      <c r="U11" s="321" cm="1">
        <f t="array" ref="U11">+Default_Percent_Holding_Tank</f>
        <v>0.44444444444444442</v>
      </c>
      <c r="V11" s="314">
        <f>IF(ISBLANK(U11),1,0)</f>
        <v>0</v>
      </c>
      <c r="W11" s="274"/>
      <c r="X11" s="322">
        <f>IF(ISBLANK(W11),1,0)</f>
        <v>1</v>
      </c>
      <c r="Y11" s="323"/>
      <c r="Z11" s="309"/>
      <c r="AA11" s="304"/>
      <c r="AB11" s="304"/>
    </row>
    <row r="12" spans="1:28" x14ac:dyDescent="0.2">
      <c r="A12" s="310" t="s">
        <v>109</v>
      </c>
      <c r="B12" s="311">
        <f t="shared" si="0"/>
        <v>0</v>
      </c>
      <c r="C12" s="274"/>
      <c r="D12" s="312">
        <f t="shared" si="4"/>
        <v>1</v>
      </c>
      <c r="E12" s="325" cm="1">
        <f t="array" ref="E12">+Default_Start_Date</f>
        <v>96</v>
      </c>
      <c r="F12" s="314">
        <f t="shared" si="5"/>
        <v>0</v>
      </c>
      <c r="G12" s="325" cm="1">
        <f t="array" ref="G12">+Default_End_Date</f>
        <v>270</v>
      </c>
      <c r="H12" s="314">
        <f t="shared" si="5"/>
        <v>0</v>
      </c>
      <c r="I12" s="316"/>
      <c r="J12" s="316">
        <f t="shared" si="1"/>
        <v>1</v>
      </c>
      <c r="K12" s="316"/>
      <c r="L12" s="317">
        <f t="shared" si="2"/>
        <v>1</v>
      </c>
      <c r="M12" s="318" cm="1">
        <f t="array" ref="M12">+Default_Crew_Passenger</f>
        <v>282</v>
      </c>
      <c r="N12" s="314">
        <f t="shared" ref="N12" si="13">IF(ISBLANK(M12),1,0)</f>
        <v>0</v>
      </c>
      <c r="O12" s="319" cm="1">
        <f t="array" ref="O12">+Default_Sewage</f>
        <v>7.3</v>
      </c>
      <c r="P12" s="314">
        <f t="shared" ref="P12" si="14">IF(ISBLANK(O12),1,0)</f>
        <v>0</v>
      </c>
      <c r="Q12" s="320" cm="1">
        <f t="array" ref="Q12">+Default_Pumpout_Interval</f>
        <v>0.5</v>
      </c>
      <c r="R12" s="314">
        <f t="shared" si="3"/>
        <v>0</v>
      </c>
      <c r="S12" s="319">
        <f>+Default_Distance_Traveled</f>
        <v>0</v>
      </c>
      <c r="T12" s="314">
        <f t="shared" ref="T12" si="15">IF(ISBLANK(S12),1,0)</f>
        <v>0</v>
      </c>
      <c r="U12" s="321" cm="1">
        <f t="array" ref="U12">+Default_Percent_Holding_Tank</f>
        <v>0.84972510690287106</v>
      </c>
      <c r="V12" s="314">
        <f t="shared" ref="V12:X12" si="16">IF(ISBLANK(U12),1,0)</f>
        <v>0</v>
      </c>
      <c r="W12" s="274"/>
      <c r="X12" s="322">
        <f t="shared" si="16"/>
        <v>1</v>
      </c>
      <c r="Y12" s="323"/>
      <c r="Z12" s="309"/>
      <c r="AA12" s="304"/>
      <c r="AB12" s="304"/>
    </row>
    <row r="13" spans="1:28" hidden="1" x14ac:dyDescent="0.2">
      <c r="A13" s="187" t="s">
        <v>105</v>
      </c>
      <c r="B13" s="26"/>
      <c r="C13" s="326" t="s">
        <v>110</v>
      </c>
      <c r="D13" s="326"/>
      <c r="E13" s="326"/>
      <c r="F13" s="327"/>
      <c r="G13" s="326"/>
      <c r="H13" s="326"/>
      <c r="I13" s="326"/>
      <c r="J13" s="326">
        <f t="shared" si="1"/>
        <v>1</v>
      </c>
      <c r="K13" s="326"/>
      <c r="L13" s="326">
        <f t="shared" si="2"/>
        <v>1</v>
      </c>
      <c r="M13" s="326"/>
      <c r="N13" s="326"/>
      <c r="O13" s="326"/>
      <c r="P13" s="326"/>
      <c r="Q13" s="326"/>
      <c r="R13" s="326"/>
      <c r="S13" s="326"/>
      <c r="T13" s="326"/>
      <c r="U13" s="328"/>
      <c r="V13" s="326"/>
      <c r="W13" s="326"/>
      <c r="X13" s="326"/>
      <c r="Y13" s="326"/>
      <c r="Z13" s="309"/>
      <c r="AA13" s="304"/>
      <c r="AB13" s="304"/>
    </row>
    <row r="14" spans="1:28" ht="57" x14ac:dyDescent="0.2">
      <c r="A14" s="191" t="s">
        <v>111</v>
      </c>
      <c r="B14" s="192"/>
      <c r="C14" s="193" t="s">
        <v>111</v>
      </c>
      <c r="D14" s="193"/>
      <c r="E14" s="193" t="s">
        <v>14</v>
      </c>
      <c r="F14" s="193"/>
      <c r="G14" s="193" t="s">
        <v>14</v>
      </c>
      <c r="H14" s="193" t="s">
        <v>14</v>
      </c>
      <c r="I14" s="193" t="s">
        <v>112</v>
      </c>
      <c r="J14" s="193"/>
      <c r="K14" s="193" t="s">
        <v>112</v>
      </c>
      <c r="L14" s="193"/>
      <c r="M14" s="193" t="s">
        <v>14</v>
      </c>
      <c r="N14" s="193" t="s">
        <v>14</v>
      </c>
      <c r="O14" s="193" t="s">
        <v>14</v>
      </c>
      <c r="P14" s="193" t="s">
        <v>14</v>
      </c>
      <c r="Q14" s="193" t="s">
        <v>113</v>
      </c>
      <c r="R14" s="193" t="s">
        <v>14</v>
      </c>
      <c r="S14" s="193" t="s">
        <v>14</v>
      </c>
      <c r="T14" s="193" t="s">
        <v>14</v>
      </c>
      <c r="U14" s="194" t="s">
        <v>14</v>
      </c>
      <c r="V14" s="304"/>
      <c r="W14" s="235" t="s">
        <v>111</v>
      </c>
      <c r="X14" s="304"/>
      <c r="Y14" s="304"/>
      <c r="Z14" s="309"/>
      <c r="AA14" s="304"/>
      <c r="AB14" s="304"/>
    </row>
    <row r="15" spans="1:28" ht="23.45" customHeight="1" x14ac:dyDescent="0.2">
      <c r="A15" s="118"/>
      <c r="B15" s="118"/>
      <c r="C15" s="304"/>
      <c r="D15" s="304"/>
      <c r="E15" s="304"/>
      <c r="F15" s="304"/>
      <c r="G15" s="304"/>
      <c r="H15" s="304"/>
      <c r="I15" s="304"/>
      <c r="J15" s="304"/>
      <c r="K15" s="304"/>
      <c r="L15" s="304"/>
      <c r="M15" s="304"/>
      <c r="N15" s="304"/>
      <c r="O15" s="304"/>
      <c r="P15" s="304"/>
      <c r="Q15" s="122"/>
      <c r="R15" s="304"/>
      <c r="S15" s="304"/>
      <c r="T15" s="304"/>
      <c r="U15" s="304"/>
      <c r="V15" s="304"/>
      <c r="W15" s="304"/>
      <c r="X15" s="304"/>
      <c r="Y15" s="304"/>
      <c r="Z15" s="309"/>
      <c r="AA15" s="304"/>
      <c r="AB15" s="304"/>
    </row>
    <row r="16" spans="1:28" ht="20.100000000000001" customHeight="1" x14ac:dyDescent="0.2">
      <c r="A16" s="45" t="s">
        <v>114</v>
      </c>
      <c r="B16" s="45"/>
      <c r="C16" s="304"/>
      <c r="D16" s="304"/>
      <c r="E16" s="304"/>
      <c r="F16" s="304"/>
      <c r="G16" s="304"/>
      <c r="H16" s="304"/>
      <c r="I16" s="304"/>
      <c r="J16" s="304"/>
      <c r="K16" s="304"/>
      <c r="L16" s="304"/>
      <c r="M16" s="304"/>
      <c r="N16" s="304"/>
      <c r="O16" s="304"/>
      <c r="P16" s="304"/>
      <c r="Q16" s="122"/>
      <c r="R16" s="304"/>
      <c r="S16" s="304"/>
      <c r="T16" s="304"/>
      <c r="U16" s="304"/>
      <c r="V16" s="304"/>
      <c r="W16" s="304"/>
      <c r="X16" s="304"/>
      <c r="Y16" s="304"/>
      <c r="Z16" s="309"/>
      <c r="AA16" s="304"/>
      <c r="AB16" s="304"/>
    </row>
    <row r="17" spans="1:26" ht="15.75" x14ac:dyDescent="0.25">
      <c r="A17" s="227"/>
      <c r="B17" s="28"/>
      <c r="C17" s="304"/>
      <c r="D17" s="304"/>
      <c r="E17" s="304"/>
      <c r="F17" s="304"/>
      <c r="G17" s="304"/>
      <c r="H17" s="304"/>
      <c r="I17" s="304"/>
      <c r="J17" s="304"/>
      <c r="K17" s="304"/>
      <c r="L17" s="304"/>
      <c r="M17" s="304"/>
      <c r="N17" s="304"/>
      <c r="O17" s="304"/>
      <c r="P17" s="304"/>
      <c r="Q17" s="304"/>
      <c r="R17" s="304"/>
      <c r="S17" s="304"/>
      <c r="T17" s="304"/>
      <c r="U17" s="304"/>
      <c r="V17" s="304"/>
      <c r="W17" s="304"/>
      <c r="X17" s="304"/>
      <c r="Y17" s="304"/>
      <c r="Z17" s="309"/>
    </row>
    <row r="18" spans="1:26" ht="15.75" x14ac:dyDescent="0.25">
      <c r="A18" s="28"/>
      <c r="B18" s="28"/>
      <c r="C18" s="304"/>
      <c r="D18" s="304"/>
      <c r="E18" s="304"/>
      <c r="F18" s="304"/>
      <c r="G18" s="304"/>
      <c r="H18" s="304"/>
      <c r="I18" s="304"/>
      <c r="J18" s="304"/>
      <c r="K18" s="304"/>
      <c r="L18" s="304"/>
      <c r="M18" s="304"/>
      <c r="N18" s="304"/>
      <c r="O18" s="304"/>
      <c r="P18" s="304"/>
      <c r="Q18" s="304"/>
      <c r="R18" s="304"/>
      <c r="S18" s="304"/>
      <c r="T18" s="304"/>
      <c r="U18" s="304"/>
      <c r="V18" s="304"/>
      <c r="W18" s="304"/>
      <c r="X18" s="304"/>
      <c r="Y18" s="304"/>
      <c r="Z18" s="309"/>
    </row>
    <row r="19" spans="1:26" ht="15" x14ac:dyDescent="0.2">
      <c r="A19" s="45" t="s">
        <v>115</v>
      </c>
      <c r="B19" s="45"/>
      <c r="C19" s="304"/>
      <c r="D19" s="304"/>
      <c r="E19" s="304"/>
      <c r="F19" s="304"/>
      <c r="G19" s="304"/>
      <c r="H19" s="304"/>
      <c r="I19" s="304"/>
      <c r="J19" s="304"/>
      <c r="K19" s="304"/>
      <c r="L19" s="304"/>
      <c r="M19" s="304"/>
      <c r="N19" s="304"/>
      <c r="O19" s="304"/>
      <c r="P19" s="304"/>
      <c r="Q19" s="304"/>
      <c r="R19" s="304"/>
      <c r="S19" s="304"/>
      <c r="T19" s="304"/>
      <c r="U19" s="304"/>
      <c r="V19" s="304"/>
      <c r="W19" s="304"/>
      <c r="X19" s="304"/>
      <c r="Y19" s="304"/>
      <c r="Z19" s="309"/>
    </row>
    <row r="20" spans="1:26" ht="15" x14ac:dyDescent="0.2">
      <c r="A20" s="227"/>
      <c r="B20" s="45"/>
      <c r="C20" s="304"/>
      <c r="D20" s="304"/>
      <c r="E20" s="304"/>
      <c r="F20" s="304"/>
      <c r="G20" s="304"/>
      <c r="H20" s="304"/>
      <c r="I20" s="304"/>
      <c r="J20" s="304"/>
      <c r="K20" s="304"/>
      <c r="L20" s="304"/>
      <c r="M20" s="304"/>
      <c r="N20" s="304"/>
      <c r="O20" s="304"/>
      <c r="P20" s="304"/>
      <c r="Q20" s="304"/>
      <c r="R20" s="304"/>
      <c r="S20" s="304"/>
      <c r="T20" s="304"/>
      <c r="U20" s="304"/>
      <c r="V20" s="304"/>
      <c r="W20" s="304"/>
      <c r="X20" s="304"/>
      <c r="Y20" s="304"/>
      <c r="Z20" s="309"/>
    </row>
    <row r="21" spans="1:26" ht="15.6" customHeight="1" thickBot="1" x14ac:dyDescent="0.25">
      <c r="A21" s="329"/>
      <c r="B21" s="329"/>
      <c r="C21" s="329"/>
      <c r="D21" s="329"/>
      <c r="E21" s="329"/>
      <c r="F21" s="329"/>
      <c r="G21" s="329"/>
      <c r="H21" s="329"/>
      <c r="I21" s="329"/>
      <c r="J21" s="329"/>
      <c r="K21" s="329"/>
      <c r="L21" s="329"/>
      <c r="M21" s="329"/>
      <c r="N21" s="329"/>
      <c r="O21" s="329"/>
      <c r="P21" s="329"/>
      <c r="Q21" s="329"/>
      <c r="R21" s="329"/>
      <c r="S21" s="329"/>
      <c r="T21" s="329"/>
      <c r="U21" s="329"/>
      <c r="V21" s="329"/>
      <c r="W21" s="329"/>
      <c r="X21" s="329"/>
      <c r="Y21" s="329"/>
      <c r="Z21" s="330"/>
    </row>
    <row r="22" spans="1:26" ht="15" x14ac:dyDescent="0.25">
      <c r="A22" s="20"/>
      <c r="B22" s="20"/>
      <c r="C22" s="304"/>
      <c r="D22" s="304"/>
      <c r="E22" s="304"/>
      <c r="F22" s="304"/>
      <c r="G22" s="304"/>
      <c r="H22" s="304"/>
      <c r="I22" s="304"/>
      <c r="J22" s="304"/>
      <c r="K22" s="304"/>
      <c r="L22" s="304"/>
      <c r="M22" s="304"/>
      <c r="N22" s="304"/>
      <c r="O22" s="304"/>
      <c r="P22" s="304"/>
      <c r="Q22" s="304"/>
      <c r="R22" s="304"/>
      <c r="S22" s="304"/>
      <c r="T22" s="304"/>
      <c r="U22" s="304"/>
      <c r="V22" s="304"/>
      <c r="W22" s="304"/>
      <c r="X22" s="304"/>
      <c r="Y22" s="304"/>
      <c r="Z22" s="304"/>
    </row>
    <row r="23" spans="1:26" ht="15" x14ac:dyDescent="0.25">
      <c r="A23" s="20"/>
      <c r="B23" s="20"/>
      <c r="C23" s="304"/>
      <c r="D23" s="304"/>
      <c r="E23" s="304"/>
      <c r="F23" s="304"/>
      <c r="G23" s="304"/>
      <c r="H23" s="304"/>
      <c r="I23" s="304"/>
      <c r="J23" s="304"/>
      <c r="K23" s="304"/>
      <c r="L23" s="304"/>
      <c r="M23" s="304"/>
      <c r="N23" s="304"/>
      <c r="O23" s="304"/>
      <c r="P23" s="304"/>
      <c r="Q23" s="304"/>
      <c r="R23" s="304"/>
      <c r="S23" s="304"/>
      <c r="T23" s="304"/>
      <c r="U23" s="304"/>
      <c r="V23" s="304"/>
      <c r="W23" s="304"/>
      <c r="X23" s="304"/>
      <c r="Y23" s="304"/>
      <c r="Z23" s="304"/>
    </row>
    <row r="24" spans="1:26" ht="15" x14ac:dyDescent="0.25">
      <c r="A24" s="20"/>
      <c r="B24" s="20"/>
      <c r="C24" s="20"/>
      <c r="D24" s="20"/>
      <c r="E24" s="20"/>
      <c r="F24" s="20"/>
      <c r="G24" s="20"/>
      <c r="H24" s="20"/>
      <c r="I24" s="20"/>
      <c r="J24" s="20"/>
      <c r="K24" s="20"/>
      <c r="L24" s="20"/>
      <c r="M24" s="23"/>
      <c r="N24" s="23"/>
      <c r="O24" s="23"/>
      <c r="P24" s="23"/>
      <c r="Q24" s="23"/>
      <c r="R24" s="23"/>
      <c r="S24" s="24"/>
      <c r="T24" s="24"/>
      <c r="U24" s="24"/>
      <c r="V24" s="24"/>
      <c r="W24" s="24"/>
      <c r="X24" s="24"/>
      <c r="Y24" s="24"/>
      <c r="Z24" s="24"/>
    </row>
    <row r="26" spans="1:26" x14ac:dyDescent="0.2">
      <c r="A26" s="304"/>
      <c r="B26" s="304"/>
      <c r="C26" s="304"/>
      <c r="D26" s="304"/>
      <c r="E26" s="304"/>
      <c r="F26" s="304"/>
      <c r="G26" s="304"/>
      <c r="H26" s="304"/>
      <c r="I26" s="304"/>
      <c r="J26" s="304"/>
      <c r="K26" s="304"/>
      <c r="L26" s="304"/>
      <c r="M26" s="304"/>
      <c r="N26" s="304"/>
      <c r="O26" s="304"/>
      <c r="P26" s="304"/>
      <c r="Q26" s="304"/>
      <c r="R26" s="304"/>
      <c r="S26" s="304"/>
      <c r="T26" s="304"/>
      <c r="U26" s="304"/>
      <c r="V26" s="304"/>
      <c r="W26" s="304"/>
      <c r="X26" s="304"/>
      <c r="Y26" s="304"/>
      <c r="Z26" s="304"/>
    </row>
    <row r="31" spans="1:26" ht="15" x14ac:dyDescent="0.2">
      <c r="A31" s="304"/>
      <c r="B31" s="304"/>
      <c r="C31" s="304"/>
      <c r="D31" s="304"/>
      <c r="E31" s="18"/>
      <c r="F31" s="18"/>
      <c r="G31" s="304"/>
      <c r="H31" s="304"/>
      <c r="I31" s="304"/>
      <c r="J31" s="304"/>
      <c r="K31" s="304"/>
      <c r="L31" s="304"/>
      <c r="M31" s="304"/>
      <c r="N31" s="304"/>
      <c r="O31" s="304"/>
      <c r="P31" s="304"/>
      <c r="Q31" s="304"/>
      <c r="R31" s="304"/>
      <c r="S31" s="304"/>
      <c r="T31" s="304"/>
      <c r="U31" s="304"/>
      <c r="V31" s="304"/>
      <c r="W31" s="304"/>
      <c r="X31" s="304"/>
      <c r="Y31" s="304"/>
      <c r="Z31" s="304"/>
    </row>
  </sheetData>
  <phoneticPr fontId="46" type="noConversion"/>
  <conditionalFormatting sqref="Q13:R13 Q17:R20 R15:R16">
    <cfRule type="expression" dxfId="204" priority="861">
      <formula>#REF!="Unknown; user input required"</formula>
    </cfRule>
  </conditionalFormatting>
  <conditionalFormatting sqref="E13:O13 Q9:R12">
    <cfRule type="expression" dxfId="203" priority="432">
      <formula>$A9="Ferries"</formula>
    </cfRule>
    <cfRule type="expression" dxfId="202" priority="433">
      <formula>$A9="Excursion"</formula>
    </cfRule>
    <cfRule type="expression" dxfId="201" priority="434">
      <formula>$A9="Commercial Fishing Vessels"</formula>
    </cfRule>
    <cfRule type="expression" dxfId="200" priority="435">
      <formula>$A9="Tugboats"</formula>
    </cfRule>
  </conditionalFormatting>
  <dataValidations xWindow="1388" yWindow="603" count="27">
    <dataValidation allowBlank="1" showInputMessage="1" showErrorMessage="1" promptTitle="Number Operating" prompt="Please enter the number of non-oceangoing, sewage-generating vessels operating within the proposed NDZ in each vessel class. If no tugboats, commercial fishing vessels, excursion vessels, or ferries operate in the proposed NDZ, enter '0' for that class." sqref="D8" xr:uid="{9B33AAC0-3C3F-4FCE-A49B-28C345CCCDDD}"/>
    <dataValidation allowBlank="1" showInputMessage="1" showErrorMessage="1" promptTitle="Season start" prompt="Enter the starting date of the vessel class operating season. This is the first day in the year that vessels in each specified class are operating within the propopsed NDZ. Enter the value in a month-day format (e.g., March 5). If unknown, leave blank." sqref="F8" xr:uid="{F66836B1-46F2-423F-ACDA-4899D0FB08A3}"/>
    <dataValidation allowBlank="1" showInputMessage="1" showErrorMessage="1" promptTitle="Season end" prompt="Enter the date of the end of the vessel class operating season. This is the last day in the year that vessels in each specified class are operating within the proposed NDZ. Enter the value in a month-day form (e.g., March 5). If unknown, leave blank." sqref="H8 J8 L8" xr:uid="{52499AA8-1ECD-4AB2-AA93-344ED5CD4DBE}"/>
    <dataValidation allowBlank="1" showInputMessage="1" showErrorMessage="1" promptTitle="Crew and passengers" prompt="Enter the average number of crew and passengers aboard a vessel in each vessel class. If there are no passengers, then only report the average number of crew members. If unknown, leave blank." sqref="N8" xr:uid="{A54E043C-210E-4751-95A3-1014D070018D}"/>
    <dataValidation allowBlank="1" showInputMessage="1" showErrorMessage="1" promptTitle="Sewage generation" prompt="Enter the average sewage generation rate, in either gallons per person per day (g/p/d) or gallons per day (g/d) for each vessel class. Specify the unit used in the column to the right. If unknown, leave blank." sqref="P8" xr:uid="{E29FC385-EB02-409A-A43A-359AE4DF19FB}"/>
    <dataValidation allowBlank="1" showInputMessage="1" showErrorMessage="1" promptTitle="Pumpout interval" prompt="Please enter the average number of days vessels in each class would operate between pumping out their holding tanks. Values can be whole numbers or decimals. If unknown, please leave blank." sqref="R8" xr:uid="{6B51335D-6794-40FE-AB53-A6A1428C0EFC}"/>
    <dataValidation allowBlank="1" showInputMessage="1" showErrorMessage="1" promptTitle="Distance traveled" prompt="If pumpout facilities are not co-located with fueling stations, enter the average distance, in nautical miles, a vessel would have to travel to a pumpout facility. Otherwise, leave blank." sqref="T8 V8 X8" xr:uid="{D31EC9C0-378F-498E-BC24-258470F6038F}"/>
    <dataValidation allowBlank="1" showInputMessage="1" showErrorMessage="1" promptTitle="Number Operating" prompt="Enter the number of non-oceangoing, sewage-generating vessels operating. Include vessels with holding tanks already installed. If no tugboats, commercial fishing vessels, excursion vessels, or ferries operate in the proposed NDZ, enter '0' for that class." sqref="C8" xr:uid="{B9F16BEA-B8D2-4EAD-BBB0-148964F108C9}"/>
    <dataValidation allowBlank="1" showInputMessage="1" showErrorMessage="1" promptTitle="Pumpout interval" prompt="Enter the average number of days vessels would operate between pumping out their holding tanks. If unknown, select the default value. Defaults are not available for user-added vessel classes. " sqref="Q8" xr:uid="{52350B83-C6D5-481A-84FC-46986B3EE18E}"/>
    <dataValidation allowBlank="1" showInputMessage="1" sqref="F13 I9:I12 K9:K12" xr:uid="{CBD4E6CE-ABB4-4633-AD6D-E39B9966BEB1}"/>
    <dataValidation allowBlank="1" showInputMessage="1" showErrorMessage="1" promptTitle="Operating months start" prompt="Enter the first day in the year that vessels in each specified class are operating within the propopsed NDZ. Enter the value in a month-day format (e.g., March 5). If unknown, select the default value from the drop-down menu. " sqref="E8" xr:uid="{E6761079-A670-4E92-B27E-A59B772BDBB1}"/>
    <dataValidation allowBlank="1" showInputMessage="1" showErrorMessage="1" promptTitle="Operating months end" prompt="Enter the last day in the year that vessels in each specified class are operating within the proposed NDZ. Enter the value in a month-day form (e.g., March 5). If unknown, select the default value from the drop-down menu. " sqref="G8" xr:uid="{35857FF5-C7C2-4F54-A0E4-04FE226EB52F}"/>
    <dataValidation allowBlank="1" showInputMessage="1" showErrorMessage="1" promptTitle="Crew and passengers" prompt="Enter the average number of crew and passengers aboard a vessel in each vessel class. If there are no passengers, then only report the average number of crew members. If unknown, select the default value from the drop-down menu. " sqref="M8" xr:uid="{2D64ECA4-E2E3-4051-A4A9-8CF59C1CDB5A}"/>
    <dataValidation allowBlank="1" showInputMessage="1" showErrorMessage="1" promptTitle="Sewage generation" prompt="Enter the average sewage generation rate, meaning the average amount of waste generated, in  gallons per person per day (g/p/d) for each vessel class. If unknown, select the default value from the drop down menu. " sqref="O8" xr:uid="{A8235A50-532B-4B4D-B1C5-A3C734A7B6DE}"/>
    <dataValidation allowBlank="1" showInputMessage="1" showErrorMessage="1" promptTitle="Distance traveled" prompt="If pumpout facilities are not co-located with fueling stations, enter the average distance, in nautical miles, a vessel would have to travel to a pumpout facility. Otherwise, select the default value. " sqref="S8" xr:uid="{E23D3915-6E47-4401-989B-0B8363D07FFE}"/>
    <dataValidation allowBlank="1" showInputMessage="1" showErrorMessage="1" promptTitle="Percent of vessels" prompt="Enter the percent of vessels in each class that already have holding tanks installed. If unknown, select the default from the drop-down menu. " sqref="U8" xr:uid="{EDC99AAA-48B3-4F0C-BB16-A33B80E73577}"/>
    <dataValidation type="list" allowBlank="1" showInputMessage="1" errorTitle="Error" error="Input is not a number. Please enter a valid number." sqref="M9:M12" xr:uid="{F5E2EFCC-D748-4A25-BAFA-ECD8413DCEF0}">
      <formula1>"+Default_Crew_Passenger"</formula1>
    </dataValidation>
    <dataValidation type="custom" allowBlank="1" showInputMessage="1" showErrorMessage="1" errorTitle="Error" error="Input is not a number. Please enter a valid number. " sqref="R9:R12" xr:uid="{F1BB9A0E-F256-410D-BBE0-BF5BC4CA7873}">
      <formula1>ISNUMBER(R9)</formula1>
    </dataValidation>
    <dataValidation type="list" allowBlank="1" showInputMessage="1" errorTitle="Error" error="Please enter a valid date in month-day format (e.g., January 1)." sqref="G9:G12" xr:uid="{B8B99A38-E6A4-4FAA-9AA3-7C0707BAD5FA}">
      <formula1>"+Default_End_Date"</formula1>
    </dataValidation>
    <dataValidation type="list" allowBlank="1" showInputMessage="1" sqref="E9:F12 P9:P12 N9:N12 T9:T12 L9:L12 H9:H12 J9:J12 V9:V12 X9:X12" xr:uid="{10FCB24C-247E-4282-88ED-61DAEE84B147}">
      <formula1>"+Default_Start_Date"</formula1>
    </dataValidation>
    <dataValidation type="list" allowBlank="1" showInputMessage="1" errorTitle="Error" error="Input is not a number. Please enter a valid number. " sqref="O9:O12" xr:uid="{DA0380F6-4010-4402-8F9C-24C4D2C42A98}">
      <formula1>"+Default_Sewage"</formula1>
    </dataValidation>
    <dataValidation type="list" allowBlank="1" showInputMessage="1" errorTitle="Error" error="Input is not a number. Please enter a valid number. " sqref="Q9:Q12" xr:uid="{D7C6FDB5-3841-4A3E-B1C3-B0A86D469FB4}">
      <formula1>"+Default_Pumpout_Interval"</formula1>
    </dataValidation>
    <dataValidation type="list" allowBlank="1" showInputMessage="1" errorTitle="Error" error="Input is not a number. Please enter a valid number. " sqref="S9:S12" xr:uid="{D840D58E-A5D6-4295-9F44-0F04C333FE11}">
      <formula1>"+Default_Distance_Traveled"</formula1>
    </dataValidation>
    <dataValidation type="list" allowBlank="1" showInputMessage="1" errorTitle="Error" error="Input is not a number. Please enter a valid number. " sqref="U9:U12" xr:uid="{DE8CA23B-4DC1-4218-BE03-E2A073D2FF6E}">
      <formula1>"+Default_Percent_Holding_Tank"</formula1>
    </dataValidation>
    <dataValidation allowBlank="1" showInputMessage="1" showErrorMessage="1" promptTitle="Operating months start" prompt="If applicable, enter the first day  in the year of the second operating period that vessels in each specified class are operating within the propopsed NDZ. Enter the value in a month-day format (e.g., March 5). " sqref="I8" xr:uid="{ADD12228-7712-4AF7-BC8C-92687A0B38FE}"/>
    <dataValidation allowBlank="1" showInputMessage="1" showErrorMessage="1" promptTitle="Operating months end" prompt="If applicable, enter the last day in the year of the second operating period that vessels in each specified class are operating within the proposed NDZ. Enter the value in a month-day form (e.g., March 5). " sqref="K8" xr:uid="{0FA94C64-F45D-4720-8F62-8203E4EFBDBD}"/>
    <dataValidation allowBlank="1" showInputMessage="1" showErrorMessage="1" promptTitle="Buffer time" prompt="Enter the additional time, in minutes, associated with pumping out (e.g., positioning the vessel), other than the time spent pumping." sqref="W8" xr:uid="{D2FCF834-014C-4670-BCE0-01B468FA5E5E}"/>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5842" r:id="rId4" name="Button 2">
              <controlPr defaultSize="0" print="0" autoFill="0" autoPict="0" macro="[0]!Vessel_add_row">
                <anchor moveWithCells="1" sizeWithCells="1">
                  <from>
                    <xdr:col>6</xdr:col>
                    <xdr:colOff>104775</xdr:colOff>
                    <xdr:row>14</xdr:row>
                    <xdr:rowOff>228600</xdr:rowOff>
                  </from>
                  <to>
                    <xdr:col>6</xdr:col>
                    <xdr:colOff>1619250</xdr:colOff>
                    <xdr:row>16</xdr:row>
                    <xdr:rowOff>133350</xdr:rowOff>
                  </to>
                </anchor>
              </controlPr>
            </control>
          </mc:Choice>
        </mc:AlternateContent>
        <mc:AlternateContent xmlns:mc="http://schemas.openxmlformats.org/markup-compatibility/2006">
          <mc:Choice Requires="x14">
            <control shapeId="35844" r:id="rId5" name="Button 4">
              <controlPr defaultSize="0" print="0" autoFill="0" autoPict="0" macro="[0]!Vessel_delete_row">
                <anchor moveWithCells="1" sizeWithCells="1">
                  <from>
                    <xdr:col>12</xdr:col>
                    <xdr:colOff>133350</xdr:colOff>
                    <xdr:row>17</xdr:row>
                    <xdr:rowOff>47625</xdr:rowOff>
                  </from>
                  <to>
                    <xdr:col>12</xdr:col>
                    <xdr:colOff>1714500</xdr:colOff>
                    <xdr:row>19</xdr:row>
                    <xdr:rowOff>123825</xdr:rowOff>
                  </to>
                </anchor>
              </controlPr>
            </control>
          </mc:Choice>
        </mc:AlternateContent>
      </controls>
    </mc:Choice>
  </mc:AlternateContent>
  <tableParts count="1">
    <tablePart r:id="rId6"/>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875CB0-FB06-4076-8010-7B79D743F24E}">
  <sheetPr codeName="Sheet11">
    <tabColor theme="8" tint="0.79998168889431442"/>
  </sheetPr>
  <dimension ref="A1:AD22"/>
  <sheetViews>
    <sheetView showGridLines="0" topLeftCell="A4" zoomScale="80" zoomScaleNormal="80" workbookViewId="0">
      <selection activeCell="M25" sqref="M25"/>
    </sheetView>
  </sheetViews>
  <sheetFormatPr defaultColWidth="8.85546875" defaultRowHeight="14.25" x14ac:dyDescent="0.2"/>
  <cols>
    <col min="1" max="1" width="28.42578125" style="19" customWidth="1"/>
    <col min="2" max="2" width="9.85546875" style="19" hidden="1" customWidth="1"/>
    <col min="3" max="3" width="17.42578125" style="19" customWidth="1"/>
    <col min="4" max="4" width="8.42578125" style="19" hidden="1" customWidth="1"/>
    <col min="5" max="5" width="28.5703125" style="19" customWidth="1"/>
    <col min="6" max="6" width="9.140625" style="19" hidden="1" customWidth="1"/>
    <col min="7" max="7" width="23.85546875" style="19" customWidth="1"/>
    <col min="8" max="8" width="6.85546875" style="19" hidden="1" customWidth="1"/>
    <col min="9" max="9" width="28.5703125" style="19" customWidth="1"/>
    <col min="10" max="10" width="15.85546875" style="19" hidden="1" customWidth="1"/>
    <col min="11" max="11" width="28.5703125" style="19" customWidth="1"/>
    <col min="12" max="12" width="14.140625" style="19" hidden="1" customWidth="1"/>
    <col min="13" max="13" width="22.85546875" style="19" customWidth="1"/>
    <col min="14" max="14" width="13.5703125" style="19" hidden="1" customWidth="1"/>
    <col min="15" max="15" width="28.5703125" style="19" customWidth="1"/>
    <col min="16" max="16" width="13.5703125" style="19" hidden="1" customWidth="1"/>
    <col min="17" max="17" width="28.5703125" style="19" customWidth="1"/>
    <col min="18" max="18" width="13.5703125" style="19" hidden="1" customWidth="1"/>
    <col min="19" max="19" width="24.140625" style="19" customWidth="1"/>
    <col min="20" max="20" width="14.140625" style="19" hidden="1" customWidth="1"/>
    <col min="21" max="21" width="28.42578125" style="29" customWidth="1"/>
    <col min="22" max="22" width="13.5703125" style="29" hidden="1" customWidth="1"/>
    <col min="23" max="24" width="28.5703125" style="19" customWidth="1"/>
    <col min="25" max="26" width="13.5703125" style="19" hidden="1" customWidth="1"/>
    <col min="27" max="27" width="8" style="19" customWidth="1"/>
    <col min="28" max="28" width="13.5703125" style="19" customWidth="1"/>
    <col min="29" max="16384" width="8.85546875" style="19"/>
  </cols>
  <sheetData>
    <row r="1" spans="1:30" ht="20.25" x14ac:dyDescent="0.3">
      <c r="A1" s="42" t="s">
        <v>116</v>
      </c>
      <c r="B1" s="42"/>
      <c r="C1" s="304"/>
      <c r="D1" s="304"/>
      <c r="E1" s="304"/>
      <c r="F1" s="304"/>
      <c r="G1" s="304"/>
      <c r="H1" s="304"/>
      <c r="I1" s="304"/>
      <c r="J1" s="304"/>
      <c r="K1" s="304"/>
      <c r="L1" s="304"/>
      <c r="M1" s="304"/>
      <c r="N1" s="304"/>
      <c r="O1" s="304"/>
      <c r="P1" s="304"/>
      <c r="Q1" s="304"/>
      <c r="R1" s="304"/>
      <c r="S1" s="304"/>
      <c r="T1" s="304"/>
      <c r="U1" s="331"/>
      <c r="V1" s="331"/>
      <c r="W1" s="304"/>
      <c r="X1" s="304"/>
      <c r="Y1" s="304"/>
      <c r="Z1" s="304"/>
      <c r="AA1" s="309"/>
      <c r="AB1" s="304"/>
      <c r="AC1" s="304"/>
      <c r="AD1" s="304"/>
    </row>
    <row r="2" spans="1:30" x14ac:dyDescent="0.2">
      <c r="A2" s="304"/>
      <c r="B2" s="304"/>
      <c r="C2" s="304"/>
      <c r="D2" s="304"/>
      <c r="E2" s="304"/>
      <c r="F2" s="304"/>
      <c r="G2" s="304"/>
      <c r="H2" s="304"/>
      <c r="I2" s="304"/>
      <c r="J2" s="304"/>
      <c r="K2" s="304"/>
      <c r="L2" s="304"/>
      <c r="M2" s="304"/>
      <c r="N2" s="304"/>
      <c r="O2" s="304"/>
      <c r="P2" s="304"/>
      <c r="Q2" s="304"/>
      <c r="R2" s="304"/>
      <c r="S2" s="304"/>
      <c r="T2" s="304"/>
      <c r="U2" s="331"/>
      <c r="V2" s="331"/>
      <c r="W2" s="304"/>
      <c r="X2" s="304"/>
      <c r="Y2" s="304"/>
      <c r="Z2" s="304"/>
      <c r="AA2" s="309"/>
      <c r="AB2" s="304"/>
      <c r="AC2" s="304"/>
      <c r="AD2" s="304"/>
    </row>
    <row r="3" spans="1:30" ht="18" x14ac:dyDescent="0.25">
      <c r="A3" s="43" t="s">
        <v>88</v>
      </c>
      <c r="B3" s="43"/>
      <c r="C3" s="304"/>
      <c r="D3" s="304"/>
      <c r="E3" s="304"/>
      <c r="F3" s="304"/>
      <c r="G3" s="304"/>
      <c r="H3" s="304"/>
      <c r="I3" s="304"/>
      <c r="J3" s="304"/>
      <c r="K3" s="304"/>
      <c r="L3" s="304"/>
      <c r="M3" s="304"/>
      <c r="N3" s="304"/>
      <c r="O3" s="304"/>
      <c r="P3" s="304"/>
      <c r="Q3" s="304"/>
      <c r="R3" s="304"/>
      <c r="S3" s="304"/>
      <c r="T3" s="304"/>
      <c r="U3" s="331"/>
      <c r="V3" s="331"/>
      <c r="W3" s="304"/>
      <c r="X3" s="304"/>
      <c r="Y3" s="304"/>
      <c r="Z3" s="304"/>
      <c r="AA3" s="309"/>
      <c r="AB3" s="304"/>
      <c r="AC3" s="304"/>
      <c r="AD3" s="304"/>
    </row>
    <row r="4" spans="1:30" ht="63.6" customHeight="1" x14ac:dyDescent="0.25">
      <c r="A4" s="209" t="s">
        <v>117</v>
      </c>
      <c r="B4" s="209"/>
      <c r="C4" s="209"/>
      <c r="D4" s="209"/>
      <c r="E4" s="209"/>
      <c r="F4" s="209"/>
      <c r="G4" s="209"/>
      <c r="H4" s="209"/>
      <c r="I4" s="209"/>
      <c r="J4" s="209"/>
      <c r="K4" s="209"/>
      <c r="L4" s="209"/>
      <c r="M4" s="209"/>
      <c r="N4" s="209"/>
      <c r="O4" s="209"/>
      <c r="P4" s="44"/>
      <c r="Q4" s="304"/>
      <c r="R4" s="304"/>
      <c r="S4" s="304"/>
      <c r="T4" s="304"/>
      <c r="U4" s="331"/>
      <c r="V4" s="331"/>
      <c r="W4" s="304"/>
      <c r="X4" s="304"/>
      <c r="Y4" s="304"/>
      <c r="Z4" s="304"/>
      <c r="AA4" s="309"/>
      <c r="AB4" s="304"/>
      <c r="AC4" s="304"/>
      <c r="AD4" s="304"/>
    </row>
    <row r="5" spans="1:30" ht="15.75" x14ac:dyDescent="0.25">
      <c r="A5" s="44"/>
      <c r="B5" s="44"/>
      <c r="C5" s="44"/>
      <c r="D5" s="44"/>
      <c r="E5" s="44"/>
      <c r="F5" s="44"/>
      <c r="G5" s="44"/>
      <c r="H5" s="44"/>
      <c r="I5" s="44"/>
      <c r="J5" s="44"/>
      <c r="K5" s="44"/>
      <c r="L5" s="44"/>
      <c r="M5" s="44"/>
      <c r="N5" s="44"/>
      <c r="O5" s="44"/>
      <c r="P5" s="44"/>
      <c r="Q5" s="304"/>
      <c r="R5" s="304"/>
      <c r="S5" s="304"/>
      <c r="T5" s="304"/>
      <c r="U5" s="304"/>
      <c r="V5" s="304"/>
      <c r="W5" s="304"/>
      <c r="X5" s="304"/>
      <c r="Y5" s="304"/>
      <c r="Z5" s="304"/>
      <c r="AA5" s="309"/>
      <c r="AB5" s="304"/>
      <c r="AC5" s="304"/>
      <c r="AD5" s="304"/>
    </row>
    <row r="6" spans="1:30" ht="15.75" x14ac:dyDescent="0.25">
      <c r="A6" s="45"/>
      <c r="B6" s="45"/>
      <c r="C6" s="44"/>
      <c r="D6" s="44"/>
      <c r="E6" s="44"/>
      <c r="F6" s="44"/>
      <c r="G6" s="44"/>
      <c r="H6" s="44"/>
      <c r="I6" s="44"/>
      <c r="J6" s="44"/>
      <c r="K6" s="44"/>
      <c r="L6" s="44"/>
      <c r="M6" s="44"/>
      <c r="N6" s="44"/>
      <c r="O6" s="44"/>
      <c r="P6" s="44"/>
      <c r="Q6" s="304"/>
      <c r="R6" s="304"/>
      <c r="S6" s="304"/>
      <c r="T6" s="304"/>
      <c r="U6" s="304"/>
      <c r="V6" s="304"/>
      <c r="W6" s="304"/>
      <c r="X6" s="304"/>
      <c r="Y6" s="304"/>
      <c r="Z6" s="304"/>
      <c r="AA6" s="309"/>
      <c r="AB6" s="304"/>
      <c r="AC6" s="304"/>
      <c r="AD6" s="304"/>
    </row>
    <row r="7" spans="1:30" ht="15.75" hidden="1" x14ac:dyDescent="0.25">
      <c r="A7" s="30">
        <f>COLUMN()</f>
        <v>1</v>
      </c>
      <c r="B7" s="30"/>
      <c r="C7" s="30">
        <f>COLUMN()</f>
        <v>3</v>
      </c>
      <c r="D7" s="30"/>
      <c r="E7" s="30">
        <f>COLUMN()</f>
        <v>5</v>
      </c>
      <c r="F7" s="30"/>
      <c r="G7" s="30">
        <f>COLUMN()</f>
        <v>7</v>
      </c>
      <c r="H7" s="30"/>
      <c r="I7" s="30">
        <f>COLUMN()</f>
        <v>9</v>
      </c>
      <c r="J7" s="30"/>
      <c r="K7" s="30">
        <f>COLUMN()</f>
        <v>11</v>
      </c>
      <c r="L7" s="30"/>
      <c r="M7" s="30">
        <f>COLUMN()</f>
        <v>13</v>
      </c>
      <c r="N7" s="30"/>
      <c r="O7" s="30">
        <f>COLUMN()</f>
        <v>15</v>
      </c>
      <c r="P7" s="30"/>
      <c r="Q7" s="30">
        <f>COLUMN()</f>
        <v>17</v>
      </c>
      <c r="R7" s="30"/>
      <c r="S7" s="30">
        <f>COLUMN()</f>
        <v>19</v>
      </c>
      <c r="T7" s="30"/>
      <c r="U7" s="30">
        <f>COLUMN()</f>
        <v>21</v>
      </c>
      <c r="V7" s="30"/>
      <c r="W7" s="30">
        <f>COLUMN()</f>
        <v>23</v>
      </c>
      <c r="X7" s="30">
        <f>COLUMN()</f>
        <v>24</v>
      </c>
      <c r="Y7" s="30">
        <f>COLUMN()-2</f>
        <v>23</v>
      </c>
      <c r="Z7" s="304"/>
      <c r="AA7" s="309"/>
      <c r="AB7" s="304"/>
      <c r="AC7" s="304"/>
      <c r="AD7" s="304"/>
    </row>
    <row r="8" spans="1:30" s="31" customFormat="1" ht="45" x14ac:dyDescent="0.25">
      <c r="A8" s="195" t="s">
        <v>70</v>
      </c>
      <c r="B8" s="195" t="s">
        <v>118</v>
      </c>
      <c r="C8" s="195" t="s">
        <v>71</v>
      </c>
      <c r="D8" s="195" t="s">
        <v>119</v>
      </c>
      <c r="E8" s="189" t="s">
        <v>120</v>
      </c>
      <c r="F8" s="189" t="s">
        <v>121</v>
      </c>
      <c r="G8" s="189" t="s">
        <v>73</v>
      </c>
      <c r="H8" s="189" t="s">
        <v>122</v>
      </c>
      <c r="I8" s="189" t="s">
        <v>123</v>
      </c>
      <c r="J8" s="189" t="s">
        <v>124</v>
      </c>
      <c r="K8" s="189" t="s">
        <v>125</v>
      </c>
      <c r="L8" s="189" t="s">
        <v>126</v>
      </c>
      <c r="M8" s="189" t="s">
        <v>76</v>
      </c>
      <c r="N8" s="189" t="s">
        <v>127</v>
      </c>
      <c r="O8" s="189" t="s">
        <v>77</v>
      </c>
      <c r="P8" s="189" t="s">
        <v>128</v>
      </c>
      <c r="Q8" s="189" t="s">
        <v>78</v>
      </c>
      <c r="R8" s="189" t="s">
        <v>129</v>
      </c>
      <c r="S8" s="189" t="s">
        <v>79</v>
      </c>
      <c r="T8" s="189" t="s">
        <v>130</v>
      </c>
      <c r="U8" s="189" t="s">
        <v>80</v>
      </c>
      <c r="V8" s="332" t="s">
        <v>131</v>
      </c>
      <c r="W8" s="189" t="s">
        <v>132</v>
      </c>
      <c r="X8" s="189" t="s">
        <v>133</v>
      </c>
      <c r="Y8" s="50" t="s">
        <v>130</v>
      </c>
      <c r="Z8" s="49" t="s">
        <v>105</v>
      </c>
      <c r="AA8" s="309"/>
      <c r="AB8" s="304"/>
      <c r="AC8" s="304"/>
      <c r="AD8" s="304"/>
    </row>
    <row r="9" spans="1:30" x14ac:dyDescent="0.2">
      <c r="A9" s="274" t="s">
        <v>134</v>
      </c>
      <c r="B9" s="274">
        <f t="shared" ref="B9:B11" si="0">IF(ISBLANK(A9),1,0)</f>
        <v>0</v>
      </c>
      <c r="C9" s="274" t="s">
        <v>135</v>
      </c>
      <c r="D9" s="274">
        <f t="shared" ref="D9:D11" si="1">IF(ISBLANK(C9),1,0)</f>
        <v>0</v>
      </c>
      <c r="E9" s="274"/>
      <c r="F9" s="274">
        <f t="shared" ref="F9:H11" si="2">IF(ISBLANK(E9),1,0)</f>
        <v>1</v>
      </c>
      <c r="G9" s="274"/>
      <c r="H9" s="274">
        <f t="shared" si="2"/>
        <v>1</v>
      </c>
      <c r="I9" s="274"/>
      <c r="J9" s="276">
        <f>IF(ISBLANK(I9),1,0)</f>
        <v>1</v>
      </c>
      <c r="K9" s="274"/>
      <c r="L9" s="276">
        <f>IF(ISBLANK(K9),1,0)</f>
        <v>1</v>
      </c>
      <c r="M9" s="333" t="s">
        <v>136</v>
      </c>
      <c r="N9" s="333">
        <f t="shared" ref="N9:N13" si="3">IF(ISBLANK(M9),1,0)</f>
        <v>0</v>
      </c>
      <c r="O9" s="334"/>
      <c r="P9" s="276">
        <f>IF(AND(M9="No",ISBLANK(O9)),1,0)</f>
        <v>0</v>
      </c>
      <c r="Q9" s="276">
        <f>+Default_Working_Flow</f>
        <v>88</v>
      </c>
      <c r="R9" s="276">
        <f>IF(ISBLANK(Q9),1,0)</f>
        <v>0</v>
      </c>
      <c r="S9" s="335"/>
      <c r="T9" s="274">
        <f>IF(AND(NOT(ISBLANK(U9)),ISBLANK(S9)),1,0)</f>
        <v>1</v>
      </c>
      <c r="U9" s="312">
        <v>10</v>
      </c>
      <c r="V9" s="274">
        <f t="shared" ref="V9:V12" si="4">IF(AND(NOT(ISBLANK(S9)),ISBLANK(U9)),1,0)</f>
        <v>0</v>
      </c>
      <c r="W9" s="335"/>
      <c r="X9" s="335"/>
      <c r="Y9" s="336">
        <f>IF(OR(AND(ISBLANK(W9),ISBLANK(X9),NOT(ISBLANK(S9)),U9&gt;0),AND(ISBLANK(W9),ISBLANK(X9),ISBLANK(S9))),1,0)</f>
        <v>1</v>
      </c>
      <c r="Z9" s="22"/>
      <c r="AA9" s="309"/>
      <c r="AB9" s="304"/>
      <c r="AC9" s="304"/>
      <c r="AD9" s="304"/>
    </row>
    <row r="10" spans="1:30" x14ac:dyDescent="0.2">
      <c r="A10" s="274" t="s">
        <v>137</v>
      </c>
      <c r="B10" s="274">
        <f t="shared" si="0"/>
        <v>0</v>
      </c>
      <c r="C10" s="274" t="s">
        <v>138</v>
      </c>
      <c r="D10" s="274">
        <f t="shared" si="1"/>
        <v>0</v>
      </c>
      <c r="E10" s="274"/>
      <c r="F10" s="274">
        <f t="shared" si="2"/>
        <v>1</v>
      </c>
      <c r="G10" s="274"/>
      <c r="H10" s="274">
        <f t="shared" si="2"/>
        <v>1</v>
      </c>
      <c r="I10" s="274"/>
      <c r="J10" s="276">
        <f t="shared" ref="J10:L11" si="5">IF(ISBLANK(I10),1,0)</f>
        <v>1</v>
      </c>
      <c r="K10" s="274"/>
      <c r="L10" s="276">
        <f t="shared" si="5"/>
        <v>1</v>
      </c>
      <c r="M10" s="333" t="s">
        <v>139</v>
      </c>
      <c r="N10" s="333">
        <f t="shared" si="3"/>
        <v>0</v>
      </c>
      <c r="O10" s="334" cm="1">
        <f t="array" ref="O10">+Default_Tank_Capacity</f>
        <v>5000</v>
      </c>
      <c r="P10" s="276">
        <f t="shared" ref="P10:P12" si="6">IF(AND(M10="No",ISBLANK(O10)),1,0)</f>
        <v>0</v>
      </c>
      <c r="Q10" s="276">
        <f>+Default_Working_Flow</f>
        <v>88</v>
      </c>
      <c r="R10" s="276">
        <f t="shared" ref="R10" si="7">IF(ISBLANK(Q10),1,0)</f>
        <v>0</v>
      </c>
      <c r="S10" s="335"/>
      <c r="T10" s="274">
        <f t="shared" ref="T10:T12" si="8">IF(AND(NOT(ISBLANK(U10)),ISBLANK(S10)),1,0)</f>
        <v>0</v>
      </c>
      <c r="U10" s="312"/>
      <c r="V10" s="274">
        <f t="shared" si="4"/>
        <v>0</v>
      </c>
      <c r="W10" s="335"/>
      <c r="X10" s="335"/>
      <c r="Y10" s="336">
        <f t="shared" ref="Y10:Y12" si="9">IF(OR(AND(ISBLANK(W10),ISBLANK(X10),NOT(ISBLANK(S10)),U10&gt;0),AND(ISBLANK(W10),ISBLANK(X10),ISBLANK(S10))),1,0)</f>
        <v>1</v>
      </c>
      <c r="Z10" s="323"/>
      <c r="AA10" s="309"/>
      <c r="AB10" s="304"/>
      <c r="AC10" s="304"/>
      <c r="AD10" s="304"/>
    </row>
    <row r="11" spans="1:30" x14ac:dyDescent="0.2">
      <c r="A11" s="274" t="s">
        <v>140</v>
      </c>
      <c r="B11" s="274">
        <f t="shared" si="0"/>
        <v>0</v>
      </c>
      <c r="C11" s="274" t="s">
        <v>141</v>
      </c>
      <c r="D11" s="274">
        <f t="shared" si="1"/>
        <v>0</v>
      </c>
      <c r="E11" s="274"/>
      <c r="F11" s="274">
        <f t="shared" si="2"/>
        <v>1</v>
      </c>
      <c r="G11" s="274"/>
      <c r="H11" s="274">
        <f t="shared" si="2"/>
        <v>1</v>
      </c>
      <c r="I11" s="274"/>
      <c r="J11" s="276">
        <f t="shared" si="5"/>
        <v>1</v>
      </c>
      <c r="K11" s="274"/>
      <c r="L11" s="276">
        <f t="shared" si="5"/>
        <v>1</v>
      </c>
      <c r="M11" s="333" t="s">
        <v>139</v>
      </c>
      <c r="N11" s="333">
        <f t="shared" si="3"/>
        <v>0</v>
      </c>
      <c r="O11" s="334" cm="1">
        <f t="array" ref="O11">+Default_Tank_Capacity</f>
        <v>620</v>
      </c>
      <c r="P11" s="276">
        <f t="shared" si="6"/>
        <v>0</v>
      </c>
      <c r="Q11" s="276">
        <f>+Default_Working_Flow</f>
        <v>88</v>
      </c>
      <c r="R11" s="276">
        <f t="shared" ref="R11" si="10">IF(ISBLANK(Q11),1,0)</f>
        <v>0</v>
      </c>
      <c r="S11" s="335"/>
      <c r="T11" s="274">
        <f t="shared" si="8"/>
        <v>0</v>
      </c>
      <c r="U11" s="312"/>
      <c r="V11" s="274">
        <f t="shared" si="4"/>
        <v>0</v>
      </c>
      <c r="W11" s="335"/>
      <c r="X11" s="335"/>
      <c r="Y11" s="336">
        <f t="shared" si="9"/>
        <v>1</v>
      </c>
      <c r="Z11" s="323"/>
      <c r="AA11" s="309"/>
      <c r="AB11" s="304"/>
      <c r="AC11" s="304"/>
      <c r="AD11" s="304"/>
    </row>
    <row r="12" spans="1:30" x14ac:dyDescent="0.2">
      <c r="A12" s="274" t="s">
        <v>142</v>
      </c>
      <c r="B12" s="274">
        <f t="shared" ref="B12" si="11">IF(ISBLANK(A12),1,0)</f>
        <v>0</v>
      </c>
      <c r="C12" s="274" t="s">
        <v>143</v>
      </c>
      <c r="D12" s="274">
        <f t="shared" ref="D12" si="12">IF(ISBLANK(C12),1,0)</f>
        <v>0</v>
      </c>
      <c r="E12" s="274"/>
      <c r="F12" s="274">
        <f t="shared" ref="F12:H12" si="13">IF(ISBLANK(E12),1,0)</f>
        <v>1</v>
      </c>
      <c r="G12" s="274"/>
      <c r="H12" s="274">
        <f t="shared" si="13"/>
        <v>1</v>
      </c>
      <c r="I12" s="274"/>
      <c r="J12" s="276">
        <f t="shared" ref="J12:L12" si="14">IF(ISBLANK(I12),1,0)</f>
        <v>1</v>
      </c>
      <c r="K12" s="274"/>
      <c r="L12" s="276">
        <f t="shared" si="14"/>
        <v>1</v>
      </c>
      <c r="M12" s="333" t="s">
        <v>139</v>
      </c>
      <c r="N12" s="333">
        <f t="shared" ref="N12" si="15">IF(ISBLANK(M12),1,0)</f>
        <v>0</v>
      </c>
      <c r="O12" s="334" cm="1">
        <f t="array" ref="O12">+Default_Tank_Capacity</f>
        <v>180000</v>
      </c>
      <c r="P12" s="276">
        <f t="shared" si="6"/>
        <v>0</v>
      </c>
      <c r="Q12" s="276">
        <f>+Default_Working_Flow</f>
        <v>88</v>
      </c>
      <c r="R12" s="276">
        <f t="shared" ref="R12" si="16">IF(ISBLANK(Q12),1,0)</f>
        <v>0</v>
      </c>
      <c r="S12" s="335"/>
      <c r="T12" s="274">
        <f t="shared" si="8"/>
        <v>1</v>
      </c>
      <c r="U12" s="312">
        <v>0</v>
      </c>
      <c r="V12" s="274">
        <f t="shared" si="4"/>
        <v>0</v>
      </c>
      <c r="W12" s="335"/>
      <c r="X12" s="335"/>
      <c r="Y12" s="336">
        <f t="shared" si="9"/>
        <v>1</v>
      </c>
      <c r="Z12" s="22"/>
      <c r="AA12" s="309"/>
      <c r="AB12" s="304"/>
      <c r="AC12" s="304"/>
      <c r="AD12" s="304"/>
    </row>
    <row r="13" spans="1:30" hidden="1" x14ac:dyDescent="0.2">
      <c r="A13" s="22" t="s">
        <v>105</v>
      </c>
      <c r="B13" s="22"/>
      <c r="C13" s="323" t="s">
        <v>144</v>
      </c>
      <c r="D13" s="323"/>
      <c r="E13" s="323" t="e">
        <f>Default_Tank_Capacity</f>
        <v>#N/A</v>
      </c>
      <c r="F13" s="323"/>
      <c r="G13" s="323">
        <f>Default_Working_Flow</f>
        <v>88</v>
      </c>
      <c r="H13" s="323"/>
      <c r="I13" s="427" t="s">
        <v>144</v>
      </c>
      <c r="J13" s="323"/>
      <c r="K13" s="427" t="s">
        <v>144</v>
      </c>
      <c r="L13" s="323"/>
      <c r="M13" s="323" t="s">
        <v>144</v>
      </c>
      <c r="N13" s="337">
        <f t="shared" si="3"/>
        <v>0</v>
      </c>
      <c r="O13" s="323"/>
      <c r="P13" s="323"/>
      <c r="Q13" s="323"/>
      <c r="R13" s="323"/>
      <c r="S13" s="338" t="s">
        <v>144</v>
      </c>
      <c r="T13" s="339">
        <f>IF(AND(NOT(ISBLANK(U13)),ISBLANK(S13)),1,0)</f>
        <v>0</v>
      </c>
      <c r="U13" s="338" t="s">
        <v>144</v>
      </c>
      <c r="V13" s="323">
        <f t="shared" ref="V13:V14" si="17">IF(AND(NOT(ISBLANK(S13)),ISBLANK(U13)),1,0)</f>
        <v>0</v>
      </c>
      <c r="W13" s="338" t="s">
        <v>144</v>
      </c>
      <c r="X13" s="338" t="s">
        <v>144</v>
      </c>
      <c r="Y13" s="338"/>
      <c r="Z13" s="338"/>
      <c r="AA13" s="309"/>
      <c r="AB13" s="304"/>
      <c r="AC13" s="304"/>
      <c r="AD13" s="304"/>
    </row>
    <row r="14" spans="1:30" ht="71.25" x14ac:dyDescent="0.2">
      <c r="A14" s="196" t="s">
        <v>111</v>
      </c>
      <c r="B14" s="196" t="s">
        <v>111</v>
      </c>
      <c r="C14" s="196" t="s">
        <v>111</v>
      </c>
      <c r="D14" s="196" t="s">
        <v>111</v>
      </c>
      <c r="E14" s="196" t="s">
        <v>111</v>
      </c>
      <c r="F14" s="196"/>
      <c r="G14" s="196" t="s">
        <v>111</v>
      </c>
      <c r="H14" s="340"/>
      <c r="I14" s="197" t="s">
        <v>111</v>
      </c>
      <c r="J14" s="197"/>
      <c r="K14" s="197" t="s">
        <v>111</v>
      </c>
      <c r="L14" s="340"/>
      <c r="M14" s="196" t="s">
        <v>111</v>
      </c>
      <c r="N14" s="340"/>
      <c r="O14" s="193" t="s">
        <v>145</v>
      </c>
      <c r="P14" s="340"/>
      <c r="Q14" s="193" t="s">
        <v>14</v>
      </c>
      <c r="R14" s="340"/>
      <c r="S14" s="198" t="s">
        <v>146</v>
      </c>
      <c r="T14" s="340"/>
      <c r="U14" s="198" t="s">
        <v>147</v>
      </c>
      <c r="V14" s="340">
        <f t="shared" si="17"/>
        <v>0</v>
      </c>
      <c r="W14" s="198" t="s">
        <v>146</v>
      </c>
      <c r="X14" s="198" t="s">
        <v>146</v>
      </c>
      <c r="Y14" s="341"/>
      <c r="Z14" s="341"/>
      <c r="AA14" s="309"/>
      <c r="AB14" s="304"/>
      <c r="AC14" s="304"/>
      <c r="AD14" s="304"/>
    </row>
    <row r="15" spans="1:30" ht="17.45" customHeight="1" x14ac:dyDescent="0.2">
      <c r="A15" s="136"/>
      <c r="B15" s="136"/>
      <c r="C15" s="342"/>
      <c r="D15" s="342"/>
      <c r="E15" s="342"/>
      <c r="F15" s="342"/>
      <c r="G15" s="342"/>
      <c r="H15" s="342"/>
      <c r="I15" s="342"/>
      <c r="J15" s="342"/>
      <c r="K15" s="342"/>
      <c r="L15" s="342"/>
      <c r="M15" s="342"/>
      <c r="N15" s="342"/>
      <c r="O15" s="122"/>
      <c r="P15" s="342"/>
      <c r="Q15" s="122"/>
      <c r="R15" s="342"/>
      <c r="S15" s="343"/>
      <c r="T15" s="342"/>
      <c r="U15" s="135"/>
      <c r="V15" s="343"/>
      <c r="W15" s="135"/>
      <c r="X15" s="135"/>
      <c r="Y15" s="341"/>
      <c r="Z15" s="341"/>
      <c r="AA15" s="309"/>
      <c r="AB15" s="304"/>
      <c r="AC15" s="304"/>
      <c r="AD15" s="304"/>
    </row>
    <row r="16" spans="1:30" ht="15.75" x14ac:dyDescent="0.25">
      <c r="A16" s="127" t="s">
        <v>148</v>
      </c>
      <c r="B16" s="127"/>
      <c r="C16" s="44"/>
      <c r="D16" s="44"/>
      <c r="E16" s="44"/>
      <c r="F16" s="44"/>
      <c r="G16" s="44"/>
      <c r="H16" s="44"/>
      <c r="I16" s="44"/>
      <c r="J16" s="44"/>
      <c r="K16" s="44"/>
      <c r="L16" s="44"/>
      <c r="M16" s="344"/>
      <c r="N16" s="344"/>
      <c r="O16" s="134"/>
      <c r="P16" s="344"/>
      <c r="Q16" s="344"/>
      <c r="R16" s="344"/>
      <c r="S16" s="345"/>
      <c r="T16" s="344"/>
      <c r="U16" s="133"/>
      <c r="V16" s="345"/>
      <c r="W16" s="133"/>
      <c r="X16" s="133"/>
      <c r="Y16" s="341"/>
      <c r="Z16" s="341"/>
      <c r="AA16" s="309"/>
      <c r="AB16" s="304"/>
      <c r="AC16" s="304"/>
      <c r="AD16" s="304"/>
    </row>
    <row r="17" spans="1:27" ht="21.6" customHeight="1" x14ac:dyDescent="0.25">
      <c r="A17" s="227"/>
      <c r="B17" s="128"/>
      <c r="C17" s="44"/>
      <c r="D17" s="44"/>
      <c r="E17" s="44"/>
      <c r="F17" s="44"/>
      <c r="G17" s="44"/>
      <c r="H17" s="44"/>
      <c r="I17" s="44"/>
      <c r="J17" s="44"/>
      <c r="K17" s="44"/>
      <c r="L17" s="44"/>
      <c r="M17" s="344"/>
      <c r="N17" s="344"/>
      <c r="O17" s="134"/>
      <c r="P17" s="344"/>
      <c r="Q17" s="344"/>
      <c r="R17" s="344"/>
      <c r="S17" s="345"/>
      <c r="T17" s="344"/>
      <c r="U17" s="133"/>
      <c r="V17" s="345"/>
      <c r="W17" s="345"/>
      <c r="X17" s="345"/>
      <c r="Y17" s="341"/>
      <c r="Z17" s="341"/>
      <c r="AA17" s="309"/>
    </row>
    <row r="18" spans="1:27" ht="15.75" x14ac:dyDescent="0.25">
      <c r="A18" s="28"/>
      <c r="B18" s="28"/>
      <c r="C18" s="44"/>
      <c r="D18" s="44"/>
      <c r="E18" s="44"/>
      <c r="F18" s="44"/>
      <c r="G18" s="44"/>
      <c r="H18" s="44"/>
      <c r="I18" s="44"/>
      <c r="J18" s="44"/>
      <c r="K18" s="44"/>
      <c r="L18" s="44"/>
      <c r="M18" s="304"/>
      <c r="N18" s="346"/>
      <c r="O18" s="304"/>
      <c r="P18" s="304"/>
      <c r="Q18" s="304"/>
      <c r="R18" s="304"/>
      <c r="S18" s="341"/>
      <c r="T18" s="304"/>
      <c r="U18" s="341"/>
      <c r="V18" s="341"/>
      <c r="W18" s="341"/>
      <c r="X18" s="341"/>
      <c r="Y18" s="341"/>
      <c r="Z18" s="341"/>
      <c r="AA18" s="309"/>
    </row>
    <row r="19" spans="1:27" ht="15.75" x14ac:dyDescent="0.25">
      <c r="A19" s="45" t="s">
        <v>149</v>
      </c>
      <c r="B19" s="45"/>
      <c r="C19" s="44"/>
      <c r="D19" s="44"/>
      <c r="E19" s="44"/>
      <c r="F19" s="44"/>
      <c r="G19" s="44"/>
      <c r="H19" s="44"/>
      <c r="I19" s="44"/>
      <c r="J19" s="44"/>
      <c r="K19" s="44"/>
      <c r="L19" s="44"/>
      <c r="M19" s="304"/>
      <c r="N19" s="346"/>
      <c r="O19" s="304"/>
      <c r="P19" s="304"/>
      <c r="Q19" s="304"/>
      <c r="R19" s="304"/>
      <c r="S19" s="341"/>
      <c r="T19" s="304"/>
      <c r="U19" s="341"/>
      <c r="V19" s="341"/>
      <c r="W19" s="341"/>
      <c r="X19" s="341"/>
      <c r="Y19" s="341"/>
      <c r="Z19" s="341"/>
      <c r="AA19" s="309"/>
    </row>
    <row r="20" spans="1:27" ht="27" customHeight="1" thickBot="1" x14ac:dyDescent="0.25">
      <c r="A20" s="228"/>
      <c r="B20" s="329"/>
      <c r="C20" s="329"/>
      <c r="D20" s="329"/>
      <c r="E20" s="329"/>
      <c r="F20" s="329"/>
      <c r="G20" s="329"/>
      <c r="H20" s="329"/>
      <c r="I20" s="329"/>
      <c r="J20" s="329"/>
      <c r="K20" s="329"/>
      <c r="L20" s="329"/>
      <c r="M20" s="329"/>
      <c r="N20" s="329"/>
      <c r="O20" s="329"/>
      <c r="P20" s="329"/>
      <c r="Q20" s="329"/>
      <c r="R20" s="329"/>
      <c r="S20" s="329"/>
      <c r="T20" s="329"/>
      <c r="U20" s="347"/>
      <c r="V20" s="347"/>
      <c r="W20" s="329"/>
      <c r="X20" s="329"/>
      <c r="Y20" s="329"/>
      <c r="Z20" s="329"/>
      <c r="AA20" s="330"/>
    </row>
    <row r="22" spans="1:27" x14ac:dyDescent="0.2">
      <c r="A22" s="304"/>
      <c r="B22" s="304"/>
      <c r="C22" s="304"/>
      <c r="D22" s="304"/>
      <c r="E22" s="304"/>
      <c r="F22" s="304"/>
      <c r="G22" s="304"/>
      <c r="H22" s="304"/>
      <c r="I22" s="304"/>
      <c r="J22" s="304"/>
      <c r="K22" s="304"/>
      <c r="L22" s="304"/>
      <c r="M22" s="304"/>
      <c r="N22" s="304"/>
      <c r="O22" s="304"/>
      <c r="P22" s="304"/>
      <c r="Q22" s="304"/>
      <c r="R22" s="304"/>
      <c r="S22" s="304"/>
      <c r="T22" s="304"/>
      <c r="U22" s="331"/>
      <c r="V22" s="331"/>
      <c r="W22" s="304"/>
      <c r="X22" s="304"/>
      <c r="Y22" s="304"/>
      <c r="Z22" s="304"/>
      <c r="AA22" s="304"/>
    </row>
  </sheetData>
  <conditionalFormatting sqref="O9:O11">
    <cfRule type="expression" dxfId="173" priority="2103">
      <formula>$M9="Yes"</formula>
    </cfRule>
  </conditionalFormatting>
  <conditionalFormatting sqref="Y9:Y12">
    <cfRule type="expression" dxfId="172" priority="1986">
      <formula>AND($W9&gt;0,$X9&gt;0)</formula>
    </cfRule>
    <cfRule type="expression" dxfId="171" priority="1987">
      <formula>$W9&gt;0</formula>
    </cfRule>
    <cfRule type="expression" dxfId="170" priority="1988">
      <formula>$W9=""</formula>
    </cfRule>
  </conditionalFormatting>
  <conditionalFormatting sqref="O12">
    <cfRule type="expression" dxfId="169" priority="891">
      <formula>$M12="Yes"</formula>
    </cfRule>
  </conditionalFormatting>
  <conditionalFormatting sqref="Y12">
    <cfRule type="expression" dxfId="168" priority="885">
      <formula>AND($W12&gt;0,$X12&gt;0)</formula>
    </cfRule>
    <cfRule type="expression" dxfId="167" priority="886">
      <formula>$W12&gt;0</formula>
    </cfRule>
    <cfRule type="expression" dxfId="166" priority="887">
      <formula>$W12=""</formula>
    </cfRule>
  </conditionalFormatting>
  <conditionalFormatting sqref="U9:U12">
    <cfRule type="expression" dxfId="165" priority="22">
      <formula>ISBLANK($S9)</formula>
    </cfRule>
  </conditionalFormatting>
  <conditionalFormatting sqref="S9:S12">
    <cfRule type="notContainsBlanks" dxfId="164" priority="17">
      <formula>LEN(TRIM(S9))&gt;0</formula>
    </cfRule>
    <cfRule type="expression" dxfId="163" priority="21">
      <formula>OR(NOT(ISBLANK($W9)),NOT(ISBLANK($X9)))</formula>
    </cfRule>
  </conditionalFormatting>
  <conditionalFormatting sqref="W9:W12">
    <cfRule type="notContainsBlanks" dxfId="162" priority="18">
      <formula>LEN(TRIM(W9))&gt;0</formula>
    </cfRule>
    <cfRule type="expression" dxfId="161" priority="19">
      <formula>AND(ISBLANK($W9),OR(NOT(ISBLANK($X9)),AND(NOT(ISBLANK($S9)),$U9=0)))</formula>
    </cfRule>
  </conditionalFormatting>
  <conditionalFormatting sqref="X9:X12">
    <cfRule type="expression" dxfId="160" priority="16">
      <formula>AND(ISBLANK($X9),OR(NOT(ISBLANK($W9)),AND(NOT(ISBLANK($S9)),$U9=0)))</formula>
    </cfRule>
  </conditionalFormatting>
  <dataValidations count="26">
    <dataValidation type="list" allowBlank="1" showInputMessage="1" showErrorMessage="1" sqref="P13:P19 O13 O18:O19 M9:M12" xr:uid="{4BA7862C-FE8B-46DD-B663-A562F6BD00A9}">
      <formula1>"Yes, No"</formula1>
    </dataValidation>
    <dataValidation allowBlank="1" showInputMessage="1" showErrorMessage="1" promptTitle="Facility name" prompt="Please enter the name of the pumpout facility that is capable of servicing commercial vessels. If there are multiple facilities with the same name, such as one company that operates multiple pumpout boats, please enter each facility separately." sqref="B8" xr:uid="{BB321985-B86F-4B08-93C6-70D397B66A09}"/>
    <dataValidation allowBlank="1" showInputMessage="1" showErrorMessage="1" promptTitle="Facility type" prompt="Please enter the type of pumpout facility by selecting from the drop-down menu. Options include stationary, truck, boat, and barge." sqref="D8" xr:uid="{0720E209-9963-458F-9468-551D5B179FB5}"/>
    <dataValidation allowBlank="1" showInputMessage="1" showErrorMessage="1" promptTitle="Hours in operation" prompt="Please enter the number of hours per day the pumpout facility operates. If hours of operation vary, enter the average number of hours the facility is open a day." sqref="F8" xr:uid="{5FD5BE21-7758-4C2C-A12B-8F34505332CB}"/>
    <dataValidation allowBlank="1" showInputMessage="1" showErrorMessage="1" promptTitle="Days per week in operation" prompt="Please enter the number of days per week the facility is open." sqref="H8" xr:uid="{AE13BFB8-891A-4809-BB88-9AD745556A6E}"/>
    <dataValidation allowBlank="1" showInputMessage="1" showErrorMessage="1" promptTitle="Opening month" prompt="Enter the month, in number format (e.g., January = 1), that the facility begins operating. If the facility operates year-round, enter 1 or leave blank. If unknown, leave blank." sqref="J8" xr:uid="{F41B53AC-5B45-4C4E-9623-5D8ACCCDE63A}"/>
    <dataValidation allowBlank="1" showInputMessage="1" showErrorMessage="1" promptTitle="Closing month" prompt="Enter the last month, in number format (e.g., January = 1), that the facility operates in the year. If the facility operates year-round, enter 12 or leave blank. If unknown, leave blank." sqref="L8" xr:uid="{986CAAEF-DDFB-4009-97A2-6EC6716E28B0}"/>
    <dataValidation allowBlank="1" showInputMessage="1" showErrorMessage="1" promptTitle="Sewer connection" prompt="If the pumpout facility is directly connected to a municipal sewage system, then select &quot;Yes.&quot; If the facility is not directly connected to a municipal sewage system, then select &quot;No.&quot;" sqref="M8:N8" xr:uid="{D4DAA07D-E6C9-46AC-B5A6-97EE9395BFBC}"/>
    <dataValidation allowBlank="1" showInputMessage="1" showErrorMessage="1" promptTitle="Tank capacity" prompt="For all facilities that are not connected to a municipal sewage system, enter the maximum tank capacity, in gallons, of the facility. If unknown, leave blank." sqref="P8" xr:uid="{DA622623-7D01-43EF-9BBE-067ABBC6BA3B}"/>
    <dataValidation allowBlank="1" showInputMessage="1" showErrorMessage="1" promptTitle="Working flow" prompt="Enter the working flow, in gallons per minute, of the facility pumpout(s). If the facility has multiple pumpouts, enter the sum of the working flow of all pumpouts. If unknown, leave blank." sqref="R8" xr:uid="{E53E3FAA-1919-472F-9080-694DDBA3442E}"/>
    <dataValidation allowBlank="1" showInputMessage="1" showErrorMessage="1" promptTitle="Base fee" prompt="If the facility charges a service fee to use the pumpout, or a flat fee for the first (x) gallons, please enter the fee, in dollars, here. For example, if a facility charges $50 for the first 30 gallons of pumpout, enter $50." sqref="S8:T8" xr:uid="{5BA1B192-44C8-4475-A7D7-AF2528F56E48}"/>
    <dataValidation allowBlank="1" showInputMessage="1" showErrorMessage="1" promptTitle="Base gallons" prompt="Enter the number of gallons covered by the base fee (e.g., if a facility charges $50 for the first 30 gal of pumpout, enter 30). If a facility charges a service fee just to use the pumpout, enter 0. If the facility does not charge a base fee, leave blank." sqref="U8" xr:uid="{4DFA1E72-798B-4BCA-97A1-E3533BE3670D}"/>
    <dataValidation allowBlank="1" showInputMessage="1" showErrorMessage="1" promptTitle="Facility name" prompt="Enter the name of the pumpout facility that is capable of servicing commercial vessels. If there are multiple facilities with the same name, such as one company that operates multiple pumpout boats, enter each facility separately." sqref="A8" xr:uid="{C31BBBD8-BD0C-4224-B333-55EBCE4FA18B}"/>
    <dataValidation allowBlank="1" showInputMessage="1" showErrorMessage="1" promptTitle="Facility type" prompt="Enter the type of pumpout facility by selecting from the drop-down menu. Options include stationary, truck, boat, and barge." sqref="C8" xr:uid="{029E60B7-8FD0-423B-9E8C-42269D45EF80}"/>
    <dataValidation allowBlank="1" showInputMessage="1" showErrorMessage="1" promptTitle="Hours in operation" prompt="Enter the number of hours per day the pumpout facility operates. If hours of operation vary, enter the average number of hours the facility is open per day." sqref="E8" xr:uid="{A6C6495B-320B-4125-A86B-16FE78CA138B}"/>
    <dataValidation allowBlank="1" showInputMessage="1" showErrorMessage="1" promptTitle="Days per week in operation" prompt="Enter the number of days per week the facility operates when open." sqref="G8" xr:uid="{FD194D58-8B48-4CF0-B91C-120DCD21043C}"/>
    <dataValidation allowBlank="1" showInputMessage="1" showErrorMessage="1" promptTitle="Fee ($/gallon)" prompt="If the facility charges a fee in dollars per gallon, enter the fee here. If the facility does not use this fee structure, leave blank. If the facility charge a fee per gallon and per hour, enter a value both in &quot;Fee ($/gallon)&quot; and &quot;Fee ($/hour)&quot;." sqref="W8" xr:uid="{997250D0-7B7D-47B7-9BE4-FFC7E0F87A80}"/>
    <dataValidation allowBlank="1" showInputMessage="1" showErrorMessage="1" promptTitle="Fee ($/hour)" prompt="If the facility charges a fee in dollars per hour, enter the fee here. If the facility does not use this fee structure, leave blank. If the facility charges a fee per hour and per gallon, enter a value in both &quot;Fee ($/gallon)&quot; and &quot;Fee ($/hour)&quot;." sqref="X8" xr:uid="{BB0F21D8-C349-46DE-8C20-71D6A13CE0E8}"/>
    <dataValidation allowBlank="1" showInputMessage="1" showErrorMessage="1" promptTitle="Opening month" prompt="Enter the month, in number format (e.g., January = 1), that the facility begins operating. If the facility operates year-round, enter 1 or leave blank. If unknown, select the default from the drop-down menu. " sqref="I8" xr:uid="{54FB71FE-5853-4CE9-B7D2-D55E60D02296}"/>
    <dataValidation allowBlank="1" showInputMessage="1" showErrorMessage="1" promptTitle="Closing month" prompt="Enter the last month, in number format (e.g., January = 1), that the facility operates in the year. If the facility operates year-round, enter 12 or leave blank. If unknown, select the default from the drop-down menu. " sqref="K8" xr:uid="{F6259446-1E1E-45D3-B3D8-4DA363A7211A}"/>
    <dataValidation allowBlank="1" showInputMessage="1" showErrorMessage="1" promptTitle="Tank capacity" prompt="For all facilities that are not connected to a municipal sewage system, enter the maximum tank capacity, in gallons, of the facility. If unknown, select the default from the drop-down menu. " sqref="O8" xr:uid="{99383584-92ED-44C7-A697-6F7E232A35B4}"/>
    <dataValidation allowBlank="1" showInputMessage="1" showErrorMessage="1" promptTitle="Working flow" prompt="Enter the working flow, in gallons per minute, of the facility pumpout(s). If the facility has multiple pumpouts, enter the sum of the working flow of all pumpouts. If unknown, select the default from the drop-down menu. " sqref="Q8" xr:uid="{9B2492BE-4BF2-4F4E-982D-90F29E05B066}"/>
    <dataValidation type="decimal" allowBlank="1" showInputMessage="1" showErrorMessage="1" errorTitle="Error" error="Please enter a value between 0 and 7." sqref="G9:G12" xr:uid="{A413BBD6-47F8-4E58-9683-545D5D38AC13}">
      <formula1>0</formula1>
      <formula2>7</formula2>
    </dataValidation>
    <dataValidation type="custom" allowBlank="1" showInputMessage="1" showErrorMessage="1" errorTitle="Error" error="Input is not a number. Please enter a valid number. " sqref="S9:S12 E9:E12 U9:X12 T9:T19" xr:uid="{C39A05DC-6023-44C2-8426-B5EB500D0509}">
      <formula1>ISNUMBER(E9)</formula1>
    </dataValidation>
    <dataValidation type="list" allowBlank="1" showInputMessage="1" errorTitle="Error" error="Input is not a number. Please enter a valid number. " sqref="O9:O12" xr:uid="{F4760AF8-FD22-42FD-BED4-9C8204829DEC}">
      <formula1>"+Default_Tank_Capacity"</formula1>
    </dataValidation>
    <dataValidation type="list" allowBlank="1" showInputMessage="1" errorTitle="Error" error="Input is not a number. Please enter a valid number. " sqref="Q9:Q12" xr:uid="{9079216C-B4F5-4645-A470-B35D00C6B79F}">
      <formula1>"+Default_Working_Flow"</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254" r:id="rId4" name="Button 110">
              <controlPr defaultSize="0" print="0" autoFill="0" autoPict="0" macro="[0]!Facility_add_row">
                <anchor moveWithCells="1" sizeWithCells="1">
                  <from>
                    <xdr:col>6</xdr:col>
                    <xdr:colOff>714375</xdr:colOff>
                    <xdr:row>14</xdr:row>
                    <xdr:rowOff>123825</xdr:rowOff>
                  </from>
                  <to>
                    <xdr:col>8</xdr:col>
                    <xdr:colOff>447675</xdr:colOff>
                    <xdr:row>16</xdr:row>
                    <xdr:rowOff>180975</xdr:rowOff>
                  </to>
                </anchor>
              </controlPr>
            </control>
          </mc:Choice>
        </mc:AlternateContent>
        <mc:AlternateContent xmlns:mc="http://schemas.openxmlformats.org/markup-compatibility/2006">
          <mc:Choice Requires="x14">
            <control shapeId="6255" r:id="rId5" name="Button 111">
              <controlPr defaultSize="0" print="0" autoFill="0" autoPict="0" macro="[0]!Facility_delete_row">
                <anchor moveWithCells="1" sizeWithCells="1">
                  <from>
                    <xdr:col>10</xdr:col>
                    <xdr:colOff>895350</xdr:colOff>
                    <xdr:row>17</xdr:row>
                    <xdr:rowOff>76200</xdr:rowOff>
                  </from>
                  <to>
                    <xdr:col>12</xdr:col>
                    <xdr:colOff>323850</xdr:colOff>
                    <xdr:row>19</xdr:row>
                    <xdr:rowOff>152400</xdr:rowOff>
                  </to>
                </anchor>
              </controlPr>
            </control>
          </mc:Choice>
        </mc:AlternateContent>
      </controls>
    </mc:Choice>
  </mc:AlternateContent>
  <tableParts count="1">
    <tablePart r:id="rId6"/>
  </tableParts>
  <extLst>
    <ext xmlns:x14="http://schemas.microsoft.com/office/spreadsheetml/2009/9/main" uri="{CCE6A557-97BC-4b89-ADB6-D9C93CAAB3DF}">
      <x14:dataValidations xmlns:xm="http://schemas.microsoft.com/office/excel/2006/main" count="1">
        <x14:dataValidation type="list" allowBlank="1" showInputMessage="1" showErrorMessage="1" xr:uid="{16263874-FF1A-4F4F-A9DA-CD4B0936EB33}">
          <x14:formula1>
            <xm:f>'Pumpout Fac Assumptions'!$A$4:$A$7</xm:f>
          </x14:formula1>
          <xm:sqref>C9:C12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84940F-AC4E-4D1D-AEBF-BD95F95180F8}">
  <sheetPr codeName="Sheet23">
    <tabColor theme="8" tint="0.79998168889431442"/>
  </sheetPr>
  <dimension ref="A1:M18"/>
  <sheetViews>
    <sheetView showGridLines="0" topLeftCell="A3" zoomScale="90" zoomScaleNormal="90" workbookViewId="0">
      <selection activeCell="J23" sqref="J23"/>
    </sheetView>
  </sheetViews>
  <sheetFormatPr defaultColWidth="8.85546875" defaultRowHeight="14.25" x14ac:dyDescent="0.2"/>
  <cols>
    <col min="1" max="1" width="28.85546875" style="19" customWidth="1"/>
    <col min="2" max="2" width="28.5703125" style="19" customWidth="1"/>
    <col min="3" max="3" width="20.42578125" style="19" hidden="1" customWidth="1"/>
    <col min="4" max="4" width="28.5703125" style="19" customWidth="1"/>
    <col min="5" max="5" width="15.85546875" style="19" hidden="1" customWidth="1"/>
    <col min="6" max="6" width="28.5703125" style="19" customWidth="1"/>
    <col min="7" max="7" width="15.85546875" style="19" hidden="1" customWidth="1"/>
    <col min="8" max="8" width="28.5703125" style="19" customWidth="1"/>
    <col min="9" max="9" width="15.85546875" style="19" hidden="1" customWidth="1"/>
    <col min="10" max="10" width="28.5703125" style="19" customWidth="1"/>
    <col min="11" max="12" width="15.85546875" style="19" hidden="1" customWidth="1"/>
    <col min="13" max="16384" width="8.85546875" style="19"/>
  </cols>
  <sheetData>
    <row r="1" spans="1:13" ht="20.25" x14ac:dyDescent="0.3">
      <c r="A1" s="42" t="s">
        <v>150</v>
      </c>
      <c r="B1" s="304"/>
      <c r="C1" s="304"/>
      <c r="D1" s="304"/>
      <c r="E1" s="304"/>
      <c r="F1" s="304"/>
      <c r="G1" s="304"/>
      <c r="H1" s="304"/>
      <c r="I1" s="304"/>
      <c r="J1" s="304"/>
      <c r="K1" s="304"/>
      <c r="L1" s="304"/>
      <c r="M1" s="309"/>
    </row>
    <row r="2" spans="1:13" ht="12.6" customHeight="1" x14ac:dyDescent="0.2">
      <c r="A2" s="304"/>
      <c r="B2" s="304"/>
      <c r="C2" s="304"/>
      <c r="D2" s="304"/>
      <c r="E2" s="304"/>
      <c r="F2" s="304"/>
      <c r="G2" s="304"/>
      <c r="H2" s="304"/>
      <c r="I2" s="304"/>
      <c r="J2" s="304"/>
      <c r="K2" s="304"/>
      <c r="L2" s="304"/>
      <c r="M2" s="309"/>
    </row>
    <row r="3" spans="1:13" ht="18" x14ac:dyDescent="0.25">
      <c r="A3" s="43" t="s">
        <v>88</v>
      </c>
      <c r="B3" s="304"/>
      <c r="C3" s="304"/>
      <c r="D3" s="304"/>
      <c r="E3" s="304"/>
      <c r="F3" s="304"/>
      <c r="G3" s="304"/>
      <c r="H3" s="304"/>
      <c r="I3" s="304"/>
      <c r="J3" s="304"/>
      <c r="K3" s="304"/>
      <c r="L3" s="304"/>
      <c r="M3" s="309"/>
    </row>
    <row r="4" spans="1:13" ht="66.599999999999994" customHeight="1" x14ac:dyDescent="0.2">
      <c r="A4" s="209" t="s">
        <v>151</v>
      </c>
      <c r="B4" s="209"/>
      <c r="C4" s="209"/>
      <c r="D4" s="209"/>
      <c r="E4" s="209"/>
      <c r="F4" s="209"/>
      <c r="G4" s="209"/>
      <c r="H4" s="209"/>
      <c r="I4" s="209"/>
      <c r="J4" s="209"/>
      <c r="K4" s="304"/>
      <c r="L4" s="304"/>
      <c r="M4" s="309"/>
    </row>
    <row r="5" spans="1:13" x14ac:dyDescent="0.2">
      <c r="A5" s="304"/>
      <c r="B5" s="304"/>
      <c r="C5" s="304"/>
      <c r="D5" s="304"/>
      <c r="E5" s="304"/>
      <c r="F5" s="304"/>
      <c r="G5" s="304"/>
      <c r="H5" s="304"/>
      <c r="I5" s="304"/>
      <c r="J5" s="304"/>
      <c r="K5" s="304"/>
      <c r="L5" s="304"/>
      <c r="M5" s="309"/>
    </row>
    <row r="6" spans="1:13" ht="15.75" hidden="1" customHeight="1" x14ac:dyDescent="0.25">
      <c r="A6" s="20">
        <f>COLUMN()</f>
        <v>1</v>
      </c>
      <c r="B6" s="20">
        <f>COLUMN()</f>
        <v>2</v>
      </c>
      <c r="C6" s="20"/>
      <c r="D6" s="20">
        <f>COLUMN()</f>
        <v>4</v>
      </c>
      <c r="E6" s="20"/>
      <c r="F6" s="20">
        <f>COLUMN()</f>
        <v>6</v>
      </c>
      <c r="G6" s="20"/>
      <c r="H6" s="20">
        <f>COLUMN()</f>
        <v>8</v>
      </c>
      <c r="I6" s="20"/>
      <c r="J6" s="20">
        <f>COLUMN()</f>
        <v>10</v>
      </c>
      <c r="K6" s="20"/>
      <c r="L6" s="20">
        <f t="shared" ref="L6" si="0">COLUMN()-2</f>
        <v>10</v>
      </c>
      <c r="M6" s="309"/>
    </row>
    <row r="7" spans="1:13" ht="30" x14ac:dyDescent="0.25">
      <c r="A7" s="199" t="s">
        <v>152</v>
      </c>
      <c r="B7" s="200" t="s">
        <v>82</v>
      </c>
      <c r="C7" s="200" t="s">
        <v>153</v>
      </c>
      <c r="D7" s="200" t="s">
        <v>83</v>
      </c>
      <c r="E7" s="200" t="s">
        <v>154</v>
      </c>
      <c r="F7" s="200" t="s">
        <v>84</v>
      </c>
      <c r="G7" s="200" t="s">
        <v>155</v>
      </c>
      <c r="H7" s="200" t="s">
        <v>85</v>
      </c>
      <c r="I7" s="200" t="s">
        <v>156</v>
      </c>
      <c r="J7" s="201" t="s">
        <v>86</v>
      </c>
      <c r="K7" s="50" t="s">
        <v>157</v>
      </c>
      <c r="L7" s="22" t="s">
        <v>105</v>
      </c>
      <c r="M7" s="309"/>
    </row>
    <row r="8" spans="1:13" ht="14.25" customHeight="1" x14ac:dyDescent="0.2">
      <c r="A8" s="310" t="str">
        <f t="shared" ref="A8:A11" ca="1" si="1">IF(ROW()-ROW(Costs_Start_Table)=1,"Tugboats",IF(ROW()-ROW(Costs_Start_Table)=2,"Commercial Fishing Vessels",IF(ROW()-ROW(Costs_Start_Table)=3,"Excursion",IF(ROW()-ROW(Costs_Start_Table)=4,"Ferries",IF(OFFSET(Vessels_Start_Table,ROW()-ROW(Costs_Start_Table),0)="","Enter vessel class in (1) Vessel Inputs",OFFSET(Vessels_Start_Table,ROW()-ROW(Costs_Start_Table),0))))))</f>
        <v>Tugboats</v>
      </c>
      <c r="B8" s="348" cm="1">
        <f t="array" aca="1" ref="B8" ca="1">+Default_Baseline_Cost</f>
        <v>2261126.4809262934</v>
      </c>
      <c r="C8" s="274">
        <f ca="1">IF(OR(B8="Unknown; user input required",ISBLANK(B8)),1,0)</f>
        <v>0</v>
      </c>
      <c r="D8" s="349" cm="1">
        <f t="array" aca="1" ref="D8" ca="1">+Default_Vessel_Speed</f>
        <v>11.75</v>
      </c>
      <c r="E8" s="274">
        <f ca="1">IF(OR(D8="Unknown; user input required",ISBLANK(D8)),1,0)</f>
        <v>0</v>
      </c>
      <c r="F8" s="274" cm="1">
        <f t="array" aca="1" ref="F8" ca="1">+Default_Fuel_Consumption</f>
        <v>98.2</v>
      </c>
      <c r="G8" s="274">
        <f ca="1">IF(OR(F8="Unknown; user input required",ISBLANK(F8)),1,0)</f>
        <v>0</v>
      </c>
      <c r="H8" s="348" cm="1">
        <f t="array" aca="1" ref="H8" ca="1">+Default_Hourly_Revenue</f>
        <v>1300</v>
      </c>
      <c r="I8" s="276">
        <f ca="1">IF(OR(H8="Unknown; user input required",ISBLANK(H8)),1,0)</f>
        <v>0</v>
      </c>
      <c r="J8" s="350" cm="1">
        <f t="array" ref="J8">+Default_Fuel_Price</f>
        <v>2.2559999999999998</v>
      </c>
      <c r="K8" s="311">
        <f>IF(ISBLANK(J8),1,0)</f>
        <v>0</v>
      </c>
      <c r="L8" s="323"/>
      <c r="M8" s="309"/>
    </row>
    <row r="9" spans="1:13" x14ac:dyDescent="0.2">
      <c r="A9" s="310" t="str">
        <f t="shared" ca="1" si="1"/>
        <v>Commercial Fishing Vessels</v>
      </c>
      <c r="B9" s="348" cm="1">
        <f t="array" aca="1" ref="B9" ca="1">+Default_Baseline_Cost</f>
        <v>377892.67839362769</v>
      </c>
      <c r="C9" s="274">
        <f t="shared" ref="C9:C11" ca="1" si="2">IF(OR(B9="Unknown; user input required",ISBLANK(B9)),1,0)</f>
        <v>0</v>
      </c>
      <c r="D9" s="349" cm="1">
        <f t="array" aca="1" ref="D9" ca="1">+Default_Vessel_Speed</f>
        <v>13</v>
      </c>
      <c r="E9" s="274">
        <f t="shared" ref="E9" ca="1" si="3">IF(OR(D9="Unknown; user input required",ISBLANK(D9)),1,0)</f>
        <v>0</v>
      </c>
      <c r="F9" s="274" cm="1">
        <f t="array" aca="1" ref="F9" ca="1">+Default_Fuel_Consumption</f>
        <v>30.1</v>
      </c>
      <c r="G9" s="274">
        <f t="shared" ref="G9" ca="1" si="4">IF(OR(F9="Unknown; user input required",ISBLANK(F9)),1,0)</f>
        <v>0</v>
      </c>
      <c r="H9" s="348" cm="1">
        <f t="array" aca="1" ref="H9" ca="1">+Default_Hourly_Revenue</f>
        <v>1757.5</v>
      </c>
      <c r="I9" s="276">
        <f t="shared" ref="I9" ca="1" si="5">IF(OR(H9="Unknown; user input required",ISBLANK(H9)),1,0)</f>
        <v>0</v>
      </c>
      <c r="J9" s="350" cm="1">
        <f t="array" ref="J9">+Default_Fuel_Price</f>
        <v>2.2559999999999998</v>
      </c>
      <c r="K9" s="311">
        <f t="shared" ref="K9" si="6">IF(ISBLANK(J9),1,0)</f>
        <v>0</v>
      </c>
      <c r="L9" s="323"/>
      <c r="M9" s="309"/>
    </row>
    <row r="10" spans="1:13" x14ac:dyDescent="0.2">
      <c r="A10" s="310" t="str">
        <f t="shared" ca="1" si="1"/>
        <v>Excursion</v>
      </c>
      <c r="B10" s="348" cm="1">
        <f t="array" aca="1" ref="B10" ca="1">+Default_Baseline_Cost</f>
        <v>1884943.7776241892</v>
      </c>
      <c r="C10" s="274">
        <f t="shared" ca="1" si="2"/>
        <v>0</v>
      </c>
      <c r="D10" s="349" cm="1">
        <f t="array" aca="1" ref="D10" ca="1">+Default_Vessel_Speed</f>
        <v>30.5</v>
      </c>
      <c r="E10" s="274">
        <f t="shared" ref="E10" ca="1" si="7">IF(OR(D10="Unknown; user input required",ISBLANK(D10)),1,0)</f>
        <v>0</v>
      </c>
      <c r="F10" s="274" cm="1">
        <f t="array" aca="1" ref="F10" ca="1">+Default_Fuel_Consumption</f>
        <v>82.7</v>
      </c>
      <c r="G10" s="274">
        <f t="shared" ref="G10" ca="1" si="8">IF(OR(F10="Unknown; user input required",ISBLANK(F10)),1,0)</f>
        <v>0</v>
      </c>
      <c r="H10" s="348" cm="1">
        <f t="array" aca="1" ref="H10" ca="1">+Default_Hourly_Revenue</f>
        <v>1300</v>
      </c>
      <c r="I10" s="276">
        <f t="shared" ref="I10" ca="1" si="9">IF(OR(H10="Unknown; user input required",ISBLANK(H10)),1,0)</f>
        <v>0</v>
      </c>
      <c r="J10" s="350" cm="1">
        <f t="array" ref="J10">+Default_Fuel_Price</f>
        <v>2.2559999999999998</v>
      </c>
      <c r="K10" s="311">
        <f t="shared" ref="K10" si="10">IF(ISBLANK(J10),1,0)</f>
        <v>0</v>
      </c>
      <c r="L10" s="323"/>
      <c r="M10" s="309"/>
    </row>
    <row r="11" spans="1:13" x14ac:dyDescent="0.2">
      <c r="A11" s="310" t="str">
        <f t="shared" ca="1" si="1"/>
        <v>Ferries</v>
      </c>
      <c r="B11" s="348" cm="1">
        <f t="array" aca="1" ref="B11" ca="1">+Default_Baseline_Cost</f>
        <v>1884943.7776241892</v>
      </c>
      <c r="C11" s="274">
        <f t="shared" ca="1" si="2"/>
        <v>0</v>
      </c>
      <c r="D11" s="349" cm="1">
        <f t="array" aca="1" ref="D11" ca="1">+Default_Vessel_Speed</f>
        <v>13.674290718038527</v>
      </c>
      <c r="E11" s="274">
        <f t="shared" ref="E11" ca="1" si="11">IF(OR(D11="Unknown; user input required",ISBLANK(D11)),1,0)</f>
        <v>0</v>
      </c>
      <c r="F11" s="274" cm="1">
        <f t="array" aca="1" ref="F11" ca="1">+Default_Fuel_Consumption</f>
        <v>82.7</v>
      </c>
      <c r="G11" s="274">
        <f t="shared" ref="G11" ca="1" si="12">IF(OR(F11="Unknown; user input required",ISBLANK(F11)),1,0)</f>
        <v>0</v>
      </c>
      <c r="H11" s="348" cm="1">
        <f t="array" aca="1" ref="H11" ca="1">+Default_Hourly_Revenue</f>
        <v>1267.175</v>
      </c>
      <c r="I11" s="276">
        <f t="shared" ref="I11" ca="1" si="13">IF(OR(H11="Unknown; user input required",ISBLANK(H11)),1,0)</f>
        <v>0</v>
      </c>
      <c r="J11" s="350" cm="1">
        <f t="array" ref="J11">+Default_Fuel_Price</f>
        <v>2.2559999999999998</v>
      </c>
      <c r="K11" s="311">
        <f t="shared" ref="K11" si="14">IF(ISBLANK(J11),1,0)</f>
        <v>0</v>
      </c>
      <c r="L11" s="323"/>
      <c r="M11" s="309"/>
    </row>
    <row r="12" spans="1:13" ht="12.75" hidden="1" customHeight="1" x14ac:dyDescent="0.2">
      <c r="A12" s="187" t="s">
        <v>105</v>
      </c>
      <c r="B12" s="326"/>
      <c r="C12" s="326"/>
      <c r="D12" s="326"/>
      <c r="E12" s="326"/>
      <c r="F12" s="326"/>
      <c r="G12" s="326"/>
      <c r="H12" s="326"/>
      <c r="I12" s="326"/>
      <c r="J12" s="328"/>
      <c r="K12" s="323"/>
      <c r="L12" s="323"/>
      <c r="M12" s="309"/>
    </row>
    <row r="13" spans="1:13" ht="57.75" thickBot="1" x14ac:dyDescent="0.25">
      <c r="A13" s="351"/>
      <c r="B13" s="193" t="s">
        <v>113</v>
      </c>
      <c r="C13" s="352"/>
      <c r="D13" s="193" t="s">
        <v>113</v>
      </c>
      <c r="E13" s="352"/>
      <c r="F13" s="193" t="s">
        <v>113</v>
      </c>
      <c r="G13" s="352"/>
      <c r="H13" s="193" t="s">
        <v>113</v>
      </c>
      <c r="I13" s="352"/>
      <c r="J13" s="194" t="s">
        <v>14</v>
      </c>
      <c r="K13" s="329"/>
      <c r="L13" s="329"/>
      <c r="M13" s="309"/>
    </row>
    <row r="14" spans="1:13" ht="12" customHeight="1" x14ac:dyDescent="0.25">
      <c r="A14" s="304"/>
      <c r="B14" s="122"/>
      <c r="C14" s="129"/>
      <c r="D14" s="122"/>
      <c r="E14" s="344"/>
      <c r="F14" s="122"/>
      <c r="G14" s="344"/>
      <c r="H14" s="122"/>
      <c r="I14" s="344"/>
      <c r="J14" s="122"/>
      <c r="K14" s="304"/>
      <c r="L14" s="304"/>
      <c r="M14" s="309"/>
    </row>
    <row r="15" spans="1:13" ht="14.45" customHeight="1" thickBot="1" x14ac:dyDescent="0.25">
      <c r="A15" s="307"/>
      <c r="B15" s="137"/>
      <c r="C15" s="353"/>
      <c r="D15" s="137"/>
      <c r="E15" s="353"/>
      <c r="F15" s="137"/>
      <c r="G15" s="353"/>
      <c r="H15" s="137"/>
      <c r="I15" s="353"/>
      <c r="J15" s="137"/>
      <c r="K15" s="329"/>
      <c r="L15" s="329"/>
      <c r="M15" s="330"/>
    </row>
    <row r="18" ht="14.25" customHeight="1" x14ac:dyDescent="0.2"/>
  </sheetData>
  <conditionalFormatting sqref="A8:A11">
    <cfRule type="expression" dxfId="131" priority="17">
      <formula>$A8="Enter vessel class in (1) Vessel Inputs"</formula>
    </cfRule>
  </conditionalFormatting>
  <conditionalFormatting sqref="B8:K11">
    <cfRule type="cellIs" dxfId="130" priority="14" operator="equal">
      <formula>"Unknown; user input required"</formula>
    </cfRule>
  </conditionalFormatting>
  <conditionalFormatting sqref="B8:I11">
    <cfRule type="expression" dxfId="129" priority="10">
      <formula>$A8="Ferries"</formula>
    </cfRule>
    <cfRule type="expression" dxfId="128" priority="11">
      <formula>$A8="Excursion"</formula>
    </cfRule>
    <cfRule type="expression" dxfId="127" priority="12">
      <formula>$A8="Commercial Fishing Vessels"</formula>
    </cfRule>
    <cfRule type="expression" dxfId="126" priority="13">
      <formula>$A8="Tugboats"</formula>
    </cfRule>
  </conditionalFormatting>
  <dataValidations count="18">
    <dataValidation allowBlank="1" showInputMessage="1" showErrorMessage="1" promptTitle="Operating costs" prompt="Please enter the baseline annual operating costs of an average vessel in each vessel class. This includes fuel, labor, maintenance, and equipment costs that vessels face regardless of an NDZ designation, If unknown, please leave blank." sqref="C7" xr:uid="{40233F58-6548-46C9-8EAA-F754F019FAD0}"/>
    <dataValidation allowBlank="1" showInputMessage="1" showErrorMessage="1" promptTitle="Vessel speed" prompt="Please enter the average traveling speed, in nautical miles per hour, of each vessel class. If unknown, please leave blank." sqref="E7" xr:uid="{9A632D3E-9E8E-41B8-999F-B44967F50945}"/>
    <dataValidation allowBlank="1" showInputMessage="1" showErrorMessage="1" promptTitle="Fuel consumption" prompt="Please enter the average fuel consumption, in galllons per hour, for each vessel class. This is the rate at which the vessel consumes fuel. If unknown, please leave blank." sqref="G7" xr:uid="{BF054D91-DF9D-4491-86C1-8E97B8E040AB}"/>
    <dataValidation allowBlank="1" showInputMessage="1" showErrorMessage="1" promptTitle="Hourly revenue" prompt="Please enter the average hourly revenue, in dollars per hour, for each vessel class. If unknown, please leave blank." sqref="I7" xr:uid="{1DE8EE92-F5CC-4510-BFDA-83B5E84436A1}"/>
    <dataValidation allowBlank="1" showInputMessage="1" showErrorMessage="1" promptTitle="Fuel price" prompt="Enter the price per gallon of the fuel used by each vessel class. The default fuel price represents No. 2 diesel fuel. If unknown, leave blank." sqref="K7" xr:uid="{03A37A93-F3D7-4096-BAD7-5EF8EC94B722}"/>
    <dataValidation allowBlank="1" showInputMessage="1" showErrorMessage="1" promptTitle="Operating costs" prompt="Enter the baseline annual operating costs of an average vessel in each vessel class. If unknown, select the default from the drop-down menu. Default values are not available for user-added vessel classes. " sqref="B7" xr:uid="{F8AF3884-F7BF-45DC-9BDB-1C78F0C6EF99}"/>
    <dataValidation allowBlank="1" showInputMessage="1" showErrorMessage="1" promptTitle="Vessel speed" prompt="Enter the average traveling speed, in nautical miles per hour, of each vessel class. If unknown, select the default from the drop-down menu. Default values are not available for user-added vessel classes. " sqref="D7" xr:uid="{2A2FF5A9-E5D7-4EDE-929F-B88DD42A4569}"/>
    <dataValidation allowBlank="1" showInputMessage="1" showErrorMessage="1" promptTitle="Fuel consumption" prompt="Enter the average fuel consumption, in galllons per hour, for each vessel class. This is the rate at which the vessel consumes fuel. If unknown, select the default from the drop-down menu. Default values are not available for user-added vessel classes. " sqref="F7" xr:uid="{7B202C6C-7279-4B21-A4FC-8226D78209B2}"/>
    <dataValidation allowBlank="1" showInputMessage="1" showErrorMessage="1" promptTitle="Hourly revenue" prompt="Enter the average hourly revenue, in dollars per hour, for each vessel class. If unknown, select the default from the drop-down menu. Default values are not available for user-added vessel classes. " sqref="H7" xr:uid="{85706E00-683D-4C37-866B-A07AFC920FE7}"/>
    <dataValidation allowBlank="1" showInputMessage="1" showErrorMessage="1" promptTitle="Fuel price" prompt="Enter the price per gallon of the fuel used by each vessel class. The default fuel price represents No. 2 diesel fuel. If unknown, select the default from the drop-down menu. Default values are not available for user-added vessel classes. " sqref="J7" xr:uid="{34D25865-4363-42E8-92AB-7D72544E3F54}"/>
    <dataValidation type="list" allowBlank="1" showInputMessage="1" errorTitle="Error" error="Input is not a number. Please enter a valid number. " sqref="J8:J11" xr:uid="{42ABFD43-C0EE-4B59-89F8-DA7B556BE120}">
      <formula1>"+Default_Fuel_Price"</formula1>
    </dataValidation>
    <dataValidation type="list" operator="greaterThan" allowBlank="1" showInputMessage="1" errorTitle="Error" error="Input is not a number. Please enter a valid number. " sqref="F8:F11" xr:uid="{48ECA612-EA76-4396-9818-932E7FC08060}">
      <formula1>"+Default_Fuel_Consumption"</formula1>
    </dataValidation>
    <dataValidation type="custom" operator="greaterThan" allowBlank="1" showInputMessage="1" showErrorMessage="1" errorTitle="Error" error="Input is not a number. Please enter a valid number. " sqref="K8:K11 G8:G11 C8:C11 E8:E11 I8:I11" xr:uid="{73BA9432-CEEB-4C9F-9FAD-BB2627609303}">
      <formula1>ISNUMBER(C8)</formula1>
    </dataValidation>
    <dataValidation type="list" operator="greaterThan" allowBlank="1" showInputMessage="1" errorTitle="Error" error="Input is not a number. Please enter a valid number. " sqref="B8:B11" xr:uid="{96057051-5516-43FF-A70B-EC7477ACC016}">
      <formula1>"+Default_Baseline_Cost"</formula1>
    </dataValidation>
    <dataValidation type="list" allowBlank="1" showInputMessage="1" errorTitle="Error" error="Input is not a number. Please enter a valid number. " sqref="D8:D11" xr:uid="{56D6F775-8D69-444F-8D5B-D51650E7AF9C}">
      <formula1>"+Default_Vessel_Speed"</formula1>
    </dataValidation>
    <dataValidation type="list" operator="greaterThan" allowBlank="1" showInputMessage="1" errorTitle="Error" error="Input is not a number. Please enter a valid number. " sqref="D8:D11" xr:uid="{A88F6CBA-66D9-4C16-B3CC-3F9C1CEA624E}">
      <formula1>"+Default_Vessel_Speed"</formula1>
    </dataValidation>
    <dataValidation type="list" allowBlank="1" showInputMessage="1" errorTitle="Error" error="Input is not a number. Please enter a valid number. " sqref="F8:F11" xr:uid="{0DA4CE8B-E2C0-4BAE-AEB1-2A09A70A7951}">
      <formula1>"+Default_Fuel_Consumption"</formula1>
    </dataValidation>
    <dataValidation type="list" allowBlank="1" showInputMessage="1" errorTitle="Error" error="Input is not a number. Please enter a valid number. " sqref="H8:H11" xr:uid="{D1F0E52E-0304-45BB-852A-86EF6E23D5B7}">
      <formula1>"+Default_Hourly_Revenue"</formula1>
    </dataValidation>
  </dataValidations>
  <pageMargins left="0.7" right="0.7" top="0.75" bottom="0.75" header="0.3" footer="0.3"/>
  <pageSetup orientation="portrait"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6B386A-D7DD-4BD6-9CB0-9875012F5778}">
  <sheetPr codeName="Sheet24">
    <tabColor theme="9" tint="0.79998168889431442"/>
  </sheetPr>
  <dimension ref="A1:W48"/>
  <sheetViews>
    <sheetView showGridLines="0" zoomScale="80" zoomScaleNormal="80" workbookViewId="0">
      <selection activeCell="D14" sqref="D14"/>
    </sheetView>
  </sheetViews>
  <sheetFormatPr defaultColWidth="9.140625" defaultRowHeight="14.25" x14ac:dyDescent="0.2"/>
  <cols>
    <col min="1" max="1" width="4.85546875" style="33" customWidth="1"/>
    <col min="2" max="2" width="47.42578125" style="33" customWidth="1"/>
    <col min="3" max="3" width="19" style="33" customWidth="1"/>
    <col min="4" max="4" width="19.7109375" style="33" customWidth="1"/>
    <col min="5" max="5" width="14.28515625" style="33" customWidth="1"/>
    <col min="6" max="6" width="4.85546875" style="33" customWidth="1"/>
    <col min="7" max="7" width="5.42578125" style="33" customWidth="1"/>
    <col min="8" max="8" width="59" style="33" customWidth="1"/>
    <col min="9" max="12" width="28.42578125" style="33" customWidth="1"/>
    <col min="13" max="13" width="9.140625" style="33" hidden="1" customWidth="1"/>
    <col min="14" max="14" width="4.85546875" style="33" customWidth="1"/>
    <col min="15" max="15" width="5.140625" style="33" customWidth="1"/>
    <col min="16" max="16384" width="9.140625" style="33"/>
  </cols>
  <sheetData>
    <row r="1" spans="1:23" ht="20.25" x14ac:dyDescent="0.3">
      <c r="A1" s="55" t="s">
        <v>158</v>
      </c>
      <c r="B1" s="354"/>
      <c r="C1" s="354"/>
      <c r="D1" s="354"/>
      <c r="E1" s="354"/>
      <c r="F1" s="354"/>
      <c r="G1" s="354"/>
      <c r="H1" s="354"/>
      <c r="I1" s="354"/>
      <c r="J1" s="354"/>
      <c r="K1" s="354"/>
      <c r="L1" s="354"/>
      <c r="M1" s="354"/>
      <c r="N1" s="354"/>
      <c r="O1" s="355"/>
      <c r="P1" s="304"/>
      <c r="Q1" s="304"/>
      <c r="R1" s="304"/>
      <c r="S1" s="304"/>
      <c r="T1" s="304"/>
      <c r="U1" s="304"/>
      <c r="V1" s="304"/>
      <c r="W1" s="304"/>
    </row>
    <row r="2" spans="1:23" ht="9" customHeight="1" thickBot="1" x14ac:dyDescent="0.25">
      <c r="A2" s="354"/>
      <c r="B2" s="354"/>
      <c r="C2" s="354"/>
      <c r="D2" s="354"/>
      <c r="E2" s="354"/>
      <c r="F2" s="354"/>
      <c r="G2" s="354"/>
      <c r="H2" s="354"/>
      <c r="I2" s="354"/>
      <c r="J2" s="354"/>
      <c r="K2" s="354"/>
      <c r="L2" s="354"/>
      <c r="M2" s="354"/>
      <c r="N2" s="354"/>
      <c r="O2" s="355"/>
      <c r="P2" s="304"/>
      <c r="Q2" s="304"/>
      <c r="R2" s="304"/>
      <c r="S2" s="304"/>
      <c r="T2" s="304"/>
      <c r="U2" s="304"/>
      <c r="V2" s="304"/>
      <c r="W2" s="304"/>
    </row>
    <row r="3" spans="1:23" x14ac:dyDescent="0.2">
      <c r="A3" s="356"/>
      <c r="B3" s="357"/>
      <c r="C3" s="357"/>
      <c r="D3" s="357"/>
      <c r="E3" s="358"/>
      <c r="F3" s="354"/>
      <c r="G3" s="356"/>
      <c r="H3" s="357"/>
      <c r="I3" s="357"/>
      <c r="J3" s="357"/>
      <c r="K3" s="357"/>
      <c r="L3" s="357"/>
      <c r="M3" s="357"/>
      <c r="N3" s="358"/>
      <c r="O3" s="355"/>
      <c r="P3" s="304"/>
      <c r="Q3" s="304"/>
      <c r="R3" s="304"/>
      <c r="S3" s="304"/>
      <c r="T3" s="304"/>
      <c r="U3" s="304"/>
      <c r="V3" s="304"/>
      <c r="W3" s="304"/>
    </row>
    <row r="4" spans="1:23" ht="15.75" x14ac:dyDescent="0.25">
      <c r="A4" s="359"/>
      <c r="B4" s="28" t="s">
        <v>159</v>
      </c>
      <c r="C4" s="304"/>
      <c r="D4" s="304"/>
      <c r="E4" s="309"/>
      <c r="F4" s="354"/>
      <c r="G4" s="359"/>
      <c r="H4" s="28" t="s">
        <v>160</v>
      </c>
      <c r="I4" s="304"/>
      <c r="J4" s="304"/>
      <c r="K4" s="304"/>
      <c r="L4" s="304"/>
      <c r="M4" s="304"/>
      <c r="N4" s="309"/>
      <c r="O4" s="355"/>
      <c r="P4" s="304"/>
      <c r="Q4" s="304"/>
      <c r="R4" s="304"/>
      <c r="S4" s="304"/>
      <c r="T4" s="304"/>
      <c r="U4" s="304"/>
      <c r="V4" s="304"/>
      <c r="W4" s="304"/>
    </row>
    <row r="5" spans="1:23" ht="59.1" customHeight="1" x14ac:dyDescent="0.2">
      <c r="A5" s="359"/>
      <c r="B5" s="217" t="s">
        <v>161</v>
      </c>
      <c r="C5" s="217"/>
      <c r="D5" s="217"/>
      <c r="E5" s="309"/>
      <c r="F5" s="354"/>
      <c r="G5" s="359"/>
      <c r="H5" s="442" t="s">
        <v>162</v>
      </c>
      <c r="I5" s="442"/>
      <c r="J5" s="442"/>
      <c r="K5" s="442"/>
      <c r="L5" s="442"/>
      <c r="M5" s="304"/>
      <c r="N5" s="309"/>
      <c r="O5" s="355"/>
      <c r="P5" s="304"/>
      <c r="Q5" s="304"/>
      <c r="R5" s="304"/>
      <c r="S5" s="442"/>
      <c r="T5" s="442"/>
      <c r="U5" s="442"/>
      <c r="V5" s="442"/>
      <c r="W5" s="442"/>
    </row>
    <row r="6" spans="1:23" ht="18.75" customHeight="1" x14ac:dyDescent="0.25">
      <c r="A6" s="359"/>
      <c r="B6" s="116" t="s">
        <v>163</v>
      </c>
      <c r="C6" s="119"/>
      <c r="D6" s="119"/>
      <c r="E6" s="309"/>
      <c r="F6" s="354"/>
      <c r="G6" s="359"/>
      <c r="H6" s="115" t="s">
        <v>164</v>
      </c>
      <c r="I6" s="360"/>
      <c r="J6" s="360"/>
      <c r="K6" s="360"/>
      <c r="L6" s="360"/>
      <c r="M6" s="304"/>
      <c r="N6" s="51"/>
      <c r="O6" s="355"/>
      <c r="P6" s="304"/>
      <c r="Q6" s="304"/>
      <c r="R6" s="304"/>
      <c r="S6" s="304"/>
      <c r="T6" s="304"/>
      <c r="U6" s="304"/>
      <c r="V6" s="304"/>
      <c r="W6" s="304"/>
    </row>
    <row r="7" spans="1:23" ht="30" customHeight="1" x14ac:dyDescent="0.25">
      <c r="A7" s="359"/>
      <c r="B7" s="114" t="s">
        <v>165</v>
      </c>
      <c r="C7" s="114"/>
      <c r="D7" s="114"/>
      <c r="E7" s="51"/>
      <c r="F7" s="52"/>
      <c r="G7" s="359"/>
      <c r="H7" s="27" t="s">
        <v>60</v>
      </c>
      <c r="I7" s="21" t="str">
        <f t="shared" ref="I7:L7" ca="1" si="0">IF(COLUMN()-COLUMN(OutputCosts_Start_Col)=0,"Tugboats",IF(COLUMN()-COLUMN(OutputCosts_Start_Col)=1,"Commercial Fishing Vessels",IF(COLUMN()-COLUMN(OutputCosts_Start_Col)=2,"Excursion",IF(COLUMN()-COLUMN(OutputCosts_Start_Col)=3,"Ferries",IF(OFFSET(Vessels_Start_Table,COLUMN()-COLUMN(OutputCosts_Start_Col)+1,0)="","Enter vessel class in (1) Vessel Inputs",OFFSET(Vessels_Start_Table,COLUMN()-COLUMN(OutputCosts_Start_Col)+1,0))))))</f>
        <v>Tugboats</v>
      </c>
      <c r="J7" s="21" t="str">
        <f t="shared" ca="1" si="0"/>
        <v>Commercial Fishing Vessels</v>
      </c>
      <c r="K7" s="21" t="str">
        <f t="shared" ca="1" si="0"/>
        <v>Excursion</v>
      </c>
      <c r="L7" s="21" t="str">
        <f t="shared" ca="1" si="0"/>
        <v>Ferries</v>
      </c>
      <c r="M7" s="22" t="s">
        <v>105</v>
      </c>
      <c r="N7" s="361"/>
      <c r="O7" s="355"/>
      <c r="P7" s="304"/>
      <c r="Q7" s="304"/>
      <c r="R7" s="304"/>
      <c r="S7" s="304"/>
      <c r="T7" s="304"/>
      <c r="U7" s="304"/>
      <c r="V7" s="304"/>
      <c r="W7" s="304"/>
    </row>
    <row r="8" spans="1:23" ht="16.5" customHeight="1" thickBot="1" x14ac:dyDescent="0.25">
      <c r="A8" s="359"/>
      <c r="B8" s="116" t="s">
        <v>166</v>
      </c>
      <c r="C8" s="114"/>
      <c r="D8" s="114"/>
      <c r="E8" s="309"/>
      <c r="F8" s="53"/>
      <c r="G8" s="362"/>
      <c r="H8" s="363" t="s">
        <v>167</v>
      </c>
      <c r="I8" s="364">
        <f ca="1">IF(I7=0,"",VLOOKUP($H8,Table_ComplCosts,MATCH(I$7,Row_ComplCosts,0),FALSE))</f>
        <v>0</v>
      </c>
      <c r="J8" s="364">
        <f t="shared" ref="J8:L8" ca="1" si="1">IF(J7=0,"",VLOOKUP($H8,Table_ComplCosts,MATCH(J$7,Row_ComplCosts,0),FALSE))</f>
        <v>0</v>
      </c>
      <c r="K8" s="364">
        <f t="shared" ca="1" si="1"/>
        <v>0</v>
      </c>
      <c r="L8" s="364">
        <f t="shared" ca="1" si="1"/>
        <v>0</v>
      </c>
      <c r="M8" s="365"/>
      <c r="N8" s="361"/>
      <c r="O8" s="355"/>
      <c r="P8" s="304"/>
      <c r="Q8" s="304"/>
      <c r="R8" s="304"/>
      <c r="S8" s="304"/>
      <c r="T8" s="304"/>
      <c r="U8" s="304"/>
      <c r="V8" s="304"/>
      <c r="W8" s="304"/>
    </row>
    <row r="9" spans="1:23" ht="16.5" customHeight="1" thickTop="1" x14ac:dyDescent="0.2">
      <c r="A9" s="359"/>
      <c r="B9" s="114" t="s">
        <v>168</v>
      </c>
      <c r="C9" s="114"/>
      <c r="D9" s="114"/>
      <c r="E9" s="309"/>
      <c r="F9" s="53"/>
      <c r="G9" s="362"/>
      <c r="H9" s="366" t="s">
        <v>169</v>
      </c>
      <c r="I9" s="364">
        <f t="shared" ref="I9:L9" ca="1" si="2">IF(I7=0,"",VLOOKUP($H9,Table_ComplCosts,MATCH(I$7,Row_ComplCosts,0),FALSE))</f>
        <v>0</v>
      </c>
      <c r="J9" s="364">
        <f t="shared" ca="1" si="2"/>
        <v>0</v>
      </c>
      <c r="K9" s="364">
        <f t="shared" ca="1" si="2"/>
        <v>0</v>
      </c>
      <c r="L9" s="364">
        <f t="shared" ca="1" si="2"/>
        <v>0</v>
      </c>
      <c r="M9" s="304"/>
      <c r="N9" s="361"/>
      <c r="O9" s="355"/>
      <c r="P9" s="304"/>
      <c r="Q9" s="304"/>
      <c r="R9" s="304"/>
      <c r="S9" s="304"/>
      <c r="T9" s="304"/>
      <c r="U9" s="304"/>
      <c r="V9" s="304"/>
      <c r="W9" s="304"/>
    </row>
    <row r="10" spans="1:23" ht="16.5" customHeight="1" thickBot="1" x14ac:dyDescent="0.25">
      <c r="A10" s="359"/>
      <c r="B10" s="304"/>
      <c r="C10" s="114"/>
      <c r="D10" s="114"/>
      <c r="E10" s="309"/>
      <c r="F10" s="354"/>
      <c r="G10" s="359"/>
      <c r="H10" s="367" t="s">
        <v>170</v>
      </c>
      <c r="I10" s="368">
        <f t="shared" ref="I10:L10" ca="1" si="3">IF(I7=0,"",VLOOKUP($H10,Table_ComplCosts,MATCH(I$7,Row_ComplCosts,0),FALSE))</f>
        <v>0</v>
      </c>
      <c r="J10" s="368">
        <f t="shared" ca="1" si="3"/>
        <v>0</v>
      </c>
      <c r="K10" s="368">
        <f t="shared" ca="1" si="3"/>
        <v>0</v>
      </c>
      <c r="L10" s="368">
        <f t="shared" ca="1" si="3"/>
        <v>0</v>
      </c>
      <c r="M10" s="304"/>
      <c r="N10" s="361"/>
      <c r="O10" s="355"/>
      <c r="P10" s="304"/>
      <c r="Q10" s="304"/>
      <c r="R10" s="304"/>
      <c r="S10" s="304"/>
      <c r="T10" s="304"/>
      <c r="U10" s="304"/>
      <c r="V10" s="304"/>
      <c r="W10" s="304"/>
    </row>
    <row r="11" spans="1:23" ht="16.5" customHeight="1" thickTop="1" thickBot="1" x14ac:dyDescent="0.3">
      <c r="A11" s="359"/>
      <c r="B11" s="20" t="s">
        <v>171</v>
      </c>
      <c r="C11" s="304"/>
      <c r="D11" s="304"/>
      <c r="E11" s="309"/>
      <c r="F11" s="354"/>
      <c r="G11" s="359"/>
      <c r="H11" s="121" t="s">
        <v>172</v>
      </c>
      <c r="I11" s="369" t="str">
        <f ca="1">IFERROR(IF(I8=0,"",IF(VLOOKUP(I$7,Table_Inputs_Costs,Col_Input_BslnCosts,FALSE)="",VLOOKUP(I$7,Table_Inputs_Costs,Col_Def_BslnCosts,FALSE),VLOOKUP(I$7,Table_Inputs_Costs,Col_Input_BslnCosts,FALSE))),"Unknown; user input required")</f>
        <v/>
      </c>
      <c r="J11" s="369" t="str">
        <f ca="1">IFERROR(IF(J8=0,"",IF(VLOOKUP(J$7,Table_Inputs_Costs,Col_Input_BslnCosts,FALSE)="",VLOOKUP(J$7,Table_Inputs_Costs,Col_Def_BslnCosts,FALSE),VLOOKUP(J$7,Table_Inputs_Costs,Col_Input_BslnCosts,FALSE))),"Unknown; user input required")</f>
        <v/>
      </c>
      <c r="K11" s="369" t="str">
        <f ca="1">IFERROR(IF(K8=0,"",IF(VLOOKUP(K$7,Table_Inputs_Costs,Col_Input_BslnCosts,FALSE)="",VLOOKUP(K$7,Table_Inputs_Costs,Col_Def_BslnCosts,FALSE),VLOOKUP(K$7,Table_Inputs_Costs,Col_Input_BslnCosts,FALSE))),"Unknown; user input required")</f>
        <v/>
      </c>
      <c r="L11" s="369" t="str">
        <f ca="1">IFERROR(IF(L8=0,"",IF(VLOOKUP(L$7,Table_Inputs_Costs,Col_Input_BslnCosts,FALSE)="",VLOOKUP(L$7,Table_Inputs_Costs,Col_Def_BslnCosts,FALSE),VLOOKUP(L$7,Table_Inputs_Costs,Col_Input_BslnCosts,FALSE))),"Unknown; user input required")</f>
        <v/>
      </c>
      <c r="M11" s="370"/>
      <c r="N11" s="361"/>
      <c r="O11" s="355"/>
      <c r="P11" s="304"/>
      <c r="Q11" s="304"/>
      <c r="R11" s="304"/>
      <c r="S11" s="304"/>
      <c r="T11" s="304"/>
      <c r="U11" s="304"/>
      <c r="V11" s="304"/>
      <c r="W11" s="304"/>
    </row>
    <row r="12" spans="1:23" ht="16.5" customHeight="1" thickTop="1" x14ac:dyDescent="0.25">
      <c r="A12" s="359"/>
      <c r="B12" s="203" t="s">
        <v>173</v>
      </c>
      <c r="C12" s="203" t="s">
        <v>174</v>
      </c>
      <c r="D12" s="203" t="s">
        <v>175</v>
      </c>
      <c r="E12" s="234" t="s">
        <v>176</v>
      </c>
      <c r="F12" s="354"/>
      <c r="G12" s="359"/>
      <c r="H12" s="363" t="s">
        <v>177</v>
      </c>
      <c r="I12" s="371" t="str">
        <f t="shared" ref="I12:L12" ca="1" si="4">IFERROR(IF(I$8=0,"",VLOOKUP($H12,Table_ComplCosts,MATCH(I$7,Row_ComplCosts,0),FALSE)),"Unknown; user input required")</f>
        <v/>
      </c>
      <c r="J12" s="371" t="str">
        <f t="shared" ca="1" si="4"/>
        <v/>
      </c>
      <c r="K12" s="371" t="str">
        <f t="shared" ca="1" si="4"/>
        <v/>
      </c>
      <c r="L12" s="371" t="str">
        <f t="shared" ca="1" si="4"/>
        <v/>
      </c>
      <c r="M12" s="372"/>
      <c r="N12" s="361"/>
      <c r="O12" s="355"/>
      <c r="P12" s="304"/>
      <c r="Q12" s="304"/>
      <c r="R12" s="304"/>
      <c r="S12" s="304"/>
      <c r="T12" s="304"/>
      <c r="U12" s="304"/>
      <c r="V12" s="304"/>
      <c r="W12" s="304"/>
    </row>
    <row r="13" spans="1:23" ht="16.5" customHeight="1" x14ac:dyDescent="0.25">
      <c r="A13" s="359"/>
      <c r="B13" s="202" t="s">
        <v>178</v>
      </c>
      <c r="C13" s="373">
        <f>IFERROR(SUM(Demand!G8:G12),"Unknown; user input required")</f>
        <v>0</v>
      </c>
      <c r="D13" s="373">
        <f>IFERROR(SUM(Demand!H8:H12),"Unknown; user input required")</f>
        <v>0</v>
      </c>
      <c r="E13" s="374">
        <f>D13-C13</f>
        <v>0</v>
      </c>
      <c r="F13" s="354"/>
      <c r="G13" s="359"/>
      <c r="H13" s="363" t="s">
        <v>179</v>
      </c>
      <c r="I13" s="371" t="str">
        <f t="shared" ref="I13:L13" ca="1" si="5">IFERROR(IF(I8=0,"",VLOOKUP($H13,Table_ComplCosts,MATCH(I$7,Row_ComplCosts,0),FALSE)),"Unknown; user input required")</f>
        <v/>
      </c>
      <c r="J13" s="371" t="str">
        <f t="shared" ca="1" si="5"/>
        <v/>
      </c>
      <c r="K13" s="371" t="str">
        <f t="shared" ca="1" si="5"/>
        <v/>
      </c>
      <c r="L13" s="371" t="str">
        <f t="shared" ca="1" si="5"/>
        <v/>
      </c>
      <c r="M13" s="371"/>
      <c r="N13" s="361"/>
      <c r="O13" s="355"/>
      <c r="P13" s="304"/>
      <c r="Q13" s="304"/>
      <c r="R13" s="304"/>
      <c r="S13" s="304"/>
      <c r="T13" s="304"/>
      <c r="U13" s="304"/>
      <c r="V13" s="304"/>
      <c r="W13" s="304"/>
    </row>
    <row r="14" spans="1:23" ht="16.5" customHeight="1" x14ac:dyDescent="0.25">
      <c r="A14" s="359"/>
      <c r="B14" s="204" t="s">
        <v>180</v>
      </c>
      <c r="C14" s="375">
        <f>IFERROR(MIN(Capacity!I15:T15),"Unknown; user input required")</f>
        <v>0</v>
      </c>
      <c r="D14" s="375">
        <f>IFERROR(MAX(Capacity!I17:T17),"Unknown; user input required")</f>
        <v>0</v>
      </c>
      <c r="E14" s="376">
        <f>D14-C14</f>
        <v>0</v>
      </c>
      <c r="F14" s="354"/>
      <c r="G14" s="359"/>
      <c r="H14" s="363" t="s">
        <v>181</v>
      </c>
      <c r="I14" s="371" t="str">
        <f t="shared" ref="I14:L14" ca="1" si="6">IFERROR(IF(I8=0,"",VLOOKUP($H14,Table_ComplCosts,MATCH(I$7,Row_ComplCosts,0),FALSE)),"Unknown; user input required")</f>
        <v/>
      </c>
      <c r="J14" s="371" t="str">
        <f t="shared" ca="1" si="6"/>
        <v/>
      </c>
      <c r="K14" s="371" t="str">
        <f t="shared" ca="1" si="6"/>
        <v/>
      </c>
      <c r="L14" s="371" t="str">
        <f t="shared" ca="1" si="6"/>
        <v/>
      </c>
      <c r="M14" s="371"/>
      <c r="N14" s="361"/>
      <c r="O14" s="355"/>
      <c r="P14" s="304"/>
      <c r="Q14" s="304"/>
      <c r="R14" s="304"/>
      <c r="S14" s="304"/>
      <c r="T14" s="304"/>
      <c r="U14" s="304"/>
      <c r="V14" s="304"/>
      <c r="W14" s="304"/>
    </row>
    <row r="15" spans="1:23" ht="16.5" customHeight="1" x14ac:dyDescent="0.2">
      <c r="A15" s="359"/>
      <c r="B15" s="304"/>
      <c r="C15" s="304"/>
      <c r="D15" s="304"/>
      <c r="E15" s="309"/>
      <c r="F15" s="354"/>
      <c r="G15" s="359"/>
      <c r="H15" s="363" t="s">
        <v>182</v>
      </c>
      <c r="I15" s="371" t="str">
        <f t="shared" ref="I15:L15" ca="1" si="7">IFERROR(IF(I8=0,"",VLOOKUP($H15,Table_ComplCosts,MATCH(I$7,Row_ComplCosts,0),FALSE)),"Unknown; user input required")</f>
        <v/>
      </c>
      <c r="J15" s="371" t="str">
        <f t="shared" ca="1" si="7"/>
        <v/>
      </c>
      <c r="K15" s="371" t="str">
        <f t="shared" ca="1" si="7"/>
        <v/>
      </c>
      <c r="L15" s="371" t="str">
        <f t="shared" ca="1" si="7"/>
        <v/>
      </c>
      <c r="M15" s="371"/>
      <c r="N15" s="361"/>
      <c r="O15" s="355"/>
      <c r="P15" s="304"/>
      <c r="Q15" s="304"/>
      <c r="R15" s="304"/>
      <c r="S15" s="304"/>
      <c r="T15" s="304"/>
      <c r="U15" s="304"/>
      <c r="V15" s="304"/>
      <c r="W15" s="304"/>
    </row>
    <row r="16" spans="1:23" ht="16.5" customHeight="1" x14ac:dyDescent="0.2">
      <c r="A16" s="359"/>
      <c r="B16" s="304"/>
      <c r="C16" s="304"/>
      <c r="D16" s="304"/>
      <c r="E16" s="309"/>
      <c r="F16" s="354"/>
      <c r="G16" s="359"/>
      <c r="H16" s="363" t="s">
        <v>183</v>
      </c>
      <c r="I16" s="371" t="str">
        <f t="shared" ref="I16:L16" ca="1" si="8">IFERROR(IF(I8=0,"",VLOOKUP($H16,Table_ComplCosts,MATCH(I$7,Row_ComplCosts,0),FALSE)),"Unknown; user input required")</f>
        <v/>
      </c>
      <c r="J16" s="371" t="str">
        <f t="shared" ca="1" si="8"/>
        <v/>
      </c>
      <c r="K16" s="371" t="str">
        <f t="shared" ca="1" si="8"/>
        <v/>
      </c>
      <c r="L16" s="371" t="str">
        <f t="shared" ca="1" si="8"/>
        <v/>
      </c>
      <c r="M16" s="371"/>
      <c r="N16" s="361"/>
      <c r="O16" s="355"/>
      <c r="P16" s="304"/>
      <c r="Q16" s="304"/>
      <c r="R16" s="304"/>
      <c r="S16" s="304"/>
      <c r="T16" s="304"/>
      <c r="U16" s="304"/>
      <c r="V16" s="304"/>
      <c r="W16" s="304"/>
    </row>
    <row r="17" spans="1:15" ht="16.5" customHeight="1" thickBot="1" x14ac:dyDescent="0.3">
      <c r="A17" s="359"/>
      <c r="B17" s="304"/>
      <c r="C17" s="304"/>
      <c r="D17" s="304"/>
      <c r="E17" s="309"/>
      <c r="F17" s="354"/>
      <c r="G17" s="359"/>
      <c r="H17" s="40" t="s">
        <v>184</v>
      </c>
      <c r="I17" s="377" t="str">
        <f t="shared" ref="I17:L17" ca="1" si="9">IF(I8=0,"",VLOOKUP($H17,Table_ComplCosts,MATCH(I$7,Row_ComplCosts,0),FALSE))</f>
        <v/>
      </c>
      <c r="J17" s="377" t="str">
        <f t="shared" ca="1" si="9"/>
        <v/>
      </c>
      <c r="K17" s="377" t="str">
        <f t="shared" ca="1" si="9"/>
        <v/>
      </c>
      <c r="L17" s="377" t="str">
        <f t="shared" ca="1" si="9"/>
        <v/>
      </c>
      <c r="M17" s="371"/>
      <c r="N17" s="361"/>
      <c r="O17" s="355"/>
    </row>
    <row r="18" spans="1:15" ht="16.5" customHeight="1" thickTop="1" thickBot="1" x14ac:dyDescent="0.3">
      <c r="A18" s="359"/>
      <c r="B18" s="304"/>
      <c r="C18" s="304"/>
      <c r="D18" s="304"/>
      <c r="E18" s="309"/>
      <c r="F18" s="354"/>
      <c r="G18" s="359"/>
      <c r="H18" s="124" t="s">
        <v>185</v>
      </c>
      <c r="I18" s="378" t="str">
        <f ca="1">IFERROR(IF(I9=0,"",I16/I11),"User input(s) missing")</f>
        <v/>
      </c>
      <c r="J18" s="378" t="str">
        <f ca="1">IFERROR(IF(J9=0,"",J16/J11),"User input(s) missing")</f>
        <v/>
      </c>
      <c r="K18" s="378" t="str">
        <f t="shared" ref="K18:L18" ca="1" si="10">IFERROR(IF(K9=0,"",K16/K11),"User input(s) missing")</f>
        <v/>
      </c>
      <c r="L18" s="378" t="str">
        <f t="shared" ca="1" si="10"/>
        <v/>
      </c>
      <c r="M18" s="377"/>
      <c r="N18" s="361"/>
      <c r="O18" s="355"/>
    </row>
    <row r="19" spans="1:15" ht="16.5" customHeight="1" thickTop="1" thickBot="1" x14ac:dyDescent="0.3">
      <c r="A19" s="359"/>
      <c r="B19" s="304"/>
      <c r="C19" s="304"/>
      <c r="D19" s="304"/>
      <c r="E19" s="309"/>
      <c r="F19" s="354"/>
      <c r="G19" s="359"/>
      <c r="H19" s="125" t="s">
        <v>186</v>
      </c>
      <c r="I19" s="379" t="str">
        <f ca="1">IFERROR(IF(I10=0,"",I17/I11),"User input(s) missing")</f>
        <v/>
      </c>
      <c r="J19" s="379" t="str">
        <f ca="1">IFERROR(IF(J10=0,"",J17/J11),"User input(s) missing")</f>
        <v/>
      </c>
      <c r="K19" s="379" t="str">
        <f t="shared" ref="K19:L19" ca="1" si="11">IFERROR(IF(K10=0,"",K17/K11),"User input(s) missing")</f>
        <v/>
      </c>
      <c r="L19" s="379" t="str">
        <f t="shared" ca="1" si="11"/>
        <v/>
      </c>
      <c r="M19" s="380"/>
      <c r="N19" s="361"/>
      <c r="O19" s="355"/>
    </row>
    <row r="20" spans="1:15" ht="15.75" thickTop="1" thickBot="1" x14ac:dyDescent="0.25">
      <c r="A20" s="359"/>
      <c r="B20" s="304"/>
      <c r="C20" s="304"/>
      <c r="D20" s="304"/>
      <c r="E20" s="309"/>
      <c r="F20" s="354"/>
      <c r="G20" s="359"/>
      <c r="H20" s="298"/>
      <c r="I20" s="381"/>
      <c r="J20" s="381"/>
      <c r="K20" s="381"/>
      <c r="L20" s="381"/>
      <c r="M20" s="304"/>
      <c r="N20" s="309"/>
      <c r="O20" s="355"/>
    </row>
    <row r="21" spans="1:15" ht="15.75" thickTop="1" thickBot="1" x14ac:dyDescent="0.25">
      <c r="A21" s="359"/>
      <c r="B21" s="304"/>
      <c r="C21" s="304"/>
      <c r="D21" s="304"/>
      <c r="E21" s="309"/>
      <c r="F21" s="354"/>
      <c r="G21" s="359"/>
      <c r="H21" s="298"/>
      <c r="I21" s="381"/>
      <c r="J21" s="381"/>
      <c r="K21" s="381"/>
      <c r="L21" s="381"/>
      <c r="M21" s="372"/>
      <c r="N21" s="309"/>
      <c r="O21" s="355"/>
    </row>
    <row r="22" spans="1:15" ht="46.5" customHeight="1" x14ac:dyDescent="0.2">
      <c r="A22" s="359"/>
      <c r="B22" s="304"/>
      <c r="C22" s="304"/>
      <c r="D22" s="304"/>
      <c r="E22" s="309"/>
      <c r="F22" s="354"/>
      <c r="G22" s="359"/>
      <c r="H22" s="220" t="s">
        <v>187</v>
      </c>
      <c r="I22" s="382"/>
      <c r="J22" s="382"/>
      <c r="K22" s="382"/>
      <c r="L22" s="382"/>
      <c r="M22" s="371"/>
      <c r="N22" s="309"/>
      <c r="O22" s="355"/>
    </row>
    <row r="23" spans="1:15" ht="8.4499999999999993" customHeight="1" x14ac:dyDescent="0.2">
      <c r="A23" s="359"/>
      <c r="B23" s="304"/>
      <c r="C23" s="304"/>
      <c r="D23" s="304"/>
      <c r="E23" s="309"/>
      <c r="F23" s="354"/>
      <c r="G23" s="359"/>
      <c r="H23" s="221"/>
      <c r="I23" s="383"/>
      <c r="J23" s="383"/>
      <c r="K23" s="383"/>
      <c r="L23" s="383"/>
      <c r="M23" s="304"/>
      <c r="N23" s="309"/>
      <c r="O23" s="355"/>
    </row>
    <row r="24" spans="1:15" ht="10.5" hidden="1" customHeight="1" thickBot="1" x14ac:dyDescent="0.25">
      <c r="A24" s="359"/>
      <c r="B24" s="304"/>
      <c r="C24" s="304"/>
      <c r="D24" s="304"/>
      <c r="E24" s="309"/>
      <c r="F24" s="354"/>
      <c r="G24" s="359"/>
      <c r="H24" s="221"/>
      <c r="I24" s="323"/>
      <c r="J24" s="323"/>
      <c r="K24" s="323"/>
      <c r="L24" s="323"/>
      <c r="M24" s="384"/>
      <c r="N24" s="309"/>
      <c r="O24" s="355"/>
    </row>
    <row r="25" spans="1:15" ht="28.5" x14ac:dyDescent="0.2">
      <c r="A25" s="359"/>
      <c r="B25" s="304"/>
      <c r="C25" s="304"/>
      <c r="D25" s="304"/>
      <c r="E25" s="309"/>
      <c r="F25" s="354"/>
      <c r="G25" s="359"/>
      <c r="H25" s="205" t="s">
        <v>188</v>
      </c>
      <c r="I25" s="304"/>
      <c r="J25" s="304"/>
      <c r="K25" s="304"/>
      <c r="L25" s="304"/>
      <c r="M25" s="323"/>
      <c r="N25" s="309"/>
      <c r="O25" s="355"/>
    </row>
    <row r="26" spans="1:15" ht="41.1" customHeight="1" x14ac:dyDescent="0.25">
      <c r="A26" s="359"/>
      <c r="B26" s="304"/>
      <c r="C26" s="304"/>
      <c r="D26" s="304"/>
      <c r="E26" s="309"/>
      <c r="F26" s="354"/>
      <c r="G26" s="359"/>
      <c r="H26" s="222" t="s">
        <v>189</v>
      </c>
      <c r="I26" s="24"/>
      <c r="J26" s="24"/>
      <c r="K26" s="24"/>
      <c r="L26" s="304"/>
      <c r="M26" s="304"/>
      <c r="N26" s="309"/>
      <c r="O26" s="355"/>
    </row>
    <row r="27" spans="1:15" ht="1.5" customHeight="1" x14ac:dyDescent="0.2">
      <c r="A27" s="359"/>
      <c r="B27" s="304"/>
      <c r="C27" s="304"/>
      <c r="D27" s="304"/>
      <c r="E27" s="309"/>
      <c r="F27" s="354"/>
      <c r="G27" s="359"/>
      <c r="H27" s="222"/>
      <c r="I27" s="304"/>
      <c r="J27" s="304"/>
      <c r="K27" s="304"/>
      <c r="L27" s="304"/>
      <c r="M27" s="304"/>
      <c r="N27" s="309"/>
      <c r="O27" s="355"/>
    </row>
    <row r="28" spans="1:15" ht="14.1" customHeight="1" x14ac:dyDescent="0.2">
      <c r="A28" s="359"/>
      <c r="B28" s="304"/>
      <c r="C28" s="304"/>
      <c r="D28" s="304"/>
      <c r="E28" s="309"/>
      <c r="F28" s="354"/>
      <c r="G28" s="359"/>
      <c r="H28" s="222"/>
      <c r="I28" s="304"/>
      <c r="J28" s="304"/>
      <c r="K28" s="304"/>
      <c r="L28" s="304"/>
      <c r="M28" s="304"/>
      <c r="N28" s="309"/>
      <c r="O28" s="355"/>
    </row>
    <row r="29" spans="1:15" ht="2.1" customHeight="1" x14ac:dyDescent="0.2">
      <c r="A29" s="359"/>
      <c r="B29" s="304"/>
      <c r="C29" s="304"/>
      <c r="D29" s="304"/>
      <c r="E29" s="309"/>
      <c r="F29" s="354"/>
      <c r="G29" s="359"/>
      <c r="H29" s="222"/>
      <c r="I29" s="304"/>
      <c r="J29" s="304"/>
      <c r="K29" s="304"/>
      <c r="L29" s="304"/>
      <c r="M29" s="304"/>
      <c r="N29" s="309"/>
      <c r="O29" s="355"/>
    </row>
    <row r="30" spans="1:15" ht="14.1" customHeight="1" thickBot="1" x14ac:dyDescent="0.25">
      <c r="A30" s="359"/>
      <c r="B30" s="304"/>
      <c r="C30" s="304"/>
      <c r="D30" s="304"/>
      <c r="E30" s="309"/>
      <c r="F30" s="354"/>
      <c r="G30" s="359"/>
      <c r="H30" s="223"/>
      <c r="I30" s="304"/>
      <c r="J30" s="304"/>
      <c r="K30" s="304"/>
      <c r="L30" s="304"/>
      <c r="M30" s="304"/>
      <c r="N30" s="309"/>
      <c r="O30" s="355"/>
    </row>
    <row r="31" spans="1:15" ht="14.25" hidden="1" customHeight="1" x14ac:dyDescent="0.2">
      <c r="A31" s="359"/>
      <c r="B31" s="304" t="s">
        <v>190</v>
      </c>
      <c r="C31" s="304">
        <f>ROUNDUP(MAX(D13:D14)/100000,0)*100000</f>
        <v>0</v>
      </c>
      <c r="D31" s="304"/>
      <c r="E31" s="309"/>
      <c r="F31" s="354"/>
      <c r="G31" s="359"/>
      <c r="H31" s="122"/>
      <c r="I31" s="304"/>
      <c r="J31" s="304"/>
      <c r="K31" s="304"/>
      <c r="L31" s="304"/>
      <c r="M31" s="304"/>
      <c r="N31" s="309"/>
      <c r="O31" s="355"/>
    </row>
    <row r="32" spans="1:15" ht="12.95" hidden="1" customHeight="1" x14ac:dyDescent="0.2">
      <c r="A32" s="359"/>
      <c r="B32" s="304" t="s">
        <v>191</v>
      </c>
      <c r="C32" s="304">
        <v>0</v>
      </c>
      <c r="D32" s="304"/>
      <c r="E32" s="309"/>
      <c r="F32" s="354"/>
      <c r="G32" s="359"/>
      <c r="H32" s="122"/>
      <c r="I32" s="304"/>
      <c r="J32" s="304"/>
      <c r="K32" s="304"/>
      <c r="L32" s="304"/>
      <c r="M32" s="304"/>
      <c r="N32" s="309"/>
      <c r="O32" s="355"/>
    </row>
    <row r="33" spans="1:15" ht="32.1" customHeight="1" x14ac:dyDescent="0.2">
      <c r="A33" s="359"/>
      <c r="B33" s="218" t="s">
        <v>192</v>
      </c>
      <c r="C33" s="218"/>
      <c r="D33" s="218"/>
      <c r="E33" s="309"/>
      <c r="F33" s="354"/>
      <c r="G33" s="359"/>
      <c r="H33" s="122"/>
      <c r="I33" s="304"/>
      <c r="J33" s="304"/>
      <c r="K33" s="304"/>
      <c r="L33" s="304"/>
      <c r="M33" s="304"/>
      <c r="N33" s="309"/>
      <c r="O33" s="355"/>
    </row>
    <row r="34" spans="1:15" ht="75" customHeight="1" x14ac:dyDescent="0.2">
      <c r="A34" s="359"/>
      <c r="B34" s="219" t="s">
        <v>193</v>
      </c>
      <c r="C34" s="219"/>
      <c r="D34" s="219"/>
      <c r="E34" s="309"/>
      <c r="F34" s="354"/>
      <c r="G34" s="359"/>
      <c r="H34" s="123"/>
      <c r="I34" s="304"/>
      <c r="J34" s="304"/>
      <c r="K34" s="304"/>
      <c r="L34" s="304"/>
      <c r="M34" s="304"/>
      <c r="N34" s="309"/>
      <c r="O34" s="355"/>
    </row>
    <row r="35" spans="1:15" ht="22.5" customHeight="1" x14ac:dyDescent="0.2">
      <c r="A35" s="359"/>
      <c r="B35" s="219"/>
      <c r="C35" s="219"/>
      <c r="D35" s="219"/>
      <c r="E35" s="309"/>
      <c r="F35" s="354"/>
      <c r="G35" s="359"/>
      <c r="H35" s="304"/>
      <c r="I35" s="304"/>
      <c r="J35" s="304"/>
      <c r="K35" s="304"/>
      <c r="L35" s="304"/>
      <c r="M35" s="304"/>
      <c r="N35" s="309"/>
      <c r="O35" s="355"/>
    </row>
    <row r="36" spans="1:15" ht="14.25" customHeight="1" x14ac:dyDescent="0.25">
      <c r="A36" s="359"/>
      <c r="B36" s="115" t="s">
        <v>194</v>
      </c>
      <c r="C36" s="304"/>
      <c r="D36" s="304"/>
      <c r="E36" s="309"/>
      <c r="F36" s="354"/>
      <c r="G36" s="359"/>
      <c r="H36" s="441"/>
      <c r="I36" s="304"/>
      <c r="J36" s="304"/>
      <c r="K36" s="304"/>
      <c r="L36" s="304"/>
      <c r="M36" s="304"/>
      <c r="N36" s="309"/>
      <c r="O36" s="355"/>
    </row>
    <row r="37" spans="1:15" ht="14.1" customHeight="1" x14ac:dyDescent="0.25">
      <c r="A37" s="359"/>
      <c r="B37" s="207" t="s">
        <v>173</v>
      </c>
      <c r="C37" s="208" t="s">
        <v>195</v>
      </c>
      <c r="D37" s="304"/>
      <c r="E37" s="309"/>
      <c r="F37" s="354"/>
      <c r="G37" s="359"/>
      <c r="H37" s="441"/>
      <c r="I37" s="304"/>
      <c r="J37" s="304"/>
      <c r="K37" s="304"/>
      <c r="L37" s="304"/>
      <c r="M37" s="304"/>
      <c r="N37" s="309"/>
      <c r="O37" s="355"/>
    </row>
    <row r="38" spans="1:15" ht="14.1" customHeight="1" x14ac:dyDescent="0.25">
      <c r="A38" s="359"/>
      <c r="B38" s="206" t="s">
        <v>196</v>
      </c>
      <c r="C38" s="385">
        <f ca="1">IF(ISERROR(SEARCH("Unknown",_xlfn.CONCAT('Demand Scenario'!C6:H378))),MIN('Demand Scenario'!I14:I378),"User input(s) missing")</f>
        <v>0</v>
      </c>
      <c r="D38" s="304"/>
      <c r="E38" s="309"/>
      <c r="F38" s="354"/>
      <c r="G38" s="359"/>
      <c r="H38" s="441"/>
      <c r="I38" s="304"/>
      <c r="J38" s="304"/>
      <c r="K38" s="304"/>
      <c r="L38" s="304"/>
      <c r="M38" s="304"/>
      <c r="N38" s="309"/>
      <c r="O38" s="355"/>
    </row>
    <row r="39" spans="1:15" ht="14.1" customHeight="1" x14ac:dyDescent="0.25">
      <c r="A39" s="359"/>
      <c r="B39" s="206" t="s">
        <v>197</v>
      </c>
      <c r="C39" s="386">
        <f ca="1">IF(ISERROR(SEARCH("Unknown",_xlfn.CONCAT('Demand Scenario'!C6:H378))),MAX('Demand Scenario'!I14:I378),"User input(s) missing")</f>
        <v>0</v>
      </c>
      <c r="D39" s="304"/>
      <c r="E39" s="309"/>
      <c r="F39" s="354"/>
      <c r="G39" s="359"/>
      <c r="H39" s="441"/>
      <c r="I39" s="304"/>
      <c r="J39" s="304"/>
      <c r="K39" s="304"/>
      <c r="L39" s="304"/>
      <c r="M39" s="304"/>
      <c r="N39" s="309"/>
      <c r="O39" s="355"/>
    </row>
    <row r="40" spans="1:15" ht="14.1" customHeight="1" x14ac:dyDescent="0.25">
      <c r="A40" s="359"/>
      <c r="B40" s="206" t="s">
        <v>198</v>
      </c>
      <c r="C40" s="387">
        <f ca="1">IF(C38="User input(s) missing","User input(s) missing",COUNTIF('Demand Scenario'!L$14:L$378,"Y")/365)</f>
        <v>1</v>
      </c>
      <c r="D40" s="304"/>
      <c r="E40" s="309"/>
      <c r="F40" s="354"/>
      <c r="G40" s="359"/>
      <c r="H40" s="441"/>
      <c r="I40" s="304"/>
      <c r="J40" s="304"/>
      <c r="K40" s="304"/>
      <c r="L40" s="304"/>
      <c r="M40" s="304"/>
      <c r="N40" s="309"/>
      <c r="O40" s="355"/>
    </row>
    <row r="41" spans="1:15" ht="14.1" customHeight="1" x14ac:dyDescent="0.25">
      <c r="A41" s="359"/>
      <c r="B41" s="206" t="s">
        <v>199</v>
      </c>
      <c r="C41" s="387">
        <f ca="1">IF(C39="User input(s) missing","User input(s) missing",COUNTIF('Demand Scenario'!M$14:M$378,"Y")/365)</f>
        <v>1</v>
      </c>
      <c r="D41" s="304"/>
      <c r="E41" s="309"/>
      <c r="F41" s="354"/>
      <c r="G41" s="359"/>
      <c r="H41" s="441"/>
      <c r="I41" s="304"/>
      <c r="J41" s="218"/>
      <c r="K41" s="218"/>
      <c r="L41" s="218"/>
      <c r="M41" s="304"/>
      <c r="N41" s="309"/>
      <c r="O41" s="355"/>
    </row>
    <row r="42" spans="1:15" ht="49.5" customHeight="1" thickBot="1" x14ac:dyDescent="0.25">
      <c r="A42" s="359"/>
      <c r="B42" s="304"/>
      <c r="C42" s="304"/>
      <c r="D42" s="304"/>
      <c r="E42" s="309"/>
      <c r="F42" s="354"/>
      <c r="G42" s="359"/>
      <c r="H42" s="304"/>
      <c r="I42" s="218" t="s">
        <v>200</v>
      </c>
      <c r="J42" s="218"/>
      <c r="K42" s="218"/>
      <c r="L42" s="218"/>
      <c r="M42" s="304"/>
      <c r="N42" s="309"/>
      <c r="O42" s="355"/>
    </row>
    <row r="43" spans="1:15" ht="14.45" customHeight="1" thickBot="1" x14ac:dyDescent="0.3">
      <c r="A43" s="359"/>
      <c r="B43" s="34" t="s">
        <v>201</v>
      </c>
      <c r="C43" s="304"/>
      <c r="D43" s="304"/>
      <c r="E43" s="309"/>
      <c r="F43" s="354"/>
      <c r="G43" s="359"/>
      <c r="H43" s="54" t="s">
        <v>201</v>
      </c>
      <c r="I43" s="218"/>
      <c r="J43" s="218"/>
      <c r="K43" s="218"/>
      <c r="L43" s="218"/>
      <c r="M43" s="304"/>
      <c r="N43" s="309"/>
      <c r="O43" s="355"/>
    </row>
    <row r="44" spans="1:15" ht="15" thickBot="1" x14ac:dyDescent="0.25">
      <c r="A44" s="359"/>
      <c r="B44" s="388" t="str">
        <f>IFERROR(IF(D14&lt;C13,"Insufficient Capacity","Move on to cost analysis"),"Unknown; user input required")</f>
        <v>Move on to cost analysis</v>
      </c>
      <c r="C44" s="304"/>
      <c r="D44" s="304"/>
      <c r="E44" s="309"/>
      <c r="F44" s="354"/>
      <c r="G44" s="359"/>
      <c r="H44" s="389"/>
      <c r="I44" s="304"/>
      <c r="J44" s="304"/>
      <c r="K44" s="304"/>
      <c r="L44" s="304"/>
      <c r="M44" s="304"/>
      <c r="N44" s="309"/>
      <c r="O44" s="355"/>
    </row>
    <row r="45" spans="1:15" x14ac:dyDescent="0.2">
      <c r="A45" s="359"/>
      <c r="B45" s="304"/>
      <c r="C45" s="304"/>
      <c r="D45" s="304"/>
      <c r="E45" s="309"/>
      <c r="F45" s="354"/>
      <c r="G45" s="359"/>
      <c r="H45" s="304"/>
      <c r="I45" s="304"/>
      <c r="J45" s="304"/>
      <c r="K45" s="304"/>
      <c r="L45" s="304"/>
      <c r="M45" s="304"/>
      <c r="N45" s="309"/>
      <c r="O45" s="355"/>
    </row>
    <row r="46" spans="1:15" ht="15" thickBot="1" x14ac:dyDescent="0.25">
      <c r="A46" s="390"/>
      <c r="B46" s="329"/>
      <c r="C46" s="329"/>
      <c r="D46" s="329"/>
      <c r="E46" s="330"/>
      <c r="F46" s="354"/>
      <c r="G46" s="390"/>
      <c r="H46" s="329"/>
      <c r="I46" s="329"/>
      <c r="J46" s="329"/>
      <c r="K46" s="329"/>
      <c r="L46" s="329"/>
      <c r="M46" s="329"/>
      <c r="N46" s="330"/>
      <c r="O46" s="355"/>
    </row>
    <row r="47" spans="1:15" ht="17.45" customHeight="1" thickBot="1" x14ac:dyDescent="0.25">
      <c r="A47" s="391"/>
      <c r="B47" s="391"/>
      <c r="C47" s="391"/>
      <c r="D47" s="391"/>
      <c r="E47" s="391"/>
      <c r="F47" s="391"/>
      <c r="G47" s="391"/>
      <c r="H47" s="391"/>
      <c r="I47" s="391"/>
      <c r="J47" s="391"/>
      <c r="K47" s="391"/>
      <c r="L47" s="391"/>
      <c r="M47" s="391"/>
      <c r="N47" s="391"/>
      <c r="O47" s="392"/>
    </row>
    <row r="48" spans="1:15" ht="17.45" customHeight="1" x14ac:dyDescent="0.2">
      <c r="A48" s="304"/>
      <c r="B48" s="304"/>
      <c r="C48" s="304"/>
      <c r="D48" s="304"/>
      <c r="E48" s="304"/>
      <c r="F48" s="304"/>
      <c r="G48" s="304"/>
      <c r="H48" s="304"/>
      <c r="I48" s="304"/>
      <c r="J48" s="304"/>
      <c r="K48" s="304"/>
      <c r="L48" s="304"/>
      <c r="M48" s="304"/>
      <c r="N48" s="304"/>
      <c r="O48" s="304"/>
    </row>
  </sheetData>
  <mergeCells count="3">
    <mergeCell ref="H36:H41"/>
    <mergeCell ref="S5:W5"/>
    <mergeCell ref="H5:L5"/>
  </mergeCells>
  <conditionalFormatting sqref="B44">
    <cfRule type="cellIs" dxfId="113" priority="214" operator="equal">
      <formula>"Unknown; user input required"</formula>
    </cfRule>
    <cfRule type="cellIs" dxfId="112" priority="215" operator="equal">
      <formula>"Move on to cost analysis"</formula>
    </cfRule>
    <cfRule type="cellIs" dxfId="111" priority="216" operator="equal">
      <formula>"Insufficient Capacity"</formula>
    </cfRule>
  </conditionalFormatting>
  <conditionalFormatting sqref="I7:M7">
    <cfRule type="expression" dxfId="110" priority="553">
      <formula>I$7="Enter vessel class in (1) Vessel Inputs"</formula>
    </cfRule>
  </conditionalFormatting>
  <conditionalFormatting sqref="M24 I23:L23 M8:M22 I20:L21 I8:L18">
    <cfRule type="expression" dxfId="109" priority="122">
      <formula>NOT(ISNUMBER(I8))</formula>
    </cfRule>
  </conditionalFormatting>
  <conditionalFormatting sqref="I19:L19">
    <cfRule type="expression" dxfId="108" priority="71">
      <formula>NOT(ISNUMBER(I19))</formula>
    </cfRule>
  </conditionalFormatting>
  <conditionalFormatting sqref="C38:C41">
    <cfRule type="expression" dxfId="107" priority="1211">
      <formula>NOT(ISNUMBER($C38))</formula>
    </cfRule>
  </conditionalFormatting>
  <pageMargins left="0.7" right="0.7" top="0.75" bottom="0.75" header="0.3" footer="0.3"/>
  <pageSetup orientation="portrait" r:id="rId1"/>
  <drawing r:id="rId2"/>
  <tableParts count="2">
    <tablePart r:id="rId3"/>
    <tablePart r:id="rId4"/>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8AD00C-54B4-44A8-A3C2-667863052DD0}">
  <sheetPr codeName="Sheet12">
    <tabColor theme="5" tint="0.59999389629810485"/>
  </sheetPr>
  <dimension ref="A1:L6"/>
  <sheetViews>
    <sheetView showGridLines="0" workbookViewId="0"/>
  </sheetViews>
  <sheetFormatPr defaultRowHeight="15" x14ac:dyDescent="0.25"/>
  <cols>
    <col min="11" max="11" width="12" customWidth="1"/>
    <col min="12" max="12" width="6.140625" customWidth="1"/>
  </cols>
  <sheetData>
    <row r="1" spans="1:12" ht="18.75" x14ac:dyDescent="0.3">
      <c r="A1" s="9" t="s">
        <v>202</v>
      </c>
      <c r="B1" s="62"/>
      <c r="C1" s="62"/>
      <c r="D1" s="62"/>
      <c r="E1" s="62"/>
      <c r="F1" s="62"/>
      <c r="G1" s="62"/>
      <c r="H1" s="62"/>
      <c r="I1" s="62"/>
      <c r="J1" s="62"/>
      <c r="K1" s="62"/>
      <c r="L1" s="63"/>
    </row>
    <row r="2" spans="1:12" ht="11.45" customHeight="1" x14ac:dyDescent="0.3">
      <c r="A2" s="9"/>
      <c r="B2" s="62"/>
      <c r="C2" s="62"/>
      <c r="D2" s="62"/>
      <c r="E2" s="62"/>
      <c r="F2" s="62"/>
      <c r="G2" s="62"/>
      <c r="H2" s="62"/>
      <c r="I2" s="62"/>
      <c r="J2" s="62"/>
      <c r="K2" s="62"/>
      <c r="L2" s="63"/>
    </row>
    <row r="3" spans="1:12" ht="35.1" customHeight="1" x14ac:dyDescent="0.25">
      <c r="A3" s="225" t="s">
        <v>203</v>
      </c>
      <c r="B3" s="225"/>
      <c r="C3" s="225"/>
      <c r="D3" s="225"/>
      <c r="E3" s="225"/>
      <c r="F3" s="225"/>
      <c r="G3" s="225"/>
      <c r="H3" s="225"/>
      <c r="I3" s="225"/>
      <c r="J3" s="225"/>
      <c r="K3" s="225"/>
      <c r="L3" s="63"/>
    </row>
    <row r="4" spans="1:12" ht="10.5" customHeight="1" x14ac:dyDescent="0.25">
      <c r="A4" s="62"/>
      <c r="B4" s="62"/>
      <c r="C4" s="62"/>
      <c r="D4" s="62"/>
      <c r="E4" s="62"/>
      <c r="F4" s="62"/>
      <c r="G4" s="62"/>
      <c r="H4" s="62"/>
      <c r="I4" s="62"/>
      <c r="J4" s="62"/>
      <c r="K4" s="62"/>
      <c r="L4" s="63"/>
    </row>
    <row r="5" spans="1:12" ht="57.6" customHeight="1" x14ac:dyDescent="0.25">
      <c r="A5" s="226" t="s">
        <v>204</v>
      </c>
      <c r="B5" s="226"/>
      <c r="C5" s="226"/>
      <c r="D5" s="226"/>
      <c r="E5" s="226"/>
      <c r="F5" s="226"/>
      <c r="G5" s="226"/>
      <c r="H5" s="226"/>
      <c r="I5" s="226"/>
      <c r="J5" s="226"/>
      <c r="K5" s="226"/>
      <c r="L5" s="63"/>
    </row>
    <row r="6" spans="1:12" ht="15.75" thickBot="1" x14ac:dyDescent="0.3">
      <c r="A6" s="64"/>
      <c r="B6" s="64"/>
      <c r="C6" s="64"/>
      <c r="D6" s="64"/>
      <c r="E6" s="64"/>
      <c r="F6" s="64"/>
      <c r="G6" s="64"/>
      <c r="H6" s="64"/>
      <c r="I6" s="64"/>
      <c r="J6" s="64"/>
      <c r="K6" s="64"/>
      <c r="L6" s="65"/>
    </row>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83F57-A230-43F5-9CBF-636F267497EE}">
  <sheetPr codeName="Sheet13">
    <tabColor theme="5" tint="0.59999389629810485"/>
  </sheetPr>
  <dimension ref="A1:I37"/>
  <sheetViews>
    <sheetView showGridLines="0" zoomScale="90" zoomScaleNormal="90" workbookViewId="0">
      <selection activeCell="A12" sqref="A12"/>
    </sheetView>
  </sheetViews>
  <sheetFormatPr defaultColWidth="8.85546875" defaultRowHeight="14.25" x14ac:dyDescent="0.2"/>
  <cols>
    <col min="1" max="8" width="25.5703125" style="31" customWidth="1"/>
    <col min="9" max="9" width="11.5703125" style="31" hidden="1" customWidth="1"/>
    <col min="10" max="16384" width="8.85546875" style="31"/>
  </cols>
  <sheetData>
    <row r="1" spans="1:9" ht="18" x14ac:dyDescent="0.25">
      <c r="A1" s="43" t="s">
        <v>205</v>
      </c>
      <c r="B1"/>
      <c r="C1"/>
      <c r="D1"/>
      <c r="E1"/>
      <c r="F1"/>
      <c r="G1"/>
      <c r="H1"/>
      <c r="I1" s="304"/>
    </row>
    <row r="2" spans="1:9" ht="15" x14ac:dyDescent="0.25">
      <c r="A2" s="20"/>
      <c r="B2" s="304"/>
      <c r="C2" s="304"/>
      <c r="D2" s="304"/>
      <c r="E2" s="304"/>
      <c r="F2" s="304"/>
      <c r="G2" s="304"/>
      <c r="H2" s="304"/>
      <c r="I2" s="304"/>
    </row>
    <row r="3" spans="1:9" ht="30.6" customHeight="1" x14ac:dyDescent="0.2">
      <c r="A3" s="224" t="s">
        <v>206</v>
      </c>
      <c r="B3" s="224"/>
      <c r="C3" s="224"/>
      <c r="D3" s="224"/>
      <c r="E3" s="224"/>
      <c r="F3" s="224"/>
      <c r="G3" s="224"/>
      <c r="H3" s="224"/>
      <c r="I3" s="304"/>
    </row>
    <row r="4" spans="1:9" ht="8.4499999999999993" customHeight="1" x14ac:dyDescent="0.2">
      <c r="A4" s="140"/>
      <c r="B4" s="140"/>
      <c r="C4" s="140"/>
      <c r="D4" s="140"/>
      <c r="E4" s="140"/>
      <c r="F4" s="140"/>
      <c r="G4" s="140"/>
      <c r="H4" s="140"/>
      <c r="I4" s="304"/>
    </row>
    <row r="5" spans="1:9" ht="15" x14ac:dyDescent="0.25">
      <c r="A5" s="20"/>
      <c r="B5" s="304"/>
      <c r="C5" s="304"/>
      <c r="D5" s="304"/>
      <c r="E5" s="304"/>
      <c r="F5" s="304"/>
      <c r="G5" s="304"/>
      <c r="H5" s="304"/>
      <c r="I5" s="304"/>
    </row>
    <row r="6" spans="1:9" hidden="1" x14ac:dyDescent="0.2">
      <c r="A6" s="35">
        <f>COLUMN()</f>
        <v>1</v>
      </c>
      <c r="B6" s="35">
        <f>COLUMN()</f>
        <v>2</v>
      </c>
      <c r="C6" s="35">
        <f>COLUMN()</f>
        <v>3</v>
      </c>
      <c r="D6" s="35">
        <f>COLUMN()</f>
        <v>4</v>
      </c>
      <c r="E6" s="35">
        <f>COLUMN()</f>
        <v>5</v>
      </c>
      <c r="F6" s="35">
        <f>COLUMN()</f>
        <v>6</v>
      </c>
      <c r="G6" s="35">
        <f>COLUMN()</f>
        <v>7</v>
      </c>
      <c r="H6" s="35">
        <f>COLUMN()</f>
        <v>8</v>
      </c>
      <c r="I6" s="304"/>
    </row>
    <row r="7" spans="1:9" ht="30" x14ac:dyDescent="0.25">
      <c r="A7" s="148" t="s">
        <v>60</v>
      </c>
      <c r="B7" s="189" t="s">
        <v>207</v>
      </c>
      <c r="C7" s="189" t="s">
        <v>208</v>
      </c>
      <c r="D7" s="189" t="s">
        <v>209</v>
      </c>
      <c r="E7" s="189" t="s">
        <v>210</v>
      </c>
      <c r="F7" s="189" t="s">
        <v>211</v>
      </c>
      <c r="G7" s="189" t="s">
        <v>212</v>
      </c>
      <c r="H7" s="190" t="s">
        <v>213</v>
      </c>
      <c r="I7" s="26" t="s">
        <v>105</v>
      </c>
    </row>
    <row r="8" spans="1:9" x14ac:dyDescent="0.2">
      <c r="A8" s="310" t="str">
        <f>_xlfn.IFS('(1) Vessel Inputs'!A9="End of table","",ISBLANK('(1) Vessel Inputs'!A9),"Unknown; user input required",NOT(ISBLANK('(1) Vessel Inputs'!A9)),'(1) Vessel Inputs'!A9)</f>
        <v>Tugboats</v>
      </c>
      <c r="B8" s="311">
        <f>IFERROR(VLOOKUP(A8,InputTable_VesselClass,Col_Input_Num,FALSE),"Unknown; user input required")</f>
        <v>0</v>
      </c>
      <c r="C8" s="373">
        <f t="shared" ref="C8:C11" si="0">IFERROR(IF(VLOOKUP(A8,InputTable_VesselClass,Col_Input_CrewPass,FALSE)="","Unknown; user input required",VLOOKUP(A8,InputTable_VesselClass,Col_Input_CrewPass,FALSE)),"Unknown; user input required")</f>
        <v>6</v>
      </c>
      <c r="D8" s="393">
        <f t="shared" ref="D8:D11" si="1">IFERROR(IF(VLOOKUP(A8,InputTable_VesselClass,Col_Input_SewGen,FALSE)="","Unknown; user input required",VLOOKUP(A8,InputTable_VesselClass,Col_Input_SewGen,FALSE)),"Unknown; user input required")</f>
        <v>11</v>
      </c>
      <c r="E8" s="394">
        <f t="shared" ref="E8:E11" si="2">IFERROR(IF(VLOOKUP(A8,InputTable_VesselClass,Col_Input_AvgDays,FALSE)="","Unknown; user input required",VLOOKUP(A8,InputTable_VesselClass,Col_Input_AvgDays,FALSE)),"Unknown; user input required")</f>
        <v>7.5</v>
      </c>
      <c r="F8" s="395">
        <f t="shared" ref="F8:F11" si="3">IFERROR(C8*D8*E8,"Unknown; user input required")</f>
        <v>495</v>
      </c>
      <c r="G8" s="395">
        <f>IF(ISNUMBER(E8),(IF(E8&lt;=1,F8*B8*(1/E8),0)),"Unknown; user input required")</f>
        <v>0</v>
      </c>
      <c r="H8" s="396">
        <f t="shared" ref="H8:H11" si="4">IFERROR(IF(E8&lt;=1,F8*B8*(1/E8),F8*B8),"Unknown; user input required")</f>
        <v>0</v>
      </c>
      <c r="I8" s="326"/>
    </row>
    <row r="9" spans="1:9" x14ac:dyDescent="0.2">
      <c r="A9" s="310" t="str">
        <f>_xlfn.IFS('(1) Vessel Inputs'!A10="End of table","",ISBLANK('(1) Vessel Inputs'!A10),"Unknown; User input required",NOT(ISBLANK('(1) Vessel Inputs'!A10)),'(1) Vessel Inputs'!A10)</f>
        <v>Commercial Fishing Vessels</v>
      </c>
      <c r="B9" s="311">
        <f>IFERROR(VLOOKUP(A9,InputTable_VesselClass,Col_Input_Num,FALSE),"Unknown; user input required")</f>
        <v>0</v>
      </c>
      <c r="C9" s="373">
        <f t="shared" si="0"/>
        <v>7</v>
      </c>
      <c r="D9" s="393">
        <f t="shared" si="1"/>
        <v>11</v>
      </c>
      <c r="E9" s="394">
        <f t="shared" si="2"/>
        <v>2</v>
      </c>
      <c r="F9" s="395">
        <f t="shared" si="3"/>
        <v>154</v>
      </c>
      <c r="G9" s="395">
        <f t="shared" ref="G9:G11" si="5">IF(ISNUMBER(E9),(IF(E9&lt;=1,F9*B9*(1/E9),0)),"Unknown; user input required")</f>
        <v>0</v>
      </c>
      <c r="H9" s="396">
        <f>IFERROR(IF(E9&lt;=1,F9*B9*(1/E9),F9*B9),"Unknown; user input required")</f>
        <v>0</v>
      </c>
      <c r="I9" s="326"/>
    </row>
    <row r="10" spans="1:9" x14ac:dyDescent="0.2">
      <c r="A10" s="310" t="str">
        <f>_xlfn.IFS('(1) Vessel Inputs'!A11="End of table","",ISBLANK('(1) Vessel Inputs'!A11),"Unknown; User input required",NOT(ISBLANK('(1) Vessel Inputs'!A11)),'(1) Vessel Inputs'!A11)</f>
        <v>Excursion</v>
      </c>
      <c r="B10" s="311">
        <f t="shared" ref="B10:B11" si="6">IFERROR(VLOOKUP(A10,InputTable_VesselClass,Col_Input_Num,FALSE),"Unknown; user input required")</f>
        <v>0</v>
      </c>
      <c r="C10" s="373">
        <f t="shared" si="0"/>
        <v>187</v>
      </c>
      <c r="D10" s="393">
        <f t="shared" si="1"/>
        <v>8.4</v>
      </c>
      <c r="E10" s="394">
        <f t="shared" si="2"/>
        <v>0.5</v>
      </c>
      <c r="F10" s="395">
        <f t="shared" si="3"/>
        <v>785.4</v>
      </c>
      <c r="G10" s="395">
        <f t="shared" si="5"/>
        <v>0</v>
      </c>
      <c r="H10" s="396">
        <f t="shared" si="4"/>
        <v>0</v>
      </c>
      <c r="I10" s="326"/>
    </row>
    <row r="11" spans="1:9" x14ac:dyDescent="0.2">
      <c r="A11" s="310" t="str">
        <f>_xlfn.IFS('(1) Vessel Inputs'!A12="End of table","",ISBLANK('(1) Vessel Inputs'!A12),"Unknown; User input required",NOT(ISBLANK('(1) Vessel Inputs'!A12)),'(1) Vessel Inputs'!A12)</f>
        <v>Ferries</v>
      </c>
      <c r="B11" s="311">
        <f t="shared" si="6"/>
        <v>0</v>
      </c>
      <c r="C11" s="373">
        <f t="shared" si="0"/>
        <v>282</v>
      </c>
      <c r="D11" s="393">
        <f t="shared" si="1"/>
        <v>7.3</v>
      </c>
      <c r="E11" s="394">
        <f t="shared" si="2"/>
        <v>0.5</v>
      </c>
      <c r="F11" s="395">
        <f t="shared" si="3"/>
        <v>1029.3</v>
      </c>
      <c r="G11" s="395">
        <f t="shared" si="5"/>
        <v>0</v>
      </c>
      <c r="H11" s="396">
        <f t="shared" si="4"/>
        <v>0</v>
      </c>
      <c r="I11" s="326"/>
    </row>
    <row r="12" spans="1:9" hidden="1" x14ac:dyDescent="0.2">
      <c r="A12" s="397" t="str">
        <f>IFERROR(_xlfn.IFS('(1) Vessel Inputs'!A13="End of table","",ISBLANK('(1) Vessel Inputs'!A13),"",NOT(ISBLANK('(1) Vessel Inputs'!A13)),'(1) Vessel Inputs'!A13),"Unknown; User input required")</f>
        <v/>
      </c>
      <c r="B12" s="398"/>
      <c r="C12" s="375" t="str">
        <f>IFERROR(IF(VLOOKUP(A12,InputTable_VesselClass,Col_Input_CrewPass,FALSE)="",VLOOKUP(A12,InputTable_VesselClass,Col_Def_CrewPass,FALSE),VLOOKUP(A12,InputTable_VesselClass,Col_Input_CrewPass,FALSE)),"Unknown; User input required")</f>
        <v>Unknown; User input required</v>
      </c>
      <c r="D12" s="399" t="e">
        <f>IF(VLOOKUP(A12,InputTable_VesselClass,Col_Input_SewGen,FALSE)="","Unknown; user input required",VLOOKUP(A12,InputTable_VesselClass,Col_Input_SewGen,FALSE))</f>
        <v>#N/A</v>
      </c>
      <c r="E12" s="398"/>
      <c r="F12" s="398"/>
      <c r="G12" s="398"/>
      <c r="H12" s="400"/>
      <c r="I12" s="323"/>
    </row>
    <row r="13" spans="1:9" ht="15" x14ac:dyDescent="0.25">
      <c r="A13" s="20"/>
      <c r="B13" s="304"/>
      <c r="C13" s="304"/>
      <c r="D13" s="304"/>
      <c r="E13" s="304"/>
      <c r="F13" s="304"/>
      <c r="G13" s="304"/>
      <c r="H13" s="304"/>
      <c r="I13" s="304"/>
    </row>
    <row r="14" spans="1:9" ht="15" x14ac:dyDescent="0.25">
      <c r="A14" s="20"/>
      <c r="B14" s="23"/>
      <c r="C14" s="23"/>
      <c r="D14" s="304"/>
      <c r="E14" s="304"/>
      <c r="F14" s="304"/>
      <c r="G14" s="304"/>
      <c r="H14" s="304"/>
      <c r="I14" s="304"/>
    </row>
    <row r="37" spans="1:1" ht="15" x14ac:dyDescent="0.25">
      <c r="A37" s="20"/>
    </row>
  </sheetData>
  <pageMargins left="0.7" right="0.7" top="0.75" bottom="0.75" header="0.3" footer="0.3"/>
  <pageSetup orientation="portrait" r:id="rId1"/>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5CA1D4-7E6D-492A-AE22-37F41C87F19F}">
  <sheetPr codeName="Sheet14">
    <tabColor theme="5" tint="0.59999389629810485"/>
  </sheetPr>
  <dimension ref="A1:AK23"/>
  <sheetViews>
    <sheetView showGridLines="0" zoomScale="90" zoomScaleNormal="90" workbookViewId="0">
      <selection activeCell="A12" sqref="A12"/>
    </sheetView>
  </sheetViews>
  <sheetFormatPr defaultColWidth="9.140625" defaultRowHeight="14.25" x14ac:dyDescent="0.2"/>
  <cols>
    <col min="1" max="1" width="27.140625" style="31" bestFit="1" customWidth="1"/>
    <col min="2" max="2" width="17" style="31" bestFit="1" customWidth="1"/>
    <col min="3" max="4" width="13.5703125" style="31" customWidth="1"/>
    <col min="5" max="5" width="16.140625" style="31" customWidth="1"/>
    <col min="6" max="8" width="12.5703125" style="31" customWidth="1"/>
    <col min="9" max="20" width="14.5703125" style="31" customWidth="1"/>
    <col min="21" max="25" width="28.5703125" style="31" bestFit="1" customWidth="1"/>
    <col min="26" max="26" width="9.140625" style="31" hidden="1" customWidth="1"/>
    <col min="27" max="16384" width="9.140625" style="31"/>
  </cols>
  <sheetData>
    <row r="1" spans="1:37" ht="18" x14ac:dyDescent="0.25">
      <c r="A1" s="43" t="s">
        <v>214</v>
      </c>
      <c r="B1"/>
      <c r="C1"/>
      <c r="D1"/>
      <c r="E1"/>
      <c r="F1"/>
      <c r="G1"/>
      <c r="H1"/>
      <c r="I1"/>
      <c r="J1" s="304"/>
      <c r="K1" s="304"/>
      <c r="L1" s="304"/>
      <c r="M1" s="304"/>
      <c r="N1" s="304"/>
      <c r="O1" s="304"/>
      <c r="P1" s="304"/>
      <c r="Q1" s="304"/>
      <c r="R1" s="304"/>
      <c r="S1" s="304"/>
      <c r="T1" s="304"/>
      <c r="U1" s="304"/>
      <c r="V1" s="304"/>
      <c r="W1" s="304"/>
      <c r="X1" s="304"/>
      <c r="Y1" s="304"/>
      <c r="Z1" s="304"/>
      <c r="AA1" s="304"/>
      <c r="AB1" s="304"/>
      <c r="AC1" s="304"/>
      <c r="AD1" s="304"/>
      <c r="AE1" s="304"/>
      <c r="AF1" s="304"/>
      <c r="AG1" s="304"/>
      <c r="AH1" s="304"/>
      <c r="AI1" s="304"/>
      <c r="AJ1" s="304"/>
      <c r="AK1" s="304"/>
    </row>
    <row r="3" spans="1:37" ht="46.5" customHeight="1" x14ac:dyDescent="0.2">
      <c r="A3" s="224" t="s">
        <v>215</v>
      </c>
      <c r="B3" s="224"/>
      <c r="C3" s="224"/>
      <c r="D3" s="224"/>
      <c r="E3" s="224"/>
      <c r="F3" s="224"/>
      <c r="G3" s="224"/>
      <c r="H3" s="224"/>
      <c r="I3" s="224"/>
      <c r="J3" s="304"/>
      <c r="K3" s="304"/>
      <c r="L3" s="304"/>
      <c r="M3" s="304"/>
      <c r="N3" s="304"/>
      <c r="O3" s="304"/>
      <c r="P3" s="304"/>
      <c r="Q3" s="304"/>
      <c r="R3" s="304"/>
      <c r="S3" s="304"/>
      <c r="T3" s="304"/>
      <c r="U3" s="304"/>
      <c r="V3" s="304"/>
      <c r="W3" s="304"/>
      <c r="X3" s="304"/>
      <c r="Y3" s="304"/>
      <c r="Z3" s="304"/>
      <c r="AA3" s="304"/>
      <c r="AB3" s="304"/>
      <c r="AC3" s="304"/>
      <c r="AD3" s="304"/>
      <c r="AE3" s="304"/>
      <c r="AF3" s="304"/>
      <c r="AG3" s="304"/>
      <c r="AH3" s="304"/>
      <c r="AI3" s="304"/>
      <c r="AJ3" s="304"/>
      <c r="AK3" s="304"/>
    </row>
    <row r="4" spans="1:37" ht="8.4499999999999993" customHeight="1" x14ac:dyDescent="0.2">
      <c r="A4" s="140"/>
      <c r="B4" s="140"/>
      <c r="C4" s="140"/>
      <c r="D4" s="140"/>
      <c r="E4" s="140"/>
      <c r="F4" s="140"/>
      <c r="G4" s="140"/>
      <c r="H4" s="140"/>
      <c r="I4" s="140"/>
      <c r="J4" s="304"/>
      <c r="K4" s="304"/>
      <c r="L4" s="304"/>
      <c r="M4" s="304"/>
      <c r="N4" s="304"/>
      <c r="O4" s="304"/>
      <c r="P4" s="304"/>
      <c r="Q4" s="304"/>
      <c r="R4" s="304"/>
      <c r="S4" s="304"/>
      <c r="T4" s="304"/>
      <c r="U4" s="304"/>
      <c r="V4" s="304"/>
      <c r="W4" s="304"/>
      <c r="X4" s="304"/>
      <c r="Y4" s="304"/>
      <c r="Z4" s="304"/>
      <c r="AA4" s="304"/>
      <c r="AB4" s="304"/>
      <c r="AC4" s="304"/>
      <c r="AD4" s="304"/>
      <c r="AE4" s="304"/>
      <c r="AF4" s="304"/>
      <c r="AG4" s="304"/>
      <c r="AH4" s="304"/>
      <c r="AI4" s="304"/>
      <c r="AJ4" s="304"/>
      <c r="AK4" s="304"/>
    </row>
    <row r="5" spans="1:37" ht="15" x14ac:dyDescent="0.25">
      <c r="A5" s="304"/>
      <c r="B5" s="304"/>
      <c r="C5" s="304"/>
      <c r="D5" s="304"/>
      <c r="E5" s="304"/>
      <c r="F5" s="304"/>
      <c r="G5" s="304"/>
      <c r="H5" s="304"/>
      <c r="I5" s="304"/>
      <c r="J5" s="304"/>
      <c r="K5" s="304"/>
      <c r="L5" s="304"/>
      <c r="M5" s="304"/>
      <c r="N5" s="304"/>
      <c r="O5" s="304"/>
      <c r="P5" s="304"/>
      <c r="Q5" s="304"/>
      <c r="R5" s="304"/>
      <c r="S5" s="304"/>
      <c r="T5" s="304"/>
      <c r="U5" s="304"/>
      <c r="V5" s="443" t="s">
        <v>216</v>
      </c>
      <c r="W5" s="443"/>
      <c r="X5" s="443"/>
      <c r="Y5" s="443"/>
      <c r="Z5" s="304"/>
      <c r="AA5" s="304"/>
      <c r="AB5" s="304"/>
      <c r="AC5" s="304"/>
      <c r="AD5" s="304"/>
      <c r="AE5" s="304"/>
      <c r="AF5" s="304"/>
      <c r="AG5" s="304"/>
      <c r="AH5" s="304"/>
      <c r="AI5" s="304"/>
      <c r="AJ5" s="304"/>
      <c r="AK5" s="304"/>
    </row>
    <row r="6" spans="1:37" hidden="1" x14ac:dyDescent="0.2">
      <c r="A6" s="304"/>
      <c r="B6" s="304"/>
      <c r="C6" s="304"/>
      <c r="D6" s="304"/>
      <c r="E6" s="304"/>
      <c r="F6" s="304"/>
      <c r="G6" s="304"/>
      <c r="H6" s="304"/>
      <c r="I6" s="304">
        <v>1</v>
      </c>
      <c r="J6" s="304">
        <v>2</v>
      </c>
      <c r="K6" s="304">
        <v>3</v>
      </c>
      <c r="L6" s="304">
        <v>4</v>
      </c>
      <c r="M6" s="304">
        <v>5</v>
      </c>
      <c r="N6" s="304">
        <v>6</v>
      </c>
      <c r="O6" s="304">
        <v>7</v>
      </c>
      <c r="P6" s="304">
        <v>8</v>
      </c>
      <c r="Q6" s="304">
        <v>9</v>
      </c>
      <c r="R6" s="304">
        <v>10</v>
      </c>
      <c r="S6" s="304">
        <v>11</v>
      </c>
      <c r="T6" s="304">
        <v>12</v>
      </c>
      <c r="U6" s="304"/>
      <c r="V6" s="304"/>
      <c r="W6" s="304"/>
      <c r="X6" s="304"/>
      <c r="Y6" s="304"/>
      <c r="Z6" s="304"/>
      <c r="AA6" s="304" t="str">
        <f>Default_Baseline_Cost</f>
        <v>Unknown; user input required</v>
      </c>
      <c r="AB6" s="304"/>
      <c r="AC6" s="304" t="str">
        <f>Default_Retrofit_Cost</f>
        <v>Unknown; user input required</v>
      </c>
      <c r="AD6" s="304"/>
      <c r="AE6" s="304" t="str">
        <f>Default_Vessel_Speed</f>
        <v>Unknown; user input required</v>
      </c>
      <c r="AF6" s="304"/>
      <c r="AG6" s="304" t="str">
        <f>Default_Fuel_Consumption</f>
        <v>Unknown; user input required</v>
      </c>
      <c r="AH6" s="304"/>
      <c r="AI6" s="304" t="str">
        <f>Default_Hourly_Revenue</f>
        <v>Unknown; user input required</v>
      </c>
      <c r="AJ6" s="304"/>
      <c r="AK6" s="304">
        <f>Default_Fuel_Price</f>
        <v>2.2559999999999998</v>
      </c>
    </row>
    <row r="7" spans="1:37" ht="61.5" customHeight="1" x14ac:dyDescent="0.25">
      <c r="A7" s="27" t="s">
        <v>70</v>
      </c>
      <c r="B7" s="27" t="s">
        <v>71</v>
      </c>
      <c r="C7" s="21" t="s">
        <v>217</v>
      </c>
      <c r="D7" s="21" t="s">
        <v>218</v>
      </c>
      <c r="E7" s="21" t="s">
        <v>219</v>
      </c>
      <c r="F7" s="21" t="s">
        <v>77</v>
      </c>
      <c r="G7" s="21" t="s">
        <v>74</v>
      </c>
      <c r="H7" s="21" t="s">
        <v>75</v>
      </c>
      <c r="I7" s="21" t="s">
        <v>220</v>
      </c>
      <c r="J7" s="21" t="s">
        <v>221</v>
      </c>
      <c r="K7" s="21" t="s">
        <v>222</v>
      </c>
      <c r="L7" s="21" t="s">
        <v>223</v>
      </c>
      <c r="M7" s="21" t="s">
        <v>224</v>
      </c>
      <c r="N7" s="21" t="s">
        <v>225</v>
      </c>
      <c r="O7" s="21" t="s">
        <v>226</v>
      </c>
      <c r="P7" s="21" t="s">
        <v>227</v>
      </c>
      <c r="Q7" s="21" t="s">
        <v>228</v>
      </c>
      <c r="R7" s="21" t="s">
        <v>229</v>
      </c>
      <c r="S7" s="21" t="s">
        <v>230</v>
      </c>
      <c r="T7" s="21" t="s">
        <v>231</v>
      </c>
      <c r="U7" s="21" t="s">
        <v>232</v>
      </c>
      <c r="V7" s="21" t="str">
        <f ca="1">IF(COLUMN()-COLUMN(Capacity_Start_FacCostCols)=0,"Tugboats",IF(COLUMN()-COLUMN(Capacity_Start_FacCostCols)=1,"Commercial Fishing Vessels",IF(COLUMN()-COLUMN(Capacity_Start_FacCostCols)=2,"Excursion",IF(COLUMN()-COLUMN(Capacity_Start_FacCostCols)=3,"Ferries",IF(OFFSET(Vessels_Start_Table,COLUMN()-COLUMN(Capacity_Start_FacCostCols)+1,0)="","Enter vessel class in (1) Vessel Inputs",OFFSET(Vessels_Start_Table,COLUMN()-COLUMN(Capacity_Start_FacCostCols)+1,0))))))</f>
        <v>Tugboats</v>
      </c>
      <c r="W7" s="21" t="str">
        <f t="shared" ref="W7:Y7" ca="1" si="0">IF(COLUMN()-COLUMN(Capacity_Start_FacCostCols)=0,"Tugboats",IF(COLUMN()-COLUMN(Capacity_Start_FacCostCols)=1,"Commercial Fishing Vessels",IF(COLUMN()-COLUMN(Capacity_Start_FacCostCols)=2,"Excursion",IF(COLUMN()-COLUMN(Capacity_Start_FacCostCols)=3,"Ferries",IF(OFFSET(Vessels_Start_Table,COLUMN()-COLUMN(Capacity_Start_FacCostCols)+1,0)="","Enter vessel class in (1) Vessel Inputs",OFFSET(Vessels_Start_Table,COLUMN()-COLUMN(Capacity_Start_FacCostCols)+1,0))))))</f>
        <v>Commercial Fishing Vessels</v>
      </c>
      <c r="X7" s="21" t="str">
        <f t="shared" ca="1" si="0"/>
        <v>Excursion</v>
      </c>
      <c r="Y7" s="21" t="str">
        <f t="shared" ca="1" si="0"/>
        <v>Ferries</v>
      </c>
      <c r="Z7" s="26" t="s">
        <v>105</v>
      </c>
      <c r="AA7" s="304"/>
      <c r="AB7" s="304"/>
      <c r="AC7" s="304"/>
      <c r="AD7" s="304"/>
      <c r="AE7" s="304"/>
      <c r="AF7" s="304"/>
      <c r="AG7" s="304"/>
      <c r="AH7" s="304"/>
      <c r="AI7" s="304"/>
      <c r="AJ7" s="304"/>
      <c r="AK7" s="304"/>
    </row>
    <row r="8" spans="1:37" x14ac:dyDescent="0.2">
      <c r="A8" s="311" t="str">
        <f>IF('(2) Facility Inputs'!A9="","",'(2) Facility Inputs'!A9)</f>
        <v>Pumpout Facility #1</v>
      </c>
      <c r="B8" s="311" t="str">
        <f>IF('(2) Facility Inputs'!C9="","",'(2) Facility Inputs'!C9)</f>
        <v>Stationary</v>
      </c>
      <c r="C8" s="311">
        <f>IF($A8="","",'(2) Facility Inputs'!E9)</f>
        <v>0</v>
      </c>
      <c r="D8" s="311">
        <f>IF($A8="","",'(2) Facility Inputs'!G9)</f>
        <v>0</v>
      </c>
      <c r="E8" s="311">
        <f>IF(A8="","",IF(SUM('(2) Facility Inputs'!Q9:Q9)=0,"Unknown; user input required",SUM('(2) Facility Inputs'!Q9:Q9)))</f>
        <v>88</v>
      </c>
      <c r="F8" s="373" t="str">
        <f>IF(A8="","",IF(ISNUMBER('(2) Facility Inputs'!O9),'(2) Facility Inputs'!O9,""))</f>
        <v/>
      </c>
      <c r="G8" s="373" t="str">
        <f>IF($A8="","",IF('(2) Facility Inputs'!I9="","Unknown; user input required",'(2) Facility Inputs'!I9))</f>
        <v>Unknown; user input required</v>
      </c>
      <c r="H8" s="373" t="str">
        <f>IF($A8="","",IF('(2) Facility Inputs'!K9="","Unknown; user input required",'(2) Facility Inputs'!K9))</f>
        <v>Unknown; user input required</v>
      </c>
      <c r="I8" s="373" t="str">
        <f>IF($A8="","",IF(OR($G8="Unknown; user input required",$H8="Unknown; user input required"),"Unknown; user input required",IF(OR(AND($H8&gt;=$G8,I$6&lt;=$H8,I$6&gt;=$G8),AND($H8&lt;$G8,OR(I$6&lt;=$H8,I$6&gt;=$G8))),IF($F8="",$E8*$C8*60,IF($F8&gt;($E8*$C8*60),$F8,$F8*$C8*60*$E8/2/$F8)),0)))</f>
        <v>Unknown; user input required</v>
      </c>
      <c r="J8" s="373" t="str">
        <f t="shared" ref="J8:T11" si="1">IF($A8="","",IF(OR($G8="Unknown; user input required",$H8="Unknown; user input required"),"Unknown; user input required",IF(OR(AND($H8&gt;=$G8,J$6&lt;=$H8,J$6&gt;=$G8),AND($H8&lt;$G8,OR(J$6&lt;=$H8,J$6&gt;=$G8))),IF($F8="",$E8*$C8*60,IF($F8&gt;($E8*$C8*60),$F8,$F8*$C8*60*$E8/2/$F8)),0)))</f>
        <v>Unknown; user input required</v>
      </c>
      <c r="K8" s="373" t="str">
        <f t="shared" si="1"/>
        <v>Unknown; user input required</v>
      </c>
      <c r="L8" s="373" t="str">
        <f t="shared" si="1"/>
        <v>Unknown; user input required</v>
      </c>
      <c r="M8" s="373" t="str">
        <f t="shared" si="1"/>
        <v>Unknown; user input required</v>
      </c>
      <c r="N8" s="373" t="str">
        <f t="shared" si="1"/>
        <v>Unknown; user input required</v>
      </c>
      <c r="O8" s="373" t="str">
        <f t="shared" si="1"/>
        <v>Unknown; user input required</v>
      </c>
      <c r="P8" s="373" t="str">
        <f t="shared" si="1"/>
        <v>Unknown; user input required</v>
      </c>
      <c r="Q8" s="373" t="str">
        <f t="shared" si="1"/>
        <v>Unknown; user input required</v>
      </c>
      <c r="R8" s="373" t="str">
        <f t="shared" si="1"/>
        <v>Unknown; user input required</v>
      </c>
      <c r="S8" s="373" t="str">
        <f t="shared" si="1"/>
        <v>Unknown; user input required</v>
      </c>
      <c r="T8" s="373" t="str">
        <f t="shared" si="1"/>
        <v>Unknown; user input required</v>
      </c>
      <c r="U8" s="395" t="str">
        <f>IFERROR(AVERAGE(I8:T8),"Unknown; user input required")</f>
        <v>Unknown; user input required</v>
      </c>
      <c r="V8" s="401">
        <f ca="1">IFERROR(IF(OR($F8="",$F8&gt;=VLOOKUP(V$7,Table_Demand,Col_Demand_PerPumpout,FALSE)),('(2) Facility Inputs'!$S9+(VLOOKUP(V$7,Table_Demand,Col_Demand_PerPumpout,FALSE)-'(2) Facility Inputs'!$U9)*'(2) Facility Inputs'!$W9)+(((VLOOKUP(V$7,Table_Demand,Col_Demand_PerPumpout,FALSE)-'(2) Facility Inputs'!$U9)/$E8/60+VLOOKUP(V$7,InputTable_VesselClass,Col_Buffer,FALSE)/60)*'(2) Facility Inputs'!$X9),""),"Unknown; user input required")</f>
        <v>0</v>
      </c>
      <c r="W8" s="401">
        <f ca="1">IFERROR(IF(OR($F8="",$F8&gt;=VLOOKUP(W$7,Table_Demand,Col_Demand_PerPumpout,FALSE)),('(2) Facility Inputs'!$S9+(VLOOKUP(W$7,Table_Demand,Col_Demand_PerPumpout,FALSE)-'(2) Facility Inputs'!$U9)*'(2) Facility Inputs'!$W9)+(((VLOOKUP(W$7,Table_Demand,Col_Demand_PerPumpout,FALSE)-'(2) Facility Inputs'!$U9)/$E8/60+VLOOKUP(W$7,InputTable_VesselClass,Col_Buffer,FALSE)/60)*'(2) Facility Inputs'!$X9),""),"Unknown; user input required")</f>
        <v>0</v>
      </c>
      <c r="X8" s="401">
        <f ca="1">IFERROR(IF(OR($F8="",$F8&gt;=VLOOKUP(X$7,Table_Demand,Col_Demand_PerPumpout,FALSE)),('(2) Facility Inputs'!$S9+(VLOOKUP(X$7,Table_Demand,Col_Demand_PerPumpout,FALSE)-'(2) Facility Inputs'!$U9)*'(2) Facility Inputs'!$W9)+(((VLOOKUP(X$7,Table_Demand,Col_Demand_PerPumpout,FALSE)-'(2) Facility Inputs'!$U9)/$E8/60+VLOOKUP(X$7,InputTable_VesselClass,Col_Buffer,FALSE)/60)*'(2) Facility Inputs'!$X9),""),"Unknown; user input required")</f>
        <v>0</v>
      </c>
      <c r="Y8" s="401">
        <f ca="1">IFERROR(IF(OR($F8="",$F8&gt;=VLOOKUP(Y$7,Table_Demand,Col_Demand_PerPumpout,FALSE)),('(2) Facility Inputs'!$S9+(VLOOKUP(Y$7,Table_Demand,Col_Demand_PerPumpout,FALSE)-'(2) Facility Inputs'!$U9)*'(2) Facility Inputs'!$W9)+(((VLOOKUP(Y$7,Table_Demand,Col_Demand_PerPumpout,FALSE)-'(2) Facility Inputs'!$U9)/$E8/60+VLOOKUP(Y$7,InputTable_VesselClass,Col_Buffer,FALSE)/60)*'(2) Facility Inputs'!$X9),""),"Unknown; user input required")</f>
        <v>0</v>
      </c>
      <c r="Z8" s="402" t="e">
        <f>('(2) Facility Inputs'!$S9+(VLOOKUP(Z$7,Table_Demand,Col_Demand_PerPumpout,FALSE)-'(2) Facility Inputs'!$U146)*'(2) Facility Inputs'!$W9)+('(2) Facility Inputs'!$S9+(VLOOKUP(Z$7,Table_Demand,Col_Demand_PerPumpout,FALSE)-'(2) Facility Inputs'!$U146)/$E8/60*'(2) Facility Inputs'!$X9)</f>
        <v>#N/A</v>
      </c>
      <c r="AA8" s="304"/>
      <c r="AB8" s="304"/>
      <c r="AC8" s="304"/>
      <c r="AD8" s="304"/>
      <c r="AE8" s="304"/>
      <c r="AF8" s="304"/>
      <c r="AG8" s="304"/>
      <c r="AH8" s="304"/>
      <c r="AI8" s="304"/>
      <c r="AJ8" s="304"/>
      <c r="AK8" s="304"/>
    </row>
    <row r="9" spans="1:37" x14ac:dyDescent="0.2">
      <c r="A9" s="311" t="str">
        <f>IF('(2) Facility Inputs'!A10="","",'(2) Facility Inputs'!A10)</f>
        <v>Pumpout Facility #2</v>
      </c>
      <c r="B9" s="311" t="str">
        <f>IF('(2) Facility Inputs'!C10="","",'(2) Facility Inputs'!C10)</f>
        <v>Truck</v>
      </c>
      <c r="C9" s="311">
        <f>IF($A9="","",'(2) Facility Inputs'!E10)</f>
        <v>0</v>
      </c>
      <c r="D9" s="311">
        <f>IF($A9="","",'(2) Facility Inputs'!G10)</f>
        <v>0</v>
      </c>
      <c r="E9" s="311">
        <f>IF(A9="","",IF(SUM('(2) Facility Inputs'!Q10:Q10)=0,"Unknown; user input required",SUM('(2) Facility Inputs'!Q10:Q10)))</f>
        <v>88</v>
      </c>
      <c r="F9" s="373">
        <f>IF(A9="","",IF(ISNUMBER('(2) Facility Inputs'!O10),'(2) Facility Inputs'!O10,""))</f>
        <v>5000</v>
      </c>
      <c r="G9" s="373" t="str">
        <f>IF($A9="","",IF('(2) Facility Inputs'!I10="","Unknown; user input required",'(2) Facility Inputs'!I10))</f>
        <v>Unknown; user input required</v>
      </c>
      <c r="H9" s="373" t="str">
        <f>IF($A9="","",IF('(2) Facility Inputs'!K10="","Unknown; user input required",'(2) Facility Inputs'!K10))</f>
        <v>Unknown; user input required</v>
      </c>
      <c r="I9" s="373" t="str">
        <f t="shared" ref="I9:I11" si="2">IF($A9="","",IF(OR($G9="Unknown; user input required",$H9="Unknown; user input required"),"Unknown; user input required",IF(OR(AND($H9&gt;=$G9,I$6&lt;=$H9,I$6&gt;=$G9),AND($H9&lt;$G9,OR(I$6&lt;=$H9,I$6&gt;=$G9))),IF($F9="",$E9*$C9*60,IF($F9&gt;($E9*$C9*60),$F9,$F9*$C9*60*$E9/2/$F9)),0)))</f>
        <v>Unknown; user input required</v>
      </c>
      <c r="J9" s="373" t="str">
        <f t="shared" si="1"/>
        <v>Unknown; user input required</v>
      </c>
      <c r="K9" s="373" t="str">
        <f t="shared" si="1"/>
        <v>Unknown; user input required</v>
      </c>
      <c r="L9" s="373" t="str">
        <f t="shared" si="1"/>
        <v>Unknown; user input required</v>
      </c>
      <c r="M9" s="373" t="str">
        <f t="shared" si="1"/>
        <v>Unknown; user input required</v>
      </c>
      <c r="N9" s="373" t="str">
        <f t="shared" si="1"/>
        <v>Unknown; user input required</v>
      </c>
      <c r="O9" s="373" t="str">
        <f t="shared" si="1"/>
        <v>Unknown; user input required</v>
      </c>
      <c r="P9" s="373" t="str">
        <f t="shared" si="1"/>
        <v>Unknown; user input required</v>
      </c>
      <c r="Q9" s="373" t="str">
        <f t="shared" si="1"/>
        <v>Unknown; user input required</v>
      </c>
      <c r="R9" s="373" t="str">
        <f t="shared" si="1"/>
        <v>Unknown; user input required</v>
      </c>
      <c r="S9" s="373" t="str">
        <f t="shared" si="1"/>
        <v>Unknown; user input required</v>
      </c>
      <c r="T9" s="373" t="str">
        <f t="shared" si="1"/>
        <v>Unknown; user input required</v>
      </c>
      <c r="U9" s="395" t="str">
        <f t="shared" ref="U9:U10" si="3">IFERROR(AVERAGE(I9:T9),"Unknown; user input required")</f>
        <v>Unknown; user input required</v>
      </c>
      <c r="V9" s="401">
        <f ca="1">IFERROR(IF(OR($F9="",$F9&gt;=VLOOKUP(V$7,Table_Demand,Col_Demand_PerPumpout,FALSE)),('(2) Facility Inputs'!$S10+(VLOOKUP(V$7,Table_Demand,Col_Demand_PerPumpout,FALSE)-'(2) Facility Inputs'!$U10)*'(2) Facility Inputs'!$W10)+(((VLOOKUP(V$7,Table_Demand,Col_Demand_PerPumpout,FALSE)-'(2) Facility Inputs'!$U10)/$E9/60+VLOOKUP(V$7,InputTable_VesselClass,Col_Buffer,FALSE)/60)*'(2) Facility Inputs'!$X10),""),"Unknown; user input required")</f>
        <v>0</v>
      </c>
      <c r="W9" s="401">
        <f ca="1">IFERROR(IF(OR($F9="",$F9&gt;=VLOOKUP(W$7,Table_Demand,Col_Demand_PerPumpout,FALSE)),('(2) Facility Inputs'!$S10+(VLOOKUP(W$7,Table_Demand,Col_Demand_PerPumpout,FALSE)-'(2) Facility Inputs'!$U10)*'(2) Facility Inputs'!$W10)+(((VLOOKUP(W$7,Table_Demand,Col_Demand_PerPumpout,FALSE)-'(2) Facility Inputs'!$U10)/$E9/60+VLOOKUP(W$7,InputTable_VesselClass,Col_Buffer,FALSE)/60)*'(2) Facility Inputs'!$X10),""),"Unknown; user input required")</f>
        <v>0</v>
      </c>
      <c r="X9" s="401">
        <f ca="1">IFERROR(IF(OR($F9="",$F9&gt;=VLOOKUP(X$7,Table_Demand,Col_Demand_PerPumpout,FALSE)),('(2) Facility Inputs'!$S10+(VLOOKUP(X$7,Table_Demand,Col_Demand_PerPumpout,FALSE)-'(2) Facility Inputs'!$U10)*'(2) Facility Inputs'!$W10)+(((VLOOKUP(X$7,Table_Demand,Col_Demand_PerPumpout,FALSE)-'(2) Facility Inputs'!$U10)/$E9/60+VLOOKUP(X$7,InputTable_VesselClass,Col_Buffer,FALSE)/60)*'(2) Facility Inputs'!$X10),""),"Unknown; user input required")</f>
        <v>0</v>
      </c>
      <c r="Y9" s="401">
        <f ca="1">IFERROR(IF(OR($F9="",$F9&gt;=VLOOKUP(Y$7,Table_Demand,Col_Demand_PerPumpout,FALSE)),('(2) Facility Inputs'!$S10+(VLOOKUP(Y$7,Table_Demand,Col_Demand_PerPumpout,FALSE)-'(2) Facility Inputs'!$U10)*'(2) Facility Inputs'!$W10)+(((VLOOKUP(Y$7,Table_Demand,Col_Demand_PerPumpout,FALSE)-'(2) Facility Inputs'!$U10)/$E9/60+VLOOKUP(Y$7,InputTable_VesselClass,Col_Buffer,FALSE)/60)*'(2) Facility Inputs'!$X10),""),"Unknown; user input required")</f>
        <v>0</v>
      </c>
      <c r="Z9" s="326"/>
      <c r="AA9" s="304"/>
      <c r="AB9" s="304"/>
      <c r="AC9" s="304"/>
      <c r="AD9" s="304"/>
      <c r="AE9" s="304"/>
      <c r="AF9" s="304"/>
      <c r="AG9" s="304"/>
      <c r="AH9" s="304"/>
      <c r="AI9" s="304"/>
      <c r="AJ9" s="304"/>
      <c r="AK9" s="304"/>
    </row>
    <row r="10" spans="1:37" x14ac:dyDescent="0.2">
      <c r="A10" s="311" t="str">
        <f>IF('(2) Facility Inputs'!A11="","",'(2) Facility Inputs'!A11)</f>
        <v>Pumpout Facility #3</v>
      </c>
      <c r="B10" s="311" t="str">
        <f>IF('(2) Facility Inputs'!C11="","",'(2) Facility Inputs'!C11)</f>
        <v>Boat</v>
      </c>
      <c r="C10" s="311">
        <f>IF($A10="","",'(2) Facility Inputs'!E11)</f>
        <v>0</v>
      </c>
      <c r="D10" s="311">
        <f>IF($A10="","",'(2) Facility Inputs'!G11)</f>
        <v>0</v>
      </c>
      <c r="E10" s="311">
        <f>IF(A10="","",IF(SUM('(2) Facility Inputs'!Q11:Q11)=0,"Unknown; user input required",SUM('(2) Facility Inputs'!Q11:Q11)))</f>
        <v>88</v>
      </c>
      <c r="F10" s="373">
        <f>IF(A10="","",IF(ISNUMBER('(2) Facility Inputs'!O11),'(2) Facility Inputs'!O11,""))</f>
        <v>620</v>
      </c>
      <c r="G10" s="373" t="str">
        <f>IF($A10="","",IF('(2) Facility Inputs'!I11="","Unknown; user input required",'(2) Facility Inputs'!I11))</f>
        <v>Unknown; user input required</v>
      </c>
      <c r="H10" s="373" t="str">
        <f>IF($A10="","",IF('(2) Facility Inputs'!K11="","Unknown; user input required",'(2) Facility Inputs'!K11))</f>
        <v>Unknown; user input required</v>
      </c>
      <c r="I10" s="373" t="str">
        <f t="shared" si="2"/>
        <v>Unknown; user input required</v>
      </c>
      <c r="J10" s="373" t="str">
        <f t="shared" si="1"/>
        <v>Unknown; user input required</v>
      </c>
      <c r="K10" s="373" t="str">
        <f t="shared" si="1"/>
        <v>Unknown; user input required</v>
      </c>
      <c r="L10" s="373" t="str">
        <f t="shared" si="1"/>
        <v>Unknown; user input required</v>
      </c>
      <c r="M10" s="373" t="str">
        <f t="shared" si="1"/>
        <v>Unknown; user input required</v>
      </c>
      <c r="N10" s="373" t="str">
        <f t="shared" si="1"/>
        <v>Unknown; user input required</v>
      </c>
      <c r="O10" s="373" t="str">
        <f t="shared" si="1"/>
        <v>Unknown; user input required</v>
      </c>
      <c r="P10" s="373" t="str">
        <f t="shared" si="1"/>
        <v>Unknown; user input required</v>
      </c>
      <c r="Q10" s="373" t="str">
        <f t="shared" si="1"/>
        <v>Unknown; user input required</v>
      </c>
      <c r="R10" s="373" t="str">
        <f t="shared" si="1"/>
        <v>Unknown; user input required</v>
      </c>
      <c r="S10" s="373" t="str">
        <f t="shared" si="1"/>
        <v>Unknown; user input required</v>
      </c>
      <c r="T10" s="373" t="str">
        <f t="shared" si="1"/>
        <v>Unknown; user input required</v>
      </c>
      <c r="U10" s="395" t="str">
        <f t="shared" si="3"/>
        <v>Unknown; user input required</v>
      </c>
      <c r="V10" s="401">
        <f ca="1">IFERROR(IF(OR($F10="",$F10&gt;=VLOOKUP(V$7,Table_Demand,Col_Demand_PerPumpout,FALSE)),('(2) Facility Inputs'!$S11+(VLOOKUP(V$7,Table_Demand,Col_Demand_PerPumpout,FALSE)-'(2) Facility Inputs'!$U11)*'(2) Facility Inputs'!$W11)+(((VLOOKUP(V$7,Table_Demand,Col_Demand_PerPumpout,FALSE)-'(2) Facility Inputs'!$U11)/$E10/60+VLOOKUP(V$7,InputTable_VesselClass,Col_Buffer,FALSE)/60)*'(2) Facility Inputs'!$X11),""),"Unknown; user input required")</f>
        <v>0</v>
      </c>
      <c r="W10" s="401">
        <f ca="1">IFERROR(IF(OR($F10="",$F10&gt;=VLOOKUP(W$7,Table_Demand,Col_Demand_PerPumpout,FALSE)),('(2) Facility Inputs'!$S11+(VLOOKUP(W$7,Table_Demand,Col_Demand_PerPumpout,FALSE)-'(2) Facility Inputs'!$U11)*'(2) Facility Inputs'!$W11)+(((VLOOKUP(W$7,Table_Demand,Col_Demand_PerPumpout,FALSE)-'(2) Facility Inputs'!$U11)/$E10/60+VLOOKUP(W$7,InputTable_VesselClass,Col_Buffer,FALSE)/60)*'(2) Facility Inputs'!$X11),""),"Unknown; user input required")</f>
        <v>0</v>
      </c>
      <c r="X10" s="401" t="str">
        <f ca="1">IFERROR(IF(OR($F10="",$F10&gt;=VLOOKUP(X$7,Table_Demand,Col_Demand_PerPumpout,FALSE)),('(2) Facility Inputs'!$S11+(VLOOKUP(X$7,Table_Demand,Col_Demand_PerPumpout,FALSE)-'(2) Facility Inputs'!$U11)*'(2) Facility Inputs'!$W11)+(((VLOOKUP(X$7,Table_Demand,Col_Demand_PerPumpout,FALSE)-'(2) Facility Inputs'!$U11)/$E10/60+VLOOKUP(X$7,InputTable_VesselClass,Col_Buffer,FALSE)/60)*'(2) Facility Inputs'!$X11),""),"Unknown; user input required")</f>
        <v/>
      </c>
      <c r="Y10" s="401" t="str">
        <f ca="1">IFERROR(IF(OR($F10="",$F10&gt;=VLOOKUP(Y$7,Table_Demand,Col_Demand_PerPumpout,FALSE)),('(2) Facility Inputs'!$S11+(VLOOKUP(Y$7,Table_Demand,Col_Demand_PerPumpout,FALSE)-'(2) Facility Inputs'!$U11)*'(2) Facility Inputs'!$W11)+(((VLOOKUP(Y$7,Table_Demand,Col_Demand_PerPumpout,FALSE)-'(2) Facility Inputs'!$U11)/$E10/60+VLOOKUP(Y$7,InputTable_VesselClass,Col_Buffer,FALSE)/60)*'(2) Facility Inputs'!$X11),""),"Unknown; user input required")</f>
        <v/>
      </c>
      <c r="Z10" s="326"/>
      <c r="AA10" s="304"/>
      <c r="AB10" s="304"/>
      <c r="AC10" s="304"/>
      <c r="AD10" s="304"/>
      <c r="AE10" s="304"/>
      <c r="AF10" s="304"/>
      <c r="AG10" s="304"/>
      <c r="AH10" s="304"/>
      <c r="AI10" s="304"/>
      <c r="AJ10" s="304"/>
      <c r="AK10" s="304"/>
    </row>
    <row r="11" spans="1:37" x14ac:dyDescent="0.2">
      <c r="A11" s="311" t="str">
        <f>IF('(2) Facility Inputs'!A12="","",'(2) Facility Inputs'!A12)</f>
        <v>Pumpout Facility #4</v>
      </c>
      <c r="B11" s="311" t="str">
        <f>IF('(2) Facility Inputs'!C12="","",'(2) Facility Inputs'!C12)</f>
        <v>Barge</v>
      </c>
      <c r="C11" s="311">
        <f>IF($A11="","",'(2) Facility Inputs'!E12)</f>
        <v>0</v>
      </c>
      <c r="D11" s="311">
        <f>IF($A11="","",'(2) Facility Inputs'!G12)</f>
        <v>0</v>
      </c>
      <c r="E11" s="311">
        <f>IF(A11="","",IF(SUM('(2) Facility Inputs'!Q12:Q12)=0,"Unknown; user input required",SUM('(2) Facility Inputs'!Q12:Q12)))</f>
        <v>88</v>
      </c>
      <c r="F11" s="373">
        <f>IF(A11="","",IF(ISNUMBER('(2) Facility Inputs'!O12),'(2) Facility Inputs'!O12,""))</f>
        <v>180000</v>
      </c>
      <c r="G11" s="373" t="str">
        <f>IF($A11="","",IF('(2) Facility Inputs'!I12="","Unknown; user input required",'(2) Facility Inputs'!I12))</f>
        <v>Unknown; user input required</v>
      </c>
      <c r="H11" s="373" t="str">
        <f>IF($A11="","",IF('(2) Facility Inputs'!K12="","Unknown; user input required",'(2) Facility Inputs'!K12))</f>
        <v>Unknown; user input required</v>
      </c>
      <c r="I11" s="373" t="str">
        <f t="shared" si="2"/>
        <v>Unknown; user input required</v>
      </c>
      <c r="J11" s="373" t="str">
        <f t="shared" si="1"/>
        <v>Unknown; user input required</v>
      </c>
      <c r="K11" s="373" t="str">
        <f t="shared" si="1"/>
        <v>Unknown; user input required</v>
      </c>
      <c r="L11" s="373" t="str">
        <f t="shared" si="1"/>
        <v>Unknown; user input required</v>
      </c>
      <c r="M11" s="373" t="str">
        <f t="shared" si="1"/>
        <v>Unknown; user input required</v>
      </c>
      <c r="N11" s="373" t="str">
        <f t="shared" si="1"/>
        <v>Unknown; user input required</v>
      </c>
      <c r="O11" s="373" t="str">
        <f t="shared" si="1"/>
        <v>Unknown; user input required</v>
      </c>
      <c r="P11" s="373" t="str">
        <f t="shared" si="1"/>
        <v>Unknown; user input required</v>
      </c>
      <c r="Q11" s="373" t="str">
        <f t="shared" si="1"/>
        <v>Unknown; user input required</v>
      </c>
      <c r="R11" s="373" t="str">
        <f t="shared" si="1"/>
        <v>Unknown; user input required</v>
      </c>
      <c r="S11" s="373" t="str">
        <f t="shared" si="1"/>
        <v>Unknown; user input required</v>
      </c>
      <c r="T11" s="373" t="str">
        <f t="shared" si="1"/>
        <v>Unknown; user input required</v>
      </c>
      <c r="U11" s="395" t="str">
        <f t="shared" ref="U11" si="4">IFERROR(AVERAGE(I11:T11),"Unknown; user input required")</f>
        <v>Unknown; user input required</v>
      </c>
      <c r="V11" s="401">
        <f ca="1">IFERROR(IF(OR($F11="",$F11&gt;=VLOOKUP(V$7,Table_Demand,Col_Demand_PerPumpout,FALSE)),('(2) Facility Inputs'!$S12+(VLOOKUP(V$7,Table_Demand,Col_Demand_PerPumpout,FALSE)-'(2) Facility Inputs'!$U12)*'(2) Facility Inputs'!$W12)+(((VLOOKUP(V$7,Table_Demand,Col_Demand_PerPumpout,FALSE)-'(2) Facility Inputs'!$U12)/$E11/60+VLOOKUP(V$7,InputTable_VesselClass,Col_Buffer,FALSE)/60)*'(2) Facility Inputs'!$X12),""),"Unknown; user input required")</f>
        <v>0</v>
      </c>
      <c r="W11" s="401">
        <f ca="1">IFERROR(IF(OR($F11="",$F11&gt;=VLOOKUP(W$7,Table_Demand,Col_Demand_PerPumpout,FALSE)),('(2) Facility Inputs'!$S12+(VLOOKUP(W$7,Table_Demand,Col_Demand_PerPumpout,FALSE)-'(2) Facility Inputs'!$U12)*'(2) Facility Inputs'!$W12)+(((VLOOKUP(W$7,Table_Demand,Col_Demand_PerPumpout,FALSE)-'(2) Facility Inputs'!$U12)/$E11/60+VLOOKUP(W$7,InputTable_VesselClass,Col_Buffer,FALSE)/60)*'(2) Facility Inputs'!$X12),""),"Unknown; user input required")</f>
        <v>0</v>
      </c>
      <c r="X11" s="401">
        <f ca="1">IFERROR(IF(OR($F11="",$F11&gt;=VLOOKUP(X$7,Table_Demand,Col_Demand_PerPumpout,FALSE)),('(2) Facility Inputs'!$S12+(VLOOKUP(X$7,Table_Demand,Col_Demand_PerPumpout,FALSE)-'(2) Facility Inputs'!$U12)*'(2) Facility Inputs'!$W12)+(((VLOOKUP(X$7,Table_Demand,Col_Demand_PerPumpout,FALSE)-'(2) Facility Inputs'!$U12)/$E11/60+VLOOKUP(X$7,InputTable_VesselClass,Col_Buffer,FALSE)/60)*'(2) Facility Inputs'!$X12),""),"Unknown; user input required")</f>
        <v>0</v>
      </c>
      <c r="Y11" s="401">
        <f ca="1">IFERROR(IF(OR($F11="",$F11&gt;=VLOOKUP(Y$7,Table_Demand,Col_Demand_PerPumpout,FALSE)),('(2) Facility Inputs'!$S12+(VLOOKUP(Y$7,Table_Demand,Col_Demand_PerPumpout,FALSE)-'(2) Facility Inputs'!$U12)*'(2) Facility Inputs'!$W12)+(((VLOOKUP(Y$7,Table_Demand,Col_Demand_PerPumpout,FALSE)-'(2) Facility Inputs'!$U12)/$E11/60+VLOOKUP(Y$7,InputTable_VesselClass,Col_Buffer,FALSE)/60)*'(2) Facility Inputs'!$X12),""),"Unknown; user input required")</f>
        <v>0</v>
      </c>
      <c r="Z11" s="326" t="s">
        <v>105</v>
      </c>
      <c r="AA11" s="304"/>
      <c r="AB11" s="304"/>
      <c r="AC11" s="304"/>
      <c r="AD11" s="304"/>
      <c r="AE11" s="304"/>
      <c r="AF11" s="304"/>
      <c r="AG11" s="304"/>
      <c r="AH11" s="304"/>
      <c r="AI11" s="304"/>
      <c r="AJ11" s="304"/>
      <c r="AK11" s="304"/>
    </row>
    <row r="12" spans="1:37" hidden="1" x14ac:dyDescent="0.2">
      <c r="A12" s="26"/>
      <c r="B12" s="326"/>
      <c r="C12" s="326"/>
      <c r="D12" s="326"/>
      <c r="E12" s="326"/>
      <c r="F12" s="326"/>
      <c r="G12" s="326"/>
      <c r="H12" s="326"/>
      <c r="I12" s="326"/>
      <c r="J12" s="326"/>
      <c r="K12" s="326"/>
      <c r="L12" s="326"/>
      <c r="M12" s="326"/>
      <c r="N12" s="326"/>
      <c r="O12" s="326"/>
      <c r="P12" s="326"/>
      <c r="Q12" s="326"/>
      <c r="R12" s="326"/>
      <c r="S12" s="326"/>
      <c r="T12" s="326"/>
      <c r="U12" s="395" t="str">
        <f>IFERROR(AVERAGE(I12:T12),"Unknown; user input required")</f>
        <v>Unknown; user input required</v>
      </c>
      <c r="V12" s="326"/>
      <c r="W12" s="326"/>
      <c r="X12" s="401" t="str">
        <f ca="1">IFERROR(('(2) Facility Inputs'!$S13+(VLOOKUP(X$7,Table_Demand,Col_Demand_PerPumpout,FALSE)-'(2) Facility Inputs'!$U13)*'(2) Facility Inputs'!$W13)+('(2) Facility Inputs'!$S13+(VLOOKUP(X$7,Table_Demand,Col_Demand_PerPumpout,FALSE)-'(2) Facility Inputs'!$U13)/$E12/60*'(2) Facility Inputs'!$X13),"Unknown; user input required")</f>
        <v>Unknown; user input required</v>
      </c>
      <c r="Y12" s="326"/>
      <c r="Z12" s="326"/>
      <c r="AA12" s="304"/>
      <c r="AB12" s="304"/>
      <c r="AC12" s="304"/>
      <c r="AD12" s="304"/>
      <c r="AE12" s="304"/>
      <c r="AF12" s="304"/>
      <c r="AG12" s="304"/>
      <c r="AH12" s="304"/>
      <c r="AI12" s="304"/>
      <c r="AJ12" s="304"/>
      <c r="AK12" s="304"/>
    </row>
    <row r="13" spans="1:37" x14ac:dyDescent="0.2">
      <c r="A13" s="304"/>
      <c r="B13" s="304"/>
      <c r="C13" s="304"/>
      <c r="D13" s="304"/>
      <c r="E13" s="403"/>
      <c r="F13" s="304"/>
      <c r="G13" s="304"/>
      <c r="H13" s="304"/>
      <c r="I13" s="404"/>
      <c r="J13" s="404"/>
      <c r="K13" s="404"/>
      <c r="L13" s="404"/>
      <c r="M13" s="404"/>
      <c r="N13" s="404"/>
      <c r="O13" s="404"/>
      <c r="P13" s="404"/>
      <c r="Q13" s="404"/>
      <c r="R13" s="404"/>
      <c r="S13" s="404"/>
      <c r="T13" s="404"/>
      <c r="U13" s="404"/>
      <c r="V13" s="405"/>
      <c r="W13" s="405"/>
      <c r="X13" s="405"/>
      <c r="Y13" s="405"/>
      <c r="Z13" s="326"/>
      <c r="AA13" s="304"/>
      <c r="AB13" s="304"/>
      <c r="AC13" s="304"/>
      <c r="AD13" s="304"/>
      <c r="AE13" s="304"/>
      <c r="AF13" s="304"/>
      <c r="AG13" s="304"/>
      <c r="AH13" s="304"/>
      <c r="AI13" s="304"/>
      <c r="AJ13" s="304"/>
      <c r="AK13" s="304"/>
    </row>
    <row r="14" spans="1:37" x14ac:dyDescent="0.2">
      <c r="A14" s="311" t="s">
        <v>233</v>
      </c>
      <c r="B14" s="311"/>
      <c r="C14" s="311"/>
      <c r="D14" s="311"/>
      <c r="E14" s="406" t="str">
        <f>IFERROR(SUMPRODUCT(E8:E12,U8:U12)/SUM(U8:U12),"Unknown; user input required")</f>
        <v>Unknown; user input required</v>
      </c>
      <c r="F14" s="311"/>
      <c r="G14" s="311"/>
      <c r="H14" s="311"/>
      <c r="I14" s="373"/>
      <c r="J14" s="373"/>
      <c r="K14" s="373"/>
      <c r="L14" s="373"/>
      <c r="M14" s="373"/>
      <c r="N14" s="373"/>
      <c r="O14" s="373"/>
      <c r="P14" s="373"/>
      <c r="Q14" s="373"/>
      <c r="R14" s="373"/>
      <c r="S14" s="373"/>
      <c r="T14" s="373"/>
      <c r="U14" s="373"/>
      <c r="V14" s="401" t="str" cm="1">
        <f t="array" aca="1" ref="V14" ca="1">IFERROR(SUMPRODUCT(--(V8:V12&lt;&gt;""),$U8:$U12,V8:V12)/SUMIFS($U8:$U12,V8:V12,"&gt;=0"),"Unknown; user input required")</f>
        <v>Unknown; user input required</v>
      </c>
      <c r="W14" s="401" t="str" cm="1">
        <f t="array" aca="1" ref="W14" ca="1">IFERROR(SUMPRODUCT(--(W8:W12&lt;&gt;""),$U8:$U12,W8:W12)/SUMIFS($U8:$U12,W8:W12,"&gt;=0"),"Unknown; user input required")</f>
        <v>Unknown; user input required</v>
      </c>
      <c r="X14" s="401" t="str" cm="1">
        <f t="array" aca="1" ref="X14" ca="1">IFERROR(SUMPRODUCT(--(X8:X12&lt;&gt;""),$U8:$U12,X8:X12)/SUMIFS($U8:$U12,X8:X12,"&gt;=0"),"Unknown; user input required")</f>
        <v>Unknown; user input required</v>
      </c>
      <c r="Y14" s="401" t="str" cm="1">
        <f t="array" aca="1" ref="Y14" ca="1">IFERROR(SUMPRODUCT(--(Y8:Y12&lt;&gt;""),$U8:$U12,Y8:Y12)/SUMIFS($U8:$U12,Y8:Y12,"&gt;=0"),"Unknown; user input required")</f>
        <v>Unknown; user input required</v>
      </c>
      <c r="Z14" s="401" t="str">
        <f>IFERROR(SUMPRODUCT($U8:$U12,Z8:Z12)/SUMIFS($U8:$U12,Z8:Z12,"&gt;=0"),"Unknown; user input required")</f>
        <v>Unknown; user input required</v>
      </c>
      <c r="AA14" s="304"/>
      <c r="AB14" s="304"/>
      <c r="AC14" s="304"/>
      <c r="AD14" s="304"/>
      <c r="AE14" s="304"/>
      <c r="AF14" s="304"/>
      <c r="AG14" s="304"/>
      <c r="AH14" s="304"/>
      <c r="AI14" s="304"/>
      <c r="AJ14" s="304"/>
      <c r="AK14" s="304"/>
    </row>
    <row r="15" spans="1:37" x14ac:dyDescent="0.2">
      <c r="A15" s="311" t="s">
        <v>234</v>
      </c>
      <c r="B15" s="311"/>
      <c r="C15" s="311"/>
      <c r="D15" s="311"/>
      <c r="E15" s="311"/>
      <c r="F15" s="311"/>
      <c r="G15" s="311"/>
      <c r="H15" s="311"/>
      <c r="I15" s="373">
        <f t="shared" ref="I15:T15" si="5">SUMIF($D$8:$D$12,7,I$8:I$12)</f>
        <v>0</v>
      </c>
      <c r="J15" s="373">
        <f t="shared" si="5"/>
        <v>0</v>
      </c>
      <c r="K15" s="373">
        <f t="shared" si="5"/>
        <v>0</v>
      </c>
      <c r="L15" s="373">
        <f t="shared" si="5"/>
        <v>0</v>
      </c>
      <c r="M15" s="373">
        <f t="shared" si="5"/>
        <v>0</v>
      </c>
      <c r="N15" s="373">
        <f t="shared" si="5"/>
        <v>0</v>
      </c>
      <c r="O15" s="373">
        <f t="shared" si="5"/>
        <v>0</v>
      </c>
      <c r="P15" s="373">
        <f t="shared" si="5"/>
        <v>0</v>
      </c>
      <c r="Q15" s="373">
        <f t="shared" si="5"/>
        <v>0</v>
      </c>
      <c r="R15" s="373">
        <f t="shared" si="5"/>
        <v>0</v>
      </c>
      <c r="S15" s="373">
        <f t="shared" si="5"/>
        <v>0</v>
      </c>
      <c r="T15" s="373">
        <f t="shared" si="5"/>
        <v>0</v>
      </c>
      <c r="U15" s="373"/>
      <c r="V15" s="311"/>
      <c r="W15" s="311"/>
      <c r="X15" s="407"/>
      <c r="Y15" s="311"/>
      <c r="Z15" s="326"/>
      <c r="AA15" s="304"/>
      <c r="AB15" s="304"/>
      <c r="AC15" s="304"/>
      <c r="AD15" s="304"/>
      <c r="AE15" s="304"/>
      <c r="AF15" s="304"/>
      <c r="AG15" s="304"/>
      <c r="AH15" s="304"/>
      <c r="AI15" s="304"/>
      <c r="AJ15" s="304"/>
      <c r="AK15" s="304"/>
    </row>
    <row r="16" spans="1:37" x14ac:dyDescent="0.2">
      <c r="A16" s="311" t="s">
        <v>235</v>
      </c>
      <c r="B16" s="311"/>
      <c r="C16" s="311"/>
      <c r="D16" s="311"/>
      <c r="E16" s="311"/>
      <c r="F16" s="311"/>
      <c r="G16" s="311"/>
      <c r="H16" s="311"/>
      <c r="I16" s="408">
        <f t="shared" ref="I16:T16" si="6">(7-_xlfn.MAXIFS($D$8:$D$12,$D$8:$D$12,"&lt;7",I$8:I$12,"&gt;0"))/7</f>
        <v>1</v>
      </c>
      <c r="J16" s="408">
        <f t="shared" si="6"/>
        <v>1</v>
      </c>
      <c r="K16" s="408">
        <f t="shared" si="6"/>
        <v>1</v>
      </c>
      <c r="L16" s="408">
        <f t="shared" si="6"/>
        <v>1</v>
      </c>
      <c r="M16" s="408">
        <f t="shared" si="6"/>
        <v>1</v>
      </c>
      <c r="N16" s="408">
        <f t="shared" si="6"/>
        <v>1</v>
      </c>
      <c r="O16" s="408">
        <f t="shared" si="6"/>
        <v>1</v>
      </c>
      <c r="P16" s="408">
        <f t="shared" si="6"/>
        <v>1</v>
      </c>
      <c r="Q16" s="408">
        <f t="shared" si="6"/>
        <v>1</v>
      </c>
      <c r="R16" s="408">
        <f t="shared" si="6"/>
        <v>1</v>
      </c>
      <c r="S16" s="408">
        <f t="shared" si="6"/>
        <v>1</v>
      </c>
      <c r="T16" s="408">
        <f t="shared" si="6"/>
        <v>1</v>
      </c>
      <c r="U16" s="408"/>
      <c r="V16" s="311"/>
      <c r="W16" s="311"/>
      <c r="X16" s="407"/>
      <c r="Y16" s="311"/>
      <c r="Z16" s="326"/>
      <c r="AA16" s="304"/>
      <c r="AB16" s="304"/>
      <c r="AC16" s="304"/>
      <c r="AD16" s="304"/>
      <c r="AE16" s="304"/>
      <c r="AF16" s="304"/>
      <c r="AG16" s="304"/>
      <c r="AH16" s="304"/>
      <c r="AI16" s="304"/>
      <c r="AJ16" s="304"/>
      <c r="AK16" s="304"/>
    </row>
    <row r="17" spans="1:26" x14ac:dyDescent="0.2">
      <c r="A17" s="311" t="s">
        <v>236</v>
      </c>
      <c r="B17" s="311"/>
      <c r="C17" s="311"/>
      <c r="D17" s="311"/>
      <c r="E17" s="311"/>
      <c r="F17" s="311"/>
      <c r="G17" s="311"/>
      <c r="H17" s="311"/>
      <c r="I17" s="373">
        <f t="shared" ref="I17:T17" si="7">SUM(I$8:I$12)</f>
        <v>0</v>
      </c>
      <c r="J17" s="373">
        <f t="shared" si="7"/>
        <v>0</v>
      </c>
      <c r="K17" s="373">
        <f t="shared" si="7"/>
        <v>0</v>
      </c>
      <c r="L17" s="373">
        <f t="shared" si="7"/>
        <v>0</v>
      </c>
      <c r="M17" s="373">
        <f t="shared" si="7"/>
        <v>0</v>
      </c>
      <c r="N17" s="373">
        <f t="shared" si="7"/>
        <v>0</v>
      </c>
      <c r="O17" s="373">
        <f t="shared" si="7"/>
        <v>0</v>
      </c>
      <c r="P17" s="373">
        <f t="shared" si="7"/>
        <v>0</v>
      </c>
      <c r="Q17" s="373">
        <f t="shared" si="7"/>
        <v>0</v>
      </c>
      <c r="R17" s="373">
        <f t="shared" si="7"/>
        <v>0</v>
      </c>
      <c r="S17" s="373">
        <f t="shared" si="7"/>
        <v>0</v>
      </c>
      <c r="T17" s="373">
        <f t="shared" si="7"/>
        <v>0</v>
      </c>
      <c r="U17" s="373"/>
      <c r="V17" s="311"/>
      <c r="W17" s="311"/>
      <c r="X17" s="407"/>
      <c r="Y17" s="311"/>
      <c r="Z17" s="326"/>
    </row>
    <row r="18" spans="1:26" x14ac:dyDescent="0.2">
      <c r="A18" s="311" t="s">
        <v>237</v>
      </c>
      <c r="B18" s="311"/>
      <c r="C18" s="311"/>
      <c r="D18" s="311"/>
      <c r="E18" s="311"/>
      <c r="F18" s="311"/>
      <c r="G18" s="311"/>
      <c r="H18" s="311"/>
      <c r="I18" s="408">
        <f t="shared" ref="I18:T18" si="8">_xlfn.MINIFS($D$8:$D$12,I$8:I$12,"&gt;0")/7</f>
        <v>0</v>
      </c>
      <c r="J18" s="408">
        <f t="shared" si="8"/>
        <v>0</v>
      </c>
      <c r="K18" s="408">
        <f t="shared" si="8"/>
        <v>0</v>
      </c>
      <c r="L18" s="408">
        <f t="shared" si="8"/>
        <v>0</v>
      </c>
      <c r="M18" s="408">
        <f t="shared" si="8"/>
        <v>0</v>
      </c>
      <c r="N18" s="408">
        <f t="shared" si="8"/>
        <v>0</v>
      </c>
      <c r="O18" s="408">
        <f t="shared" si="8"/>
        <v>0</v>
      </c>
      <c r="P18" s="408">
        <f t="shared" si="8"/>
        <v>0</v>
      </c>
      <c r="Q18" s="408">
        <f t="shared" si="8"/>
        <v>0</v>
      </c>
      <c r="R18" s="408">
        <f t="shared" si="8"/>
        <v>0</v>
      </c>
      <c r="S18" s="408">
        <f t="shared" si="8"/>
        <v>0</v>
      </c>
      <c r="T18" s="408">
        <f t="shared" si="8"/>
        <v>0</v>
      </c>
      <c r="U18" s="408"/>
      <c r="V18" s="311"/>
      <c r="W18" s="311"/>
      <c r="X18" s="407"/>
      <c r="Y18" s="311"/>
      <c r="Z18" s="326"/>
    </row>
    <row r="19" spans="1:26" hidden="1" x14ac:dyDescent="0.2">
      <c r="A19" s="22" t="s">
        <v>105</v>
      </c>
      <c r="B19" s="323"/>
      <c r="C19" s="323"/>
      <c r="D19" s="323"/>
      <c r="E19" s="323"/>
      <c r="F19" s="323"/>
      <c r="G19" s="323"/>
      <c r="H19" s="323"/>
      <c r="I19" s="323"/>
      <c r="J19" s="323"/>
      <c r="K19" s="323"/>
      <c r="L19" s="323"/>
      <c r="M19" s="323"/>
      <c r="N19" s="323"/>
      <c r="O19" s="323"/>
      <c r="P19" s="323"/>
      <c r="Q19" s="323"/>
      <c r="R19" s="323"/>
      <c r="S19" s="323"/>
      <c r="T19" s="323"/>
      <c r="U19" s="323"/>
      <c r="V19" s="323"/>
      <c r="W19" s="323"/>
      <c r="X19" s="323"/>
      <c r="Y19" s="326"/>
      <c r="Z19" s="323"/>
    </row>
    <row r="22" spans="1:26" x14ac:dyDescent="0.2">
      <c r="A22" s="304"/>
      <c r="B22" s="304"/>
      <c r="C22" s="304"/>
      <c r="D22" s="304"/>
      <c r="E22" s="304"/>
      <c r="F22" s="304"/>
      <c r="G22" s="304"/>
      <c r="H22" s="304"/>
      <c r="I22" s="404">
        <f>MIN(I15:T15)</f>
        <v>0</v>
      </c>
      <c r="J22" s="304"/>
      <c r="K22" s="304"/>
      <c r="L22" s="304"/>
      <c r="M22" s="304"/>
      <c r="N22" s="304"/>
      <c r="O22" s="304"/>
      <c r="P22" s="304"/>
      <c r="Q22" s="304"/>
      <c r="R22" s="304"/>
      <c r="S22" s="304"/>
      <c r="T22" s="304"/>
      <c r="U22" s="304"/>
      <c r="V22" s="304"/>
      <c r="W22" s="304"/>
      <c r="X22" s="304"/>
      <c r="Y22" s="304"/>
      <c r="Z22" s="304"/>
    </row>
    <row r="23" spans="1:26" x14ac:dyDescent="0.2">
      <c r="A23" s="304"/>
      <c r="B23" s="304"/>
      <c r="C23" s="304"/>
      <c r="D23" s="304"/>
      <c r="E23" s="304"/>
      <c r="F23" s="304"/>
      <c r="G23" s="304"/>
      <c r="H23" s="304"/>
      <c r="I23" s="404">
        <f>MAX(I17:T17)</f>
        <v>0</v>
      </c>
      <c r="J23" s="304"/>
      <c r="K23" s="304"/>
      <c r="L23" s="304"/>
      <c r="M23" s="304"/>
      <c r="N23" s="304"/>
      <c r="O23" s="304"/>
      <c r="P23" s="304"/>
      <c r="Q23" s="304"/>
      <c r="R23" s="304"/>
      <c r="S23" s="304"/>
      <c r="T23" s="304"/>
      <c r="U23" s="304"/>
      <c r="V23" s="304"/>
      <c r="W23" s="304"/>
      <c r="X23" s="304"/>
      <c r="Y23" s="304"/>
      <c r="Z23" s="304"/>
    </row>
  </sheetData>
  <mergeCells count="1">
    <mergeCell ref="V5:Y5"/>
  </mergeCells>
  <conditionalFormatting sqref="V7:Y7">
    <cfRule type="expression" dxfId="84" priority="1">
      <formula>V$7="Enter vessel class in (1) Vessel Inputs"</formula>
    </cfRule>
  </conditionalFormatting>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649AE8-FC52-4EF6-AD1F-1E076A373621}">
  <sheetPr codeName="Sheet15">
    <tabColor theme="5" tint="0.59999389629810485"/>
  </sheetPr>
  <dimension ref="A1:N379"/>
  <sheetViews>
    <sheetView showGridLines="0" zoomScale="90" zoomScaleNormal="90" workbookViewId="0">
      <pane xSplit="1" ySplit="5" topLeftCell="B6" activePane="bottomRight" state="frozen"/>
      <selection pane="topRight" activeCell="B1" sqref="B1"/>
      <selection pane="bottomLeft" activeCell="A7" sqref="A7"/>
      <selection pane="bottomRight" activeCell="G5" sqref="G5"/>
    </sheetView>
  </sheetViews>
  <sheetFormatPr defaultColWidth="9.140625" defaultRowHeight="14.25" x14ac:dyDescent="0.2"/>
  <cols>
    <col min="1" max="1" width="20.5703125" style="36" customWidth="1"/>
    <col min="2" max="2" width="18.140625" style="36" customWidth="1"/>
    <col min="3" max="6" width="28.42578125" style="36" customWidth="1"/>
    <col min="7" max="7" width="16.85546875" style="36" hidden="1" customWidth="1"/>
    <col min="8" max="8" width="20.140625" style="36" customWidth="1"/>
    <col min="9" max="10" width="13" style="36" customWidth="1"/>
    <col min="11" max="12" width="10.85546875" style="36" customWidth="1"/>
    <col min="13" max="13" width="11.42578125" style="36" customWidth="1"/>
    <col min="14" max="14" width="0" style="36" hidden="1" customWidth="1"/>
    <col min="15" max="16384" width="9.140625" style="36"/>
  </cols>
  <sheetData>
    <row r="1" spans="1:14" ht="18" x14ac:dyDescent="0.25">
      <c r="A1" s="43" t="s">
        <v>238</v>
      </c>
      <c r="B1" s="304"/>
      <c r="C1" s="304"/>
      <c r="D1" s="304"/>
      <c r="E1" s="304"/>
      <c r="F1" s="304"/>
      <c r="G1" s="304"/>
      <c r="H1" s="304"/>
      <c r="I1" s="304"/>
      <c r="J1" s="304"/>
      <c r="K1" s="304"/>
      <c r="L1" s="304"/>
      <c r="M1" s="304"/>
      <c r="N1" s="304"/>
    </row>
    <row r="2" spans="1:14" ht="15.75" x14ac:dyDescent="0.25">
      <c r="A2" s="28"/>
      <c r="B2" s="304"/>
      <c r="C2" s="304"/>
      <c r="D2" s="304"/>
      <c r="E2" s="304"/>
      <c r="F2" s="304"/>
      <c r="G2" s="304"/>
      <c r="H2" s="304"/>
      <c r="I2" s="404"/>
      <c r="J2" s="304"/>
      <c r="K2" s="304"/>
      <c r="L2" s="304"/>
      <c r="M2" s="304"/>
      <c r="N2" s="304"/>
    </row>
    <row r="3" spans="1:14" ht="15.75" x14ac:dyDescent="0.25">
      <c r="A3" s="28" t="s">
        <v>239</v>
      </c>
      <c r="B3" s="304"/>
      <c r="C3" s="304"/>
      <c r="D3" s="304"/>
      <c r="E3" s="304"/>
      <c r="F3" s="304"/>
      <c r="G3" s="304"/>
      <c r="H3" s="304"/>
      <c r="I3" s="404"/>
      <c r="J3" s="304"/>
      <c r="K3" s="304"/>
      <c r="L3" s="304"/>
      <c r="M3" s="304"/>
      <c r="N3" s="304"/>
    </row>
    <row r="4" spans="1:14" ht="16.5" thickBot="1" x14ac:dyDescent="0.3">
      <c r="A4" s="28"/>
      <c r="B4" s="304"/>
      <c r="C4" s="304"/>
      <c r="D4" s="304"/>
      <c r="E4" s="304"/>
      <c r="F4" s="304"/>
      <c r="G4" s="304"/>
      <c r="H4" s="304"/>
      <c r="I4" s="404">
        <f ca="1">MAX(I14:I378)</f>
        <v>0</v>
      </c>
      <c r="J4" s="404"/>
      <c r="K4" s="304"/>
      <c r="L4" s="304"/>
      <c r="M4" s="304"/>
      <c r="N4" s="304"/>
    </row>
    <row r="5" spans="1:14" ht="45.75" thickBot="1" x14ac:dyDescent="0.3">
      <c r="A5" s="67" t="s">
        <v>240</v>
      </c>
      <c r="B5" s="68" t="s">
        <v>241</v>
      </c>
      <c r="C5" s="69" t="str">
        <f t="shared" ref="C5:F5" ca="1" si="0">IF(COLUMN()-COLUMN(Scenario_Start_Col)=0,"Tugboats",IF(COLUMN()-COLUMN(Scenario_Start_Col)=1,"Commercial Fishing Vessels",IF(COLUMN()-COLUMN(Scenario_Start_Col)=2,"Excursion",IF(COLUMN()-COLUMN(Scenario_Start_Col)=3,"Ferries",IF(OFFSET(Vessels_Start_Table,COLUMN()-COLUMN(Scenario_Start_Col)+1,0)="","Enter vessel class in (1) Vessel Inputs",OFFSET(Vessels_Start_Table,COLUMN()-COLUMN(Scenario_Start_Col)+1,0))))))</f>
        <v>Tugboats</v>
      </c>
      <c r="D5" s="69" t="str">
        <f t="shared" ca="1" si="0"/>
        <v>Commercial Fishing Vessels</v>
      </c>
      <c r="E5" s="69" t="str">
        <f t="shared" ca="1" si="0"/>
        <v>Excursion</v>
      </c>
      <c r="F5" s="69" t="str">
        <f t="shared" ca="1" si="0"/>
        <v>Ferries</v>
      </c>
      <c r="G5" s="69" t="s">
        <v>242</v>
      </c>
      <c r="H5" s="69" t="s">
        <v>243</v>
      </c>
      <c r="I5" s="69" t="s">
        <v>244</v>
      </c>
      <c r="J5" s="69" t="s">
        <v>245</v>
      </c>
      <c r="K5" s="69" t="s">
        <v>246</v>
      </c>
      <c r="L5" s="69" t="s">
        <v>247</v>
      </c>
      <c r="M5" s="70" t="s">
        <v>248</v>
      </c>
      <c r="N5" s="22" t="s">
        <v>105</v>
      </c>
    </row>
    <row r="6" spans="1:14" x14ac:dyDescent="0.2">
      <c r="A6" s="359"/>
      <c r="B6" s="37" t="s">
        <v>249</v>
      </c>
      <c r="C6" s="35">
        <f t="shared" ref="C6:F6" ca="1" si="1">IFERROR(IF(ISBLANK((VLOOKUP(C5,InputTable_VesselClass,Col_Input_AvgDays,FALSE))),"Unknown; user input required",IF(VLOOKUP(C5,InputTable_VesselClass,Col_Input_AvgDays,FALSE)&lt;1,VLOOKUP(C5,InputTable_VesselClass,Col_Input_AvgDays,FALSE),IF(VLOOKUP(C5,InputTable_VesselClass,Col_Input_AvgDays,FALSE)&gt;=1,ROUNDUP(VLOOKUP(C5,InputTable_VesselClass,Col_Input_AvgDays,FALSE),0),"Uknown; user input required"))),"Unknown; user input required")</f>
        <v>8</v>
      </c>
      <c r="D6" s="35">
        <f t="shared" ca="1" si="1"/>
        <v>2</v>
      </c>
      <c r="E6" s="35">
        <f t="shared" ca="1" si="1"/>
        <v>0.5</v>
      </c>
      <c r="F6" s="35">
        <f t="shared" ca="1" si="1"/>
        <v>0.5</v>
      </c>
      <c r="G6" s="35"/>
      <c r="H6" s="304"/>
      <c r="I6" s="304"/>
      <c r="J6" s="304"/>
      <c r="K6" s="304"/>
      <c r="L6" s="304"/>
      <c r="M6" s="309"/>
      <c r="N6" s="323"/>
    </row>
    <row r="7" spans="1:14" x14ac:dyDescent="0.2">
      <c r="A7" s="359"/>
      <c r="B7" s="37" t="s">
        <v>207</v>
      </c>
      <c r="C7" s="35">
        <f t="shared" ref="C7:F7" ca="1" si="2">IFERROR(VLOOKUP(C5,Table_Demand,Col_Dem_NoVessels,FALSE),"Unknown; user input required")</f>
        <v>0</v>
      </c>
      <c r="D7" s="35">
        <f t="shared" ca="1" si="2"/>
        <v>0</v>
      </c>
      <c r="E7" s="35">
        <f t="shared" ca="1" si="2"/>
        <v>0</v>
      </c>
      <c r="F7" s="35">
        <f t="shared" ca="1" si="2"/>
        <v>0</v>
      </c>
      <c r="G7" s="35"/>
      <c r="H7" s="304"/>
      <c r="I7" s="304"/>
      <c r="J7" s="304"/>
      <c r="K7" s="304"/>
      <c r="L7" s="304"/>
      <c r="M7" s="309"/>
      <c r="N7" s="323"/>
    </row>
    <row r="8" spans="1:14" x14ac:dyDescent="0.2">
      <c r="A8" s="359"/>
      <c r="B8" s="37" t="s">
        <v>211</v>
      </c>
      <c r="C8" s="35">
        <f t="shared" ref="C8:F8" ca="1" si="3">IFERROR(VLOOKUP(C5,Table_Demand,Col_Demand_PerPumpout,FALSE),"Unknown; user input required")</f>
        <v>495</v>
      </c>
      <c r="D8" s="35">
        <f t="shared" ca="1" si="3"/>
        <v>154</v>
      </c>
      <c r="E8" s="35">
        <f t="shared" ca="1" si="3"/>
        <v>785.4</v>
      </c>
      <c r="F8" s="35">
        <f t="shared" ca="1" si="3"/>
        <v>1029.3</v>
      </c>
      <c r="G8" s="35"/>
      <c r="H8" s="304"/>
      <c r="I8" s="304"/>
      <c r="J8" s="304"/>
      <c r="K8" s="304"/>
      <c r="L8" s="304"/>
      <c r="M8" s="309"/>
      <c r="N8" s="323"/>
    </row>
    <row r="9" spans="1:14" x14ac:dyDescent="0.2">
      <c r="A9" s="359"/>
      <c r="B9" s="37" t="s">
        <v>250</v>
      </c>
      <c r="C9" s="35">
        <f ca="1">IFERROR(IF(C12="",IF(C11&gt;C10,C11-C10+1,365-C10+1+C11),IF(C11&gt;C10,C11-C10+1,365-C10+1+C11)+IF(C13&gt;C12,C13-C12+1,365-C12+1+C13)),"Unknown; user input required")</f>
        <v>351</v>
      </c>
      <c r="D9" s="35">
        <f t="shared" ref="D9:F9" ca="1" si="4">IFERROR(IF(D12="",IF(D11&gt;D10,D11-D10+1,365-D10+1+D11),IF(D11&gt;D10,D11-D10+1,365-D10+1+D11)+IF(D13&gt;D12,D13-D12+1,365-D12+1+D13)),"Unknown; user input required")</f>
        <v>95</v>
      </c>
      <c r="E9" s="35">
        <f t="shared" ca="1" si="4"/>
        <v>175</v>
      </c>
      <c r="F9" s="35">
        <f t="shared" ca="1" si="4"/>
        <v>175</v>
      </c>
      <c r="G9" s="35">
        <f>IFERROR(IF(G12="",IF(G11&gt;G10,G11-G10,365-G10+G11),IF(AND(NOT(G12=""),G12&gt;G11),IF(G11&gt;G10,G11-G10,365-G10+G11)+IF(G13&gt;G12,G13-G12,365-G12+G13),IF(AND(NOT(G12=""),G12&lt;G11,G13&gt;G11,G10&lt;G11),G13-G10,IF(AND(G12&lt;G11,G13&lt;G10,G11&gt;G10),(G11-G10)+(365-G12+G13)-(G11-G12),IF(AND(G12&lt;G11,G13&lt;G10,G11&lt;G10),(365-G10+G11)+(365-G12+G13)-(G11-G12),IF(AND(G12&lt;G11,G13&lt;G12,G13&gt;G10,G11&lt;G10),(365-G10+G11)+(365-G12+G13)-(G11-G12)-(G13-G10),IF(AND(G12&lt;G11,G13&lt;G12,G13&gt;G10,G11&gt;G10),(G11-G10)+(365-G12+G13)-(G11-G12)-(G13-G10),IF(AND(G12&lt;G10,G13&gt;G10,G11&gt;G10,G13&gt;G12),(G10-G12)+(G11-G10)))))))))+1,"Unknown; user input required")</f>
        <v>366</v>
      </c>
      <c r="H9" s="304"/>
      <c r="I9" s="304"/>
      <c r="J9" s="304"/>
      <c r="K9" s="304"/>
      <c r="L9" s="304"/>
      <c r="M9" s="309"/>
      <c r="N9" s="323"/>
    </row>
    <row r="10" spans="1:14" x14ac:dyDescent="0.2">
      <c r="A10" s="359"/>
      <c r="B10" s="37" t="s">
        <v>251</v>
      </c>
      <c r="C10" s="35">
        <f t="shared" ref="C10:F10" ca="1" si="5">IFERROR(IF(VLOOKUP(C5,InputTable_VesselClass,Col_Input_SeasonStart,FALSE)="","Unknown; user input required",VLOOKUP(C5,InputTable_VesselClass,Col_Input_SeasonStart,FALSE)-DATE(YEAR(VLOOKUP(C5,InputTable_VesselClass,Col_Input_SeasonStart,FALSE)),1,0)),"Unknown; user input required")</f>
        <v>8</v>
      </c>
      <c r="D10" s="35">
        <f t="shared" ca="1" si="5"/>
        <v>136</v>
      </c>
      <c r="E10" s="35">
        <f t="shared" ca="1" si="5"/>
        <v>96</v>
      </c>
      <c r="F10" s="35">
        <f t="shared" ca="1" si="5"/>
        <v>96</v>
      </c>
      <c r="G10" s="35"/>
      <c r="H10" s="304"/>
      <c r="I10" s="304"/>
      <c r="J10" s="304"/>
      <c r="K10" s="304"/>
      <c r="L10" s="304"/>
      <c r="M10" s="309"/>
      <c r="N10" s="323"/>
    </row>
    <row r="11" spans="1:14" x14ac:dyDescent="0.2">
      <c r="A11" s="359"/>
      <c r="B11" s="37" t="s">
        <v>252</v>
      </c>
      <c r="C11" s="35">
        <f t="shared" ref="C11:F11" ca="1" si="6">IFERROR(IF(VLOOKUP(C5,InputTable_VesselClass,Col_Input_SeasonEnd,FALSE)="","Unknown; user input required",VLOOKUP(C5,InputTable_VesselClass,Col_Input_SeasonEnd,FALSE)-DATE(YEAR(VLOOKUP(C5,InputTable_VesselClass,Col_Input_SeasonEnd,FALSE)),1,0)),"Unknown; user input required")</f>
        <v>358</v>
      </c>
      <c r="D11" s="35">
        <f t="shared" ca="1" si="6"/>
        <v>230</v>
      </c>
      <c r="E11" s="35">
        <f t="shared" ca="1" si="6"/>
        <v>270</v>
      </c>
      <c r="F11" s="35">
        <f t="shared" ca="1" si="6"/>
        <v>270</v>
      </c>
      <c r="G11" s="35"/>
      <c r="H11" s="304"/>
      <c r="I11" s="404"/>
      <c r="J11" s="404"/>
      <c r="K11" s="304"/>
      <c r="L11" s="304"/>
      <c r="M11" s="309"/>
      <c r="N11" s="323"/>
    </row>
    <row r="12" spans="1:14" x14ac:dyDescent="0.2">
      <c r="A12" s="359"/>
      <c r="B12" s="37" t="s">
        <v>253</v>
      </c>
      <c r="C12" s="35" t="str">
        <f t="shared" ref="C12:G12" ca="1" si="7">IFERROR(IF(VLOOKUP(C5,InputTable_VesselClass,Col_Input_SeasonStart2,FALSE)="","",VLOOKUP(C5,InputTable_VesselClass,Col_Input_SeasonStart2,FALSE)-DATE(YEAR(VLOOKUP(C5,InputTable_VesselClass,Col_Input_SeasonStart2,FALSE)),1,0)),"")</f>
        <v/>
      </c>
      <c r="D12" s="35" t="str">
        <f t="shared" ca="1" si="7"/>
        <v/>
      </c>
      <c r="E12" s="35" t="str">
        <f t="shared" ca="1" si="7"/>
        <v/>
      </c>
      <c r="F12" s="35" t="str">
        <f t="shared" ca="1" si="7"/>
        <v/>
      </c>
      <c r="G12" s="35" t="str">
        <f t="shared" si="7"/>
        <v/>
      </c>
      <c r="H12" s="304"/>
      <c r="I12" s="404"/>
      <c r="J12" s="404"/>
      <c r="K12" s="304"/>
      <c r="L12" s="304"/>
      <c r="M12" s="309"/>
      <c r="N12" s="323"/>
    </row>
    <row r="13" spans="1:14" x14ac:dyDescent="0.2">
      <c r="A13" s="359"/>
      <c r="B13" s="37" t="s">
        <v>254</v>
      </c>
      <c r="C13" s="35" t="str" cm="1">
        <f t="array" aca="1" ref="C13" ca="1">IFERROR(IF(VLOOKUP(C5,InputTable_VesselClass,Col_Input_SeasonEnd2,FALSE)="","",VLOOKUP(C5,InputTable_VesselClass,Col_Input_SeasonEnd2,FALSE)-DATE(YEAR(VLOOKUP(C5,InputTable_VesselClass,Col_Input_SeasonEnd2,FALSE)),1,0)),"")</f>
        <v/>
      </c>
      <c r="D13" s="35" t="str" cm="1">
        <f t="array" aca="1" ref="D13" ca="1">IFERROR(IF(VLOOKUP(D5,InputTable_VesselClass,Col_Input_SeasonEnd2,FALSE)="","",VLOOKUP(D5,InputTable_VesselClass,Col_Input_SeasonEnd2,FALSE)-DATE(YEAR(VLOOKUP(D5,InputTable_VesselClass,Col_Input_SeasonEnd2,FALSE)),1,0)),"")</f>
        <v/>
      </c>
      <c r="E13" s="35" t="str" cm="1">
        <f t="array" aca="1" ref="E13" ca="1">IFERROR(IF(VLOOKUP(E5,InputTable_VesselClass,Col_Input_SeasonEnd2,FALSE)="","",VLOOKUP(E5,InputTable_VesselClass,Col_Input_SeasonEnd2,FALSE)-DATE(YEAR(VLOOKUP(E5,InputTable_VesselClass,Col_Input_SeasonEnd2,FALSE)),1,0)),"")</f>
        <v/>
      </c>
      <c r="F13" s="35" t="str" cm="1">
        <f t="array" aca="1" ref="F13" ca="1">IFERROR(IF(VLOOKUP(F5,InputTable_VesselClass,Col_Input_SeasonEnd2,FALSE)="","",VLOOKUP(F5,InputTable_VesselClass,Col_Input_SeasonEnd2,FALSE)-DATE(YEAR(VLOOKUP(F5,InputTable_VesselClass,Col_Input_SeasonEnd2,FALSE)),1,0)),"")</f>
        <v/>
      </c>
      <c r="G13" s="35" t="str" cm="1">
        <f t="array" ref="G13">IFERROR(IF(VLOOKUP(G5,InputTable_VesselClass,Col_Input_SeasonEnd2,FALSE)="","",VLOOKUP(G5,InputTable_VesselClass,Col_Input_SeasonEnd2,FALSE)-DATE(YEAR(VLOOKUP(G5,InputTable_VesselClass,Col_Input_SeasonEnd2,FALSE)),1,0)),"")</f>
        <v/>
      </c>
      <c r="H13" s="304"/>
      <c r="I13" s="404"/>
      <c r="J13" s="404"/>
      <c r="K13" s="304"/>
      <c r="L13" s="304"/>
      <c r="M13" s="309"/>
      <c r="N13" s="323"/>
    </row>
    <row r="14" spans="1:14" x14ac:dyDescent="0.2">
      <c r="A14" s="409">
        <v>43466</v>
      </c>
      <c r="B14" s="304">
        <v>1</v>
      </c>
      <c r="C14" s="304">
        <f ca="1">IFERROR(IF(C$9=365,1/C$6,IF(C$12="",IF(C$11&gt;=C$10,IF(AND($B14&gt;=C$10+C$6, $B14&lt;=C$11),1/C$6,0),IF(OR($B14&gt;=C$10+C$6, $B14&lt;=C$11),1/C$6,0)),IF(OR(C$11&gt;=C$10,C$13&gt;=C$12),IF(OR(AND($B14&gt;=C$10+C$6, $B14&lt;=C$11),AND($B14&gt;=C$12+C$6, $B14&lt;=C$13)),1/C$6,0),IF(OR($B14&gt;=C$10+C$6, $B14&lt;=C$11,$B14&gt;=C$12+C$6, $B14&lt;=C$13),1/C$6,0)))),"Unknown; user input required")</f>
        <v>0</v>
      </c>
      <c r="D14" s="304">
        <f t="shared" ref="D14:F29" ca="1" si="8">IFERROR(IF(D$9=365,1/D$6,IF(D$12="",IF(D$11&gt;=D$10,IF(AND($B14&gt;=D$10+D$6, $B14&lt;=D$11),1/D$6,0),IF(OR($B14&gt;=D$10+D$6, $B14&lt;=D$11),1/D$6,0)),IF(OR(D$11&gt;=D$10,D$13&gt;=D$12),IF(OR(AND($B14&gt;=D$10+D$6, $B14&lt;=D$11),AND($B14&gt;=D$12+D$6, $B14&lt;=D$13)),1/D$6,0),IF(OR($B14&gt;=D$10+D$6, $B14&lt;=D$11,$B14&gt;=D$12+D$6, $B14&lt;=D$13),1/D$6,0)))),"Unknown; user input required")</f>
        <v>0</v>
      </c>
      <c r="E14" s="304">
        <f t="shared" ca="1" si="8"/>
        <v>0</v>
      </c>
      <c r="F14" s="304">
        <f t="shared" ca="1" si="8"/>
        <v>0</v>
      </c>
      <c r="G14" s="304"/>
      <c r="H14" s="304">
        <f t="shared" ref="H14:H77" ca="1" si="9">SUM(C14:G14)</f>
        <v>0</v>
      </c>
      <c r="I14" s="404">
        <f t="shared" ref="I14:I77" ca="1" si="10">SUMPRODUCT($C$8:$G$8,$C$7:$G$7,C14:G14)</f>
        <v>0</v>
      </c>
      <c r="J14" s="404">
        <f>INDEX(Capacity!$I$15:$T$15,,MATCH(MONTH(A14),Capacity!$I$6:$T$6,0))</f>
        <v>0</v>
      </c>
      <c r="K14" s="404">
        <f>INDEX(Capacity!$I$17:$T$17,,MATCH(MONTH(A14),Capacity!$I$6:$T$6,0))</f>
        <v>0</v>
      </c>
      <c r="L14" s="404" t="str">
        <f ca="1">IF(I14&lt;=J14,"Y","N")</f>
        <v>Y</v>
      </c>
      <c r="M14" s="309" t="str">
        <f ca="1">IF(I14&lt;=K14,"Y","N")</f>
        <v>Y</v>
      </c>
      <c r="N14" s="323"/>
    </row>
    <row r="15" spans="1:14" x14ac:dyDescent="0.2">
      <c r="A15" s="409">
        <v>43467</v>
      </c>
      <c r="B15" s="304">
        <v>2</v>
      </c>
      <c r="C15" s="304">
        <f t="shared" ref="C15:F77" ca="1" si="11">IFERROR(IF(C$9=365,1/C$6,IF(C$12="",IF(C$11&gt;=C$10,IF(AND($B15&gt;=C$10+C$6, $B15&lt;=C$11),1/C$6,0),IF(OR($B15&gt;=C$10+C$6, $B15&lt;=C$11),1/C$6,0)),IF(OR(C$11&gt;=C$10,C$13&gt;=C$12),IF(OR(AND($B15&gt;=C$10+C$6, $B15&lt;=C$11),AND($B15&gt;=C$12+C$6, $B15&lt;=C$13)),1/C$6,0),IF(OR($B15&gt;=C$10+C$6, $B15&lt;=C$11,$B15&gt;=C$12+C$6, $B15&lt;=C$13),1/C$6,0)))),"Unknown; user input required")</f>
        <v>0</v>
      </c>
      <c r="D15" s="304">
        <f t="shared" ca="1" si="8"/>
        <v>0</v>
      </c>
      <c r="E15" s="304">
        <f t="shared" ca="1" si="8"/>
        <v>0</v>
      </c>
      <c r="F15" s="304">
        <f t="shared" ca="1" si="8"/>
        <v>0</v>
      </c>
      <c r="G15" s="304"/>
      <c r="H15" s="304">
        <f t="shared" ca="1" si="9"/>
        <v>0</v>
      </c>
      <c r="I15" s="404">
        <f t="shared" ca="1" si="10"/>
        <v>0</v>
      </c>
      <c r="J15" s="404">
        <f>INDEX(Capacity!$I$15:$T$15,,MATCH(MONTH(A15),Capacity!$I$6:$T$6,0))</f>
        <v>0</v>
      </c>
      <c r="K15" s="404">
        <f>INDEX(Capacity!$I$17:$T$17,,MATCH(MONTH(A15),Capacity!$I$6:$T$6,0))</f>
        <v>0</v>
      </c>
      <c r="L15" s="404" t="str">
        <f t="shared" ref="L15:L78" ca="1" si="12">IF(I15&lt;=J15,"Y","N")</f>
        <v>Y</v>
      </c>
      <c r="M15" s="309" t="str">
        <f t="shared" ref="M15:M78" ca="1" si="13">IF(I15&lt;=K15,"Y","N")</f>
        <v>Y</v>
      </c>
      <c r="N15" s="323"/>
    </row>
    <row r="16" spans="1:14" x14ac:dyDescent="0.2">
      <c r="A16" s="409">
        <v>43468</v>
      </c>
      <c r="B16" s="304">
        <v>3</v>
      </c>
      <c r="C16" s="304">
        <f t="shared" ca="1" si="11"/>
        <v>0</v>
      </c>
      <c r="D16" s="304">
        <f t="shared" ca="1" si="8"/>
        <v>0</v>
      </c>
      <c r="E16" s="304">
        <f t="shared" ca="1" si="8"/>
        <v>0</v>
      </c>
      <c r="F16" s="304">
        <f t="shared" ca="1" si="8"/>
        <v>0</v>
      </c>
      <c r="G16" s="304"/>
      <c r="H16" s="304">
        <f t="shared" ca="1" si="9"/>
        <v>0</v>
      </c>
      <c r="I16" s="404">
        <f t="shared" ca="1" si="10"/>
        <v>0</v>
      </c>
      <c r="J16" s="404">
        <f>INDEX(Capacity!$I$15:$T$15,,MATCH(MONTH(A16),Capacity!$I$6:$T$6,0))</f>
        <v>0</v>
      </c>
      <c r="K16" s="404">
        <f>INDEX(Capacity!$I$17:$T$17,,MATCH(MONTH(A16),Capacity!$I$6:$T$6,0))</f>
        <v>0</v>
      </c>
      <c r="L16" s="404" t="str">
        <f t="shared" ca="1" si="12"/>
        <v>Y</v>
      </c>
      <c r="M16" s="309" t="str">
        <f t="shared" ca="1" si="13"/>
        <v>Y</v>
      </c>
      <c r="N16" s="323"/>
    </row>
    <row r="17" spans="1:14" x14ac:dyDescent="0.2">
      <c r="A17" s="409">
        <v>43469</v>
      </c>
      <c r="B17" s="304">
        <v>4</v>
      </c>
      <c r="C17" s="304">
        <f t="shared" ca="1" si="11"/>
        <v>0</v>
      </c>
      <c r="D17" s="304">
        <f t="shared" ca="1" si="8"/>
        <v>0</v>
      </c>
      <c r="E17" s="304">
        <f t="shared" ca="1" si="8"/>
        <v>0</v>
      </c>
      <c r="F17" s="304">
        <f t="shared" ca="1" si="8"/>
        <v>0</v>
      </c>
      <c r="G17" s="304"/>
      <c r="H17" s="304">
        <f t="shared" ca="1" si="9"/>
        <v>0</v>
      </c>
      <c r="I17" s="404">
        <f t="shared" ca="1" si="10"/>
        <v>0</v>
      </c>
      <c r="J17" s="404">
        <f>INDEX(Capacity!$I$15:$T$15,,MATCH(MONTH(A17),Capacity!$I$6:$T$6,0))</f>
        <v>0</v>
      </c>
      <c r="K17" s="404">
        <f>INDEX(Capacity!$I$17:$T$17,,MATCH(MONTH(A17),Capacity!$I$6:$T$6,0))</f>
        <v>0</v>
      </c>
      <c r="L17" s="404" t="str">
        <f t="shared" ca="1" si="12"/>
        <v>Y</v>
      </c>
      <c r="M17" s="309" t="str">
        <f t="shared" ca="1" si="13"/>
        <v>Y</v>
      </c>
      <c r="N17" s="323"/>
    </row>
    <row r="18" spans="1:14" x14ac:dyDescent="0.2">
      <c r="A18" s="409">
        <v>43470</v>
      </c>
      <c r="B18" s="304">
        <v>5</v>
      </c>
      <c r="C18" s="304">
        <f t="shared" ca="1" si="11"/>
        <v>0</v>
      </c>
      <c r="D18" s="304">
        <f t="shared" ca="1" si="8"/>
        <v>0</v>
      </c>
      <c r="E18" s="304">
        <f t="shared" ca="1" si="8"/>
        <v>0</v>
      </c>
      <c r="F18" s="304">
        <f t="shared" ca="1" si="8"/>
        <v>0</v>
      </c>
      <c r="G18" s="304"/>
      <c r="H18" s="304">
        <f t="shared" ca="1" si="9"/>
        <v>0</v>
      </c>
      <c r="I18" s="404">
        <f t="shared" ca="1" si="10"/>
        <v>0</v>
      </c>
      <c r="J18" s="404">
        <f>INDEX(Capacity!$I$15:$T$15,,MATCH(MONTH(A18),Capacity!$I$6:$T$6,0))</f>
        <v>0</v>
      </c>
      <c r="K18" s="404">
        <f>INDEX(Capacity!$I$17:$T$17,,MATCH(MONTH(A18),Capacity!$I$6:$T$6,0))</f>
        <v>0</v>
      </c>
      <c r="L18" s="404" t="str">
        <f t="shared" ca="1" si="12"/>
        <v>Y</v>
      </c>
      <c r="M18" s="309" t="str">
        <f t="shared" ca="1" si="13"/>
        <v>Y</v>
      </c>
      <c r="N18" s="323"/>
    </row>
    <row r="19" spans="1:14" x14ac:dyDescent="0.2">
      <c r="A19" s="409">
        <v>43471</v>
      </c>
      <c r="B19" s="304">
        <v>6</v>
      </c>
      <c r="C19" s="304">
        <f t="shared" ca="1" si="11"/>
        <v>0</v>
      </c>
      <c r="D19" s="304">
        <f t="shared" ca="1" si="8"/>
        <v>0</v>
      </c>
      <c r="E19" s="304">
        <f t="shared" ca="1" si="8"/>
        <v>0</v>
      </c>
      <c r="F19" s="304">
        <f t="shared" ca="1" si="8"/>
        <v>0</v>
      </c>
      <c r="G19" s="304"/>
      <c r="H19" s="304">
        <f t="shared" ca="1" si="9"/>
        <v>0</v>
      </c>
      <c r="I19" s="404">
        <f t="shared" ca="1" si="10"/>
        <v>0</v>
      </c>
      <c r="J19" s="404">
        <f>INDEX(Capacity!$I$15:$T$15,,MATCH(MONTH(A19),Capacity!$I$6:$T$6,0))</f>
        <v>0</v>
      </c>
      <c r="K19" s="404">
        <f>INDEX(Capacity!$I$17:$T$17,,MATCH(MONTH(A19),Capacity!$I$6:$T$6,0))</f>
        <v>0</v>
      </c>
      <c r="L19" s="404" t="str">
        <f t="shared" ca="1" si="12"/>
        <v>Y</v>
      </c>
      <c r="M19" s="309" t="str">
        <f t="shared" ca="1" si="13"/>
        <v>Y</v>
      </c>
      <c r="N19" s="323"/>
    </row>
    <row r="20" spans="1:14" x14ac:dyDescent="0.2">
      <c r="A20" s="409">
        <v>43472</v>
      </c>
      <c r="B20" s="304">
        <v>7</v>
      </c>
      <c r="C20" s="304">
        <f t="shared" ca="1" si="11"/>
        <v>0</v>
      </c>
      <c r="D20" s="304">
        <f t="shared" ca="1" si="8"/>
        <v>0</v>
      </c>
      <c r="E20" s="304">
        <f t="shared" ca="1" si="8"/>
        <v>0</v>
      </c>
      <c r="F20" s="304">
        <f t="shared" ca="1" si="8"/>
        <v>0</v>
      </c>
      <c r="G20" s="304"/>
      <c r="H20" s="304">
        <f t="shared" ca="1" si="9"/>
        <v>0</v>
      </c>
      <c r="I20" s="404">
        <f t="shared" ca="1" si="10"/>
        <v>0</v>
      </c>
      <c r="J20" s="404">
        <f>INDEX(Capacity!$I$15:$T$15,,MATCH(MONTH(A20),Capacity!$I$6:$T$6,0))</f>
        <v>0</v>
      </c>
      <c r="K20" s="404">
        <f>INDEX(Capacity!$I$17:$T$17,,MATCH(MONTH(A20),Capacity!$I$6:$T$6,0))</f>
        <v>0</v>
      </c>
      <c r="L20" s="404" t="str">
        <f t="shared" ca="1" si="12"/>
        <v>Y</v>
      </c>
      <c r="M20" s="309" t="str">
        <f t="shared" ca="1" si="13"/>
        <v>Y</v>
      </c>
      <c r="N20" s="323"/>
    </row>
    <row r="21" spans="1:14" x14ac:dyDescent="0.2">
      <c r="A21" s="409">
        <v>43473</v>
      </c>
      <c r="B21" s="304">
        <v>8</v>
      </c>
      <c r="C21" s="304">
        <f t="shared" ca="1" si="11"/>
        <v>0</v>
      </c>
      <c r="D21" s="304">
        <f t="shared" ca="1" si="8"/>
        <v>0</v>
      </c>
      <c r="E21" s="304">
        <f t="shared" ca="1" si="8"/>
        <v>0</v>
      </c>
      <c r="F21" s="304">
        <f t="shared" ca="1" si="8"/>
        <v>0</v>
      </c>
      <c r="G21" s="304"/>
      <c r="H21" s="304">
        <f t="shared" ca="1" si="9"/>
        <v>0</v>
      </c>
      <c r="I21" s="404">
        <f t="shared" ca="1" si="10"/>
        <v>0</v>
      </c>
      <c r="J21" s="404">
        <f>INDEX(Capacity!$I$15:$T$15,,MATCH(MONTH(A21),Capacity!$I$6:$T$6,0))</f>
        <v>0</v>
      </c>
      <c r="K21" s="404">
        <f>INDEX(Capacity!$I$17:$T$17,,MATCH(MONTH(A21),Capacity!$I$6:$T$6,0))</f>
        <v>0</v>
      </c>
      <c r="L21" s="404" t="str">
        <f t="shared" ca="1" si="12"/>
        <v>Y</v>
      </c>
      <c r="M21" s="309" t="str">
        <f t="shared" ca="1" si="13"/>
        <v>Y</v>
      </c>
      <c r="N21" s="323"/>
    </row>
    <row r="22" spans="1:14" x14ac:dyDescent="0.2">
      <c r="A22" s="409">
        <v>43474</v>
      </c>
      <c r="B22" s="304">
        <v>9</v>
      </c>
      <c r="C22" s="304">
        <f t="shared" ca="1" si="11"/>
        <v>0</v>
      </c>
      <c r="D22" s="304">
        <f t="shared" ca="1" si="8"/>
        <v>0</v>
      </c>
      <c r="E22" s="304">
        <f t="shared" ca="1" si="8"/>
        <v>0</v>
      </c>
      <c r="F22" s="304">
        <f t="shared" ca="1" si="8"/>
        <v>0</v>
      </c>
      <c r="G22" s="304"/>
      <c r="H22" s="304">
        <f t="shared" ca="1" si="9"/>
        <v>0</v>
      </c>
      <c r="I22" s="404">
        <f t="shared" ca="1" si="10"/>
        <v>0</v>
      </c>
      <c r="J22" s="404">
        <f>INDEX(Capacity!$I$15:$T$15,,MATCH(MONTH(A22),Capacity!$I$6:$T$6,0))</f>
        <v>0</v>
      </c>
      <c r="K22" s="404">
        <f>INDEX(Capacity!$I$17:$T$17,,MATCH(MONTH(A22),Capacity!$I$6:$T$6,0))</f>
        <v>0</v>
      </c>
      <c r="L22" s="404" t="str">
        <f t="shared" ca="1" si="12"/>
        <v>Y</v>
      </c>
      <c r="M22" s="309" t="str">
        <f t="shared" ca="1" si="13"/>
        <v>Y</v>
      </c>
      <c r="N22" s="323"/>
    </row>
    <row r="23" spans="1:14" x14ac:dyDescent="0.2">
      <c r="A23" s="409">
        <v>43475</v>
      </c>
      <c r="B23" s="304">
        <v>10</v>
      </c>
      <c r="C23" s="304">
        <f t="shared" ca="1" si="11"/>
        <v>0</v>
      </c>
      <c r="D23" s="304">
        <f t="shared" ca="1" si="8"/>
        <v>0</v>
      </c>
      <c r="E23" s="304">
        <f t="shared" ca="1" si="8"/>
        <v>0</v>
      </c>
      <c r="F23" s="304">
        <f t="shared" ca="1" si="8"/>
        <v>0</v>
      </c>
      <c r="G23" s="304"/>
      <c r="H23" s="304">
        <f t="shared" ca="1" si="9"/>
        <v>0</v>
      </c>
      <c r="I23" s="404">
        <f t="shared" ca="1" si="10"/>
        <v>0</v>
      </c>
      <c r="J23" s="404">
        <f>INDEX(Capacity!$I$15:$T$15,,MATCH(MONTH(A23),Capacity!$I$6:$T$6,0))</f>
        <v>0</v>
      </c>
      <c r="K23" s="404">
        <f>INDEX(Capacity!$I$17:$T$17,,MATCH(MONTH(A23),Capacity!$I$6:$T$6,0))</f>
        <v>0</v>
      </c>
      <c r="L23" s="404" t="str">
        <f t="shared" ca="1" si="12"/>
        <v>Y</v>
      </c>
      <c r="M23" s="309" t="str">
        <f t="shared" ca="1" si="13"/>
        <v>Y</v>
      </c>
      <c r="N23" s="323"/>
    </row>
    <row r="24" spans="1:14" x14ac:dyDescent="0.2">
      <c r="A24" s="409">
        <v>43476</v>
      </c>
      <c r="B24" s="304">
        <v>11</v>
      </c>
      <c r="C24" s="304">
        <f t="shared" ca="1" si="11"/>
        <v>0</v>
      </c>
      <c r="D24" s="304">
        <f t="shared" ca="1" si="8"/>
        <v>0</v>
      </c>
      <c r="E24" s="304">
        <f t="shared" ca="1" si="8"/>
        <v>0</v>
      </c>
      <c r="F24" s="304">
        <f t="shared" ca="1" si="8"/>
        <v>0</v>
      </c>
      <c r="G24" s="304"/>
      <c r="H24" s="304">
        <f t="shared" ca="1" si="9"/>
        <v>0</v>
      </c>
      <c r="I24" s="404">
        <f t="shared" ca="1" si="10"/>
        <v>0</v>
      </c>
      <c r="J24" s="404">
        <f>INDEX(Capacity!$I$15:$T$15,,MATCH(MONTH(A24),Capacity!$I$6:$T$6,0))</f>
        <v>0</v>
      </c>
      <c r="K24" s="404">
        <f>INDEX(Capacity!$I$17:$T$17,,MATCH(MONTH(A24),Capacity!$I$6:$T$6,0))</f>
        <v>0</v>
      </c>
      <c r="L24" s="404" t="str">
        <f t="shared" ca="1" si="12"/>
        <v>Y</v>
      </c>
      <c r="M24" s="309" t="str">
        <f t="shared" ca="1" si="13"/>
        <v>Y</v>
      </c>
      <c r="N24" s="323"/>
    </row>
    <row r="25" spans="1:14" x14ac:dyDescent="0.2">
      <c r="A25" s="409">
        <v>43477</v>
      </c>
      <c r="B25" s="304">
        <v>12</v>
      </c>
      <c r="C25" s="304">
        <f t="shared" ca="1" si="11"/>
        <v>0</v>
      </c>
      <c r="D25" s="304">
        <f t="shared" ca="1" si="8"/>
        <v>0</v>
      </c>
      <c r="E25" s="304">
        <f t="shared" ca="1" si="8"/>
        <v>0</v>
      </c>
      <c r="F25" s="304">
        <f t="shared" ca="1" si="8"/>
        <v>0</v>
      </c>
      <c r="G25" s="304"/>
      <c r="H25" s="304">
        <f t="shared" ca="1" si="9"/>
        <v>0</v>
      </c>
      <c r="I25" s="404">
        <f t="shared" ca="1" si="10"/>
        <v>0</v>
      </c>
      <c r="J25" s="404">
        <f>INDEX(Capacity!$I$15:$T$15,,MATCH(MONTH(A25),Capacity!$I$6:$T$6,0))</f>
        <v>0</v>
      </c>
      <c r="K25" s="404">
        <f>INDEX(Capacity!$I$17:$T$17,,MATCH(MONTH(A25),Capacity!$I$6:$T$6,0))</f>
        <v>0</v>
      </c>
      <c r="L25" s="404" t="str">
        <f t="shared" ca="1" si="12"/>
        <v>Y</v>
      </c>
      <c r="M25" s="309" t="str">
        <f t="shared" ca="1" si="13"/>
        <v>Y</v>
      </c>
      <c r="N25" s="323"/>
    </row>
    <row r="26" spans="1:14" x14ac:dyDescent="0.2">
      <c r="A26" s="409">
        <v>43478</v>
      </c>
      <c r="B26" s="304">
        <v>13</v>
      </c>
      <c r="C26" s="304">
        <f t="shared" ca="1" si="11"/>
        <v>0</v>
      </c>
      <c r="D26" s="304">
        <f t="shared" ca="1" si="8"/>
        <v>0</v>
      </c>
      <c r="E26" s="304">
        <f t="shared" ca="1" si="8"/>
        <v>0</v>
      </c>
      <c r="F26" s="304">
        <f t="shared" ca="1" si="8"/>
        <v>0</v>
      </c>
      <c r="G26" s="304"/>
      <c r="H26" s="304">
        <f t="shared" ca="1" si="9"/>
        <v>0</v>
      </c>
      <c r="I26" s="404">
        <f t="shared" ca="1" si="10"/>
        <v>0</v>
      </c>
      <c r="J26" s="404">
        <f>INDEX(Capacity!$I$15:$T$15,,MATCH(MONTH(A26),Capacity!$I$6:$T$6,0))</f>
        <v>0</v>
      </c>
      <c r="K26" s="404">
        <f>INDEX(Capacity!$I$17:$T$17,,MATCH(MONTH(A26),Capacity!$I$6:$T$6,0))</f>
        <v>0</v>
      </c>
      <c r="L26" s="404" t="str">
        <f t="shared" ca="1" si="12"/>
        <v>Y</v>
      </c>
      <c r="M26" s="309" t="str">
        <f t="shared" ca="1" si="13"/>
        <v>Y</v>
      </c>
      <c r="N26" s="323"/>
    </row>
    <row r="27" spans="1:14" x14ac:dyDescent="0.2">
      <c r="A27" s="409">
        <v>43479</v>
      </c>
      <c r="B27" s="304">
        <v>14</v>
      </c>
      <c r="C27" s="304">
        <f t="shared" ca="1" si="11"/>
        <v>0</v>
      </c>
      <c r="D27" s="304">
        <f t="shared" ca="1" si="8"/>
        <v>0</v>
      </c>
      <c r="E27" s="304">
        <f t="shared" ca="1" si="8"/>
        <v>0</v>
      </c>
      <c r="F27" s="304">
        <f t="shared" ca="1" si="8"/>
        <v>0</v>
      </c>
      <c r="G27" s="304"/>
      <c r="H27" s="304">
        <f t="shared" ca="1" si="9"/>
        <v>0</v>
      </c>
      <c r="I27" s="404">
        <f t="shared" ca="1" si="10"/>
        <v>0</v>
      </c>
      <c r="J27" s="404">
        <f>INDEX(Capacity!$I$15:$T$15,,MATCH(MONTH(A27),Capacity!$I$6:$T$6,0))</f>
        <v>0</v>
      </c>
      <c r="K27" s="404">
        <f>INDEX(Capacity!$I$17:$T$17,,MATCH(MONTH(A27),Capacity!$I$6:$T$6,0))</f>
        <v>0</v>
      </c>
      <c r="L27" s="404" t="str">
        <f t="shared" ca="1" si="12"/>
        <v>Y</v>
      </c>
      <c r="M27" s="309" t="str">
        <f t="shared" ca="1" si="13"/>
        <v>Y</v>
      </c>
      <c r="N27" s="323"/>
    </row>
    <row r="28" spans="1:14" x14ac:dyDescent="0.2">
      <c r="A28" s="409">
        <v>43480</v>
      </c>
      <c r="B28" s="304">
        <v>15</v>
      </c>
      <c r="C28" s="304">
        <f t="shared" ca="1" si="11"/>
        <v>0</v>
      </c>
      <c r="D28" s="304">
        <f t="shared" ca="1" si="8"/>
        <v>0</v>
      </c>
      <c r="E28" s="304">
        <f t="shared" ca="1" si="8"/>
        <v>0</v>
      </c>
      <c r="F28" s="304">
        <f t="shared" ca="1" si="8"/>
        <v>0</v>
      </c>
      <c r="G28" s="304"/>
      <c r="H28" s="304">
        <f t="shared" ca="1" si="9"/>
        <v>0</v>
      </c>
      <c r="I28" s="404">
        <f t="shared" ca="1" si="10"/>
        <v>0</v>
      </c>
      <c r="J28" s="404">
        <f>INDEX(Capacity!$I$15:$T$15,,MATCH(MONTH(A28),Capacity!$I$6:$T$6,0))</f>
        <v>0</v>
      </c>
      <c r="K28" s="404">
        <f>INDEX(Capacity!$I$17:$T$17,,MATCH(MONTH(A28),Capacity!$I$6:$T$6,0))</f>
        <v>0</v>
      </c>
      <c r="L28" s="404" t="str">
        <f t="shared" ca="1" si="12"/>
        <v>Y</v>
      </c>
      <c r="M28" s="309" t="str">
        <f t="shared" ca="1" si="13"/>
        <v>Y</v>
      </c>
      <c r="N28" s="323"/>
    </row>
    <row r="29" spans="1:14" x14ac:dyDescent="0.2">
      <c r="A29" s="409">
        <v>43481</v>
      </c>
      <c r="B29" s="304">
        <v>16</v>
      </c>
      <c r="C29" s="304">
        <f t="shared" ca="1" si="11"/>
        <v>0.125</v>
      </c>
      <c r="D29" s="304">
        <f t="shared" ca="1" si="8"/>
        <v>0</v>
      </c>
      <c r="E29" s="304">
        <f t="shared" ca="1" si="8"/>
        <v>0</v>
      </c>
      <c r="F29" s="304">
        <f t="shared" ca="1" si="8"/>
        <v>0</v>
      </c>
      <c r="G29" s="304"/>
      <c r="H29" s="304">
        <f t="shared" ca="1" si="9"/>
        <v>0.125</v>
      </c>
      <c r="I29" s="404">
        <f t="shared" ca="1" si="10"/>
        <v>0</v>
      </c>
      <c r="J29" s="404">
        <f>INDEX(Capacity!$I$15:$T$15,,MATCH(MONTH(A29),Capacity!$I$6:$T$6,0))</f>
        <v>0</v>
      </c>
      <c r="K29" s="404">
        <f>INDEX(Capacity!$I$17:$T$17,,MATCH(MONTH(A29),Capacity!$I$6:$T$6,0))</f>
        <v>0</v>
      </c>
      <c r="L29" s="404" t="str">
        <f t="shared" ca="1" si="12"/>
        <v>Y</v>
      </c>
      <c r="M29" s="309" t="str">
        <f t="shared" ca="1" si="13"/>
        <v>Y</v>
      </c>
      <c r="N29" s="323"/>
    </row>
    <row r="30" spans="1:14" x14ac:dyDescent="0.2">
      <c r="A30" s="409">
        <v>43482</v>
      </c>
      <c r="B30" s="304">
        <v>17</v>
      </c>
      <c r="C30" s="304">
        <f t="shared" ca="1" si="11"/>
        <v>0.125</v>
      </c>
      <c r="D30" s="304">
        <f t="shared" ca="1" si="11"/>
        <v>0</v>
      </c>
      <c r="E30" s="304">
        <f t="shared" ca="1" si="11"/>
        <v>0</v>
      </c>
      <c r="F30" s="304">
        <f t="shared" ca="1" si="11"/>
        <v>0</v>
      </c>
      <c r="G30" s="304"/>
      <c r="H30" s="304">
        <f t="shared" ca="1" si="9"/>
        <v>0.125</v>
      </c>
      <c r="I30" s="404">
        <f t="shared" ca="1" si="10"/>
        <v>0</v>
      </c>
      <c r="J30" s="404">
        <f>INDEX(Capacity!$I$15:$T$15,,MATCH(MONTH(A30),Capacity!$I$6:$T$6,0))</f>
        <v>0</v>
      </c>
      <c r="K30" s="404">
        <f>INDEX(Capacity!$I$17:$T$17,,MATCH(MONTH(A30),Capacity!$I$6:$T$6,0))</f>
        <v>0</v>
      </c>
      <c r="L30" s="404" t="str">
        <f t="shared" ca="1" si="12"/>
        <v>Y</v>
      </c>
      <c r="M30" s="309" t="str">
        <f t="shared" ca="1" si="13"/>
        <v>Y</v>
      </c>
      <c r="N30" s="323"/>
    </row>
    <row r="31" spans="1:14" x14ac:dyDescent="0.2">
      <c r="A31" s="409">
        <v>43483</v>
      </c>
      <c r="B31" s="304">
        <v>18</v>
      </c>
      <c r="C31" s="304">
        <f t="shared" ca="1" si="11"/>
        <v>0.125</v>
      </c>
      <c r="D31" s="304">
        <f t="shared" ca="1" si="11"/>
        <v>0</v>
      </c>
      <c r="E31" s="304">
        <f t="shared" ca="1" si="11"/>
        <v>0</v>
      </c>
      <c r="F31" s="304">
        <f t="shared" ca="1" si="11"/>
        <v>0</v>
      </c>
      <c r="G31" s="304"/>
      <c r="H31" s="304">
        <f t="shared" ca="1" si="9"/>
        <v>0.125</v>
      </c>
      <c r="I31" s="404">
        <f t="shared" ca="1" si="10"/>
        <v>0</v>
      </c>
      <c r="J31" s="404">
        <f>INDEX(Capacity!$I$15:$T$15,,MATCH(MONTH(A31),Capacity!$I$6:$T$6,0))</f>
        <v>0</v>
      </c>
      <c r="K31" s="404">
        <f>INDEX(Capacity!$I$17:$T$17,,MATCH(MONTH(A31),Capacity!$I$6:$T$6,0))</f>
        <v>0</v>
      </c>
      <c r="L31" s="404" t="str">
        <f t="shared" ca="1" si="12"/>
        <v>Y</v>
      </c>
      <c r="M31" s="309" t="str">
        <f t="shared" ca="1" si="13"/>
        <v>Y</v>
      </c>
      <c r="N31" s="323"/>
    </row>
    <row r="32" spans="1:14" x14ac:dyDescent="0.2">
      <c r="A32" s="409">
        <v>43484</v>
      </c>
      <c r="B32" s="304">
        <v>19</v>
      </c>
      <c r="C32" s="304">
        <f t="shared" ca="1" si="11"/>
        <v>0.125</v>
      </c>
      <c r="D32" s="304">
        <f t="shared" ca="1" si="11"/>
        <v>0</v>
      </c>
      <c r="E32" s="304">
        <f t="shared" ca="1" si="11"/>
        <v>0</v>
      </c>
      <c r="F32" s="304">
        <f t="shared" ca="1" si="11"/>
        <v>0</v>
      </c>
      <c r="G32" s="304"/>
      <c r="H32" s="304">
        <f t="shared" ca="1" si="9"/>
        <v>0.125</v>
      </c>
      <c r="I32" s="404">
        <f t="shared" ca="1" si="10"/>
        <v>0</v>
      </c>
      <c r="J32" s="404">
        <f>INDEX(Capacity!$I$15:$T$15,,MATCH(MONTH(A32),Capacity!$I$6:$T$6,0))</f>
        <v>0</v>
      </c>
      <c r="K32" s="404">
        <f>INDEX(Capacity!$I$17:$T$17,,MATCH(MONTH(A32),Capacity!$I$6:$T$6,0))</f>
        <v>0</v>
      </c>
      <c r="L32" s="404" t="str">
        <f t="shared" ca="1" si="12"/>
        <v>Y</v>
      </c>
      <c r="M32" s="309" t="str">
        <f t="shared" ca="1" si="13"/>
        <v>Y</v>
      </c>
      <c r="N32" s="323"/>
    </row>
    <row r="33" spans="1:14" x14ac:dyDescent="0.2">
      <c r="A33" s="409">
        <v>43485</v>
      </c>
      <c r="B33" s="304">
        <v>20</v>
      </c>
      <c r="C33" s="304">
        <f t="shared" ca="1" si="11"/>
        <v>0.125</v>
      </c>
      <c r="D33" s="304">
        <f t="shared" ca="1" si="11"/>
        <v>0</v>
      </c>
      <c r="E33" s="304">
        <f t="shared" ca="1" si="11"/>
        <v>0</v>
      </c>
      <c r="F33" s="304">
        <f t="shared" ca="1" si="11"/>
        <v>0</v>
      </c>
      <c r="G33" s="304"/>
      <c r="H33" s="304">
        <f t="shared" ca="1" si="9"/>
        <v>0.125</v>
      </c>
      <c r="I33" s="404">
        <f t="shared" ca="1" si="10"/>
        <v>0</v>
      </c>
      <c r="J33" s="404">
        <f>INDEX(Capacity!$I$15:$T$15,,MATCH(MONTH(A33),Capacity!$I$6:$T$6,0))</f>
        <v>0</v>
      </c>
      <c r="K33" s="404">
        <f>INDEX(Capacity!$I$17:$T$17,,MATCH(MONTH(A33),Capacity!$I$6:$T$6,0))</f>
        <v>0</v>
      </c>
      <c r="L33" s="404" t="str">
        <f t="shared" ca="1" si="12"/>
        <v>Y</v>
      </c>
      <c r="M33" s="309" t="str">
        <f t="shared" ca="1" si="13"/>
        <v>Y</v>
      </c>
      <c r="N33" s="323"/>
    </row>
    <row r="34" spans="1:14" x14ac:dyDescent="0.2">
      <c r="A34" s="409">
        <v>43486</v>
      </c>
      <c r="B34" s="304">
        <v>21</v>
      </c>
      <c r="C34" s="304">
        <f t="shared" ca="1" si="11"/>
        <v>0.125</v>
      </c>
      <c r="D34" s="304">
        <f t="shared" ca="1" si="11"/>
        <v>0</v>
      </c>
      <c r="E34" s="304">
        <f t="shared" ca="1" si="11"/>
        <v>0</v>
      </c>
      <c r="F34" s="304">
        <f t="shared" ca="1" si="11"/>
        <v>0</v>
      </c>
      <c r="G34" s="304"/>
      <c r="H34" s="304">
        <f t="shared" ca="1" si="9"/>
        <v>0.125</v>
      </c>
      <c r="I34" s="404">
        <f t="shared" ca="1" si="10"/>
        <v>0</v>
      </c>
      <c r="J34" s="404">
        <f>INDEX(Capacity!$I$15:$T$15,,MATCH(MONTH(A34),Capacity!$I$6:$T$6,0))</f>
        <v>0</v>
      </c>
      <c r="K34" s="404">
        <f>INDEX(Capacity!$I$17:$T$17,,MATCH(MONTH(A34),Capacity!$I$6:$T$6,0))</f>
        <v>0</v>
      </c>
      <c r="L34" s="404" t="str">
        <f t="shared" ca="1" si="12"/>
        <v>Y</v>
      </c>
      <c r="M34" s="309" t="str">
        <f t="shared" ca="1" si="13"/>
        <v>Y</v>
      </c>
      <c r="N34" s="323"/>
    </row>
    <row r="35" spans="1:14" x14ac:dyDescent="0.2">
      <c r="A35" s="409">
        <v>43487</v>
      </c>
      <c r="B35" s="304">
        <v>22</v>
      </c>
      <c r="C35" s="304">
        <f t="shared" ca="1" si="11"/>
        <v>0.125</v>
      </c>
      <c r="D35" s="304">
        <f t="shared" ca="1" si="11"/>
        <v>0</v>
      </c>
      <c r="E35" s="304">
        <f t="shared" ca="1" si="11"/>
        <v>0</v>
      </c>
      <c r="F35" s="304">
        <f t="shared" ca="1" si="11"/>
        <v>0</v>
      </c>
      <c r="G35" s="304"/>
      <c r="H35" s="304">
        <f t="shared" ca="1" si="9"/>
        <v>0.125</v>
      </c>
      <c r="I35" s="404">
        <f t="shared" ca="1" si="10"/>
        <v>0</v>
      </c>
      <c r="J35" s="404">
        <f>INDEX(Capacity!$I$15:$T$15,,MATCH(MONTH(A35),Capacity!$I$6:$T$6,0))</f>
        <v>0</v>
      </c>
      <c r="K35" s="404">
        <f>INDEX(Capacity!$I$17:$T$17,,MATCH(MONTH(A35),Capacity!$I$6:$T$6,0))</f>
        <v>0</v>
      </c>
      <c r="L35" s="404" t="str">
        <f t="shared" ca="1" si="12"/>
        <v>Y</v>
      </c>
      <c r="M35" s="309" t="str">
        <f t="shared" ca="1" si="13"/>
        <v>Y</v>
      </c>
      <c r="N35" s="323"/>
    </row>
    <row r="36" spans="1:14" x14ac:dyDescent="0.2">
      <c r="A36" s="409">
        <v>43488</v>
      </c>
      <c r="B36" s="304">
        <v>23</v>
      </c>
      <c r="C36" s="304">
        <f t="shared" ca="1" si="11"/>
        <v>0.125</v>
      </c>
      <c r="D36" s="304">
        <f t="shared" ca="1" si="11"/>
        <v>0</v>
      </c>
      <c r="E36" s="304">
        <f t="shared" ca="1" si="11"/>
        <v>0</v>
      </c>
      <c r="F36" s="304">
        <f t="shared" ca="1" si="11"/>
        <v>0</v>
      </c>
      <c r="G36" s="304"/>
      <c r="H36" s="304">
        <f t="shared" ca="1" si="9"/>
        <v>0.125</v>
      </c>
      <c r="I36" s="404">
        <f t="shared" ca="1" si="10"/>
        <v>0</v>
      </c>
      <c r="J36" s="404">
        <f>INDEX(Capacity!$I$15:$T$15,,MATCH(MONTH(A36),Capacity!$I$6:$T$6,0))</f>
        <v>0</v>
      </c>
      <c r="K36" s="404">
        <f>INDEX(Capacity!$I$17:$T$17,,MATCH(MONTH(A36),Capacity!$I$6:$T$6,0))</f>
        <v>0</v>
      </c>
      <c r="L36" s="404" t="str">
        <f t="shared" ca="1" si="12"/>
        <v>Y</v>
      </c>
      <c r="M36" s="309" t="str">
        <f t="shared" ca="1" si="13"/>
        <v>Y</v>
      </c>
      <c r="N36" s="323"/>
    </row>
    <row r="37" spans="1:14" x14ac:dyDescent="0.2">
      <c r="A37" s="409">
        <v>43489</v>
      </c>
      <c r="B37" s="304">
        <v>24</v>
      </c>
      <c r="C37" s="304">
        <f t="shared" ca="1" si="11"/>
        <v>0.125</v>
      </c>
      <c r="D37" s="304">
        <f t="shared" ca="1" si="11"/>
        <v>0</v>
      </c>
      <c r="E37" s="304">
        <f t="shared" ca="1" si="11"/>
        <v>0</v>
      </c>
      <c r="F37" s="304">
        <f t="shared" ca="1" si="11"/>
        <v>0</v>
      </c>
      <c r="G37" s="304"/>
      <c r="H37" s="304">
        <f t="shared" ca="1" si="9"/>
        <v>0.125</v>
      </c>
      <c r="I37" s="404">
        <f t="shared" ca="1" si="10"/>
        <v>0</v>
      </c>
      <c r="J37" s="404">
        <f>INDEX(Capacity!$I$15:$T$15,,MATCH(MONTH(A37),Capacity!$I$6:$T$6,0))</f>
        <v>0</v>
      </c>
      <c r="K37" s="404">
        <f>INDEX(Capacity!$I$17:$T$17,,MATCH(MONTH(A37),Capacity!$I$6:$T$6,0))</f>
        <v>0</v>
      </c>
      <c r="L37" s="404" t="str">
        <f t="shared" ca="1" si="12"/>
        <v>Y</v>
      </c>
      <c r="M37" s="309" t="str">
        <f t="shared" ca="1" si="13"/>
        <v>Y</v>
      </c>
      <c r="N37" s="323"/>
    </row>
    <row r="38" spans="1:14" x14ac:dyDescent="0.2">
      <c r="A38" s="409">
        <v>43490</v>
      </c>
      <c r="B38" s="304">
        <v>25</v>
      </c>
      <c r="C38" s="304">
        <f t="shared" ca="1" si="11"/>
        <v>0.125</v>
      </c>
      <c r="D38" s="304">
        <f t="shared" ca="1" si="11"/>
        <v>0</v>
      </c>
      <c r="E38" s="304">
        <f t="shared" ca="1" si="11"/>
        <v>0</v>
      </c>
      <c r="F38" s="304">
        <f t="shared" ca="1" si="11"/>
        <v>0</v>
      </c>
      <c r="G38" s="304"/>
      <c r="H38" s="304">
        <f t="shared" ca="1" si="9"/>
        <v>0.125</v>
      </c>
      <c r="I38" s="404">
        <f t="shared" ca="1" si="10"/>
        <v>0</v>
      </c>
      <c r="J38" s="404">
        <f>INDEX(Capacity!$I$15:$T$15,,MATCH(MONTH(A38),Capacity!$I$6:$T$6,0))</f>
        <v>0</v>
      </c>
      <c r="K38" s="404">
        <f>INDEX(Capacity!$I$17:$T$17,,MATCH(MONTH(A38),Capacity!$I$6:$T$6,0))</f>
        <v>0</v>
      </c>
      <c r="L38" s="404" t="str">
        <f t="shared" ca="1" si="12"/>
        <v>Y</v>
      </c>
      <c r="M38" s="309" t="str">
        <f t="shared" ca="1" si="13"/>
        <v>Y</v>
      </c>
      <c r="N38" s="323"/>
    </row>
    <row r="39" spans="1:14" x14ac:dyDescent="0.2">
      <c r="A39" s="409">
        <v>43491</v>
      </c>
      <c r="B39" s="304">
        <v>26</v>
      </c>
      <c r="C39" s="304">
        <f t="shared" ca="1" si="11"/>
        <v>0.125</v>
      </c>
      <c r="D39" s="304">
        <f t="shared" ca="1" si="11"/>
        <v>0</v>
      </c>
      <c r="E39" s="304">
        <f t="shared" ca="1" si="11"/>
        <v>0</v>
      </c>
      <c r="F39" s="304">
        <f t="shared" ca="1" si="11"/>
        <v>0</v>
      </c>
      <c r="G39" s="304"/>
      <c r="H39" s="304">
        <f t="shared" ca="1" si="9"/>
        <v>0.125</v>
      </c>
      <c r="I39" s="404">
        <f t="shared" ca="1" si="10"/>
        <v>0</v>
      </c>
      <c r="J39" s="404">
        <f>INDEX(Capacity!$I$15:$T$15,,MATCH(MONTH(A39),Capacity!$I$6:$T$6,0))</f>
        <v>0</v>
      </c>
      <c r="K39" s="404">
        <f>INDEX(Capacity!$I$17:$T$17,,MATCH(MONTH(A39),Capacity!$I$6:$T$6,0))</f>
        <v>0</v>
      </c>
      <c r="L39" s="404" t="str">
        <f t="shared" ca="1" si="12"/>
        <v>Y</v>
      </c>
      <c r="M39" s="309" t="str">
        <f t="shared" ca="1" si="13"/>
        <v>Y</v>
      </c>
      <c r="N39" s="323"/>
    </row>
    <row r="40" spans="1:14" x14ac:dyDescent="0.2">
      <c r="A40" s="409">
        <v>43492</v>
      </c>
      <c r="B40" s="304">
        <v>27</v>
      </c>
      <c r="C40" s="304">
        <f t="shared" ca="1" si="11"/>
        <v>0.125</v>
      </c>
      <c r="D40" s="304">
        <f t="shared" ca="1" si="11"/>
        <v>0</v>
      </c>
      <c r="E40" s="304">
        <f t="shared" ca="1" si="11"/>
        <v>0</v>
      </c>
      <c r="F40" s="304">
        <f t="shared" ca="1" si="11"/>
        <v>0</v>
      </c>
      <c r="G40" s="304"/>
      <c r="H40" s="304">
        <f t="shared" ca="1" si="9"/>
        <v>0.125</v>
      </c>
      <c r="I40" s="404">
        <f t="shared" ca="1" si="10"/>
        <v>0</v>
      </c>
      <c r="J40" s="404">
        <f>INDEX(Capacity!$I$15:$T$15,,MATCH(MONTH(A40),Capacity!$I$6:$T$6,0))</f>
        <v>0</v>
      </c>
      <c r="K40" s="404">
        <f>INDEX(Capacity!$I$17:$T$17,,MATCH(MONTH(A40),Capacity!$I$6:$T$6,0))</f>
        <v>0</v>
      </c>
      <c r="L40" s="404" t="str">
        <f t="shared" ca="1" si="12"/>
        <v>Y</v>
      </c>
      <c r="M40" s="309" t="str">
        <f t="shared" ca="1" si="13"/>
        <v>Y</v>
      </c>
      <c r="N40" s="323"/>
    </row>
    <row r="41" spans="1:14" x14ac:dyDescent="0.2">
      <c r="A41" s="409">
        <v>43493</v>
      </c>
      <c r="B41" s="304">
        <v>28</v>
      </c>
      <c r="C41" s="304">
        <f t="shared" ca="1" si="11"/>
        <v>0.125</v>
      </c>
      <c r="D41" s="304">
        <f t="shared" ca="1" si="11"/>
        <v>0</v>
      </c>
      <c r="E41" s="304">
        <f t="shared" ca="1" si="11"/>
        <v>0</v>
      </c>
      <c r="F41" s="304">
        <f t="shared" ca="1" si="11"/>
        <v>0</v>
      </c>
      <c r="G41" s="304"/>
      <c r="H41" s="304">
        <f t="shared" ca="1" si="9"/>
        <v>0.125</v>
      </c>
      <c r="I41" s="404">
        <f t="shared" ca="1" si="10"/>
        <v>0</v>
      </c>
      <c r="J41" s="404">
        <f>INDEX(Capacity!$I$15:$T$15,,MATCH(MONTH(A41),Capacity!$I$6:$T$6,0))</f>
        <v>0</v>
      </c>
      <c r="K41" s="404">
        <f>INDEX(Capacity!$I$17:$T$17,,MATCH(MONTH(A41),Capacity!$I$6:$T$6,0))</f>
        <v>0</v>
      </c>
      <c r="L41" s="404" t="str">
        <f t="shared" ca="1" si="12"/>
        <v>Y</v>
      </c>
      <c r="M41" s="309" t="str">
        <f t="shared" ca="1" si="13"/>
        <v>Y</v>
      </c>
      <c r="N41" s="323"/>
    </row>
    <row r="42" spans="1:14" x14ac:dyDescent="0.2">
      <c r="A42" s="409">
        <v>43494</v>
      </c>
      <c r="B42" s="304">
        <v>29</v>
      </c>
      <c r="C42" s="304">
        <f t="shared" ca="1" si="11"/>
        <v>0.125</v>
      </c>
      <c r="D42" s="304">
        <f t="shared" ca="1" si="11"/>
        <v>0</v>
      </c>
      <c r="E42" s="304">
        <f t="shared" ca="1" si="11"/>
        <v>0</v>
      </c>
      <c r="F42" s="304">
        <f t="shared" ca="1" si="11"/>
        <v>0</v>
      </c>
      <c r="G42" s="304"/>
      <c r="H42" s="304">
        <f t="shared" ca="1" si="9"/>
        <v>0.125</v>
      </c>
      <c r="I42" s="404">
        <f t="shared" ca="1" si="10"/>
        <v>0</v>
      </c>
      <c r="J42" s="404">
        <f>INDEX(Capacity!$I$15:$T$15,,MATCH(MONTH(A42),Capacity!$I$6:$T$6,0))</f>
        <v>0</v>
      </c>
      <c r="K42" s="404">
        <f>INDEX(Capacity!$I$17:$T$17,,MATCH(MONTH(A42),Capacity!$I$6:$T$6,0))</f>
        <v>0</v>
      </c>
      <c r="L42" s="404" t="str">
        <f t="shared" ca="1" si="12"/>
        <v>Y</v>
      </c>
      <c r="M42" s="309" t="str">
        <f t="shared" ca="1" si="13"/>
        <v>Y</v>
      </c>
      <c r="N42" s="323"/>
    </row>
    <row r="43" spans="1:14" x14ac:dyDescent="0.2">
      <c r="A43" s="409">
        <v>43495</v>
      </c>
      <c r="B43" s="304">
        <v>30</v>
      </c>
      <c r="C43" s="304">
        <f t="shared" ca="1" si="11"/>
        <v>0.125</v>
      </c>
      <c r="D43" s="304">
        <f t="shared" ca="1" si="11"/>
        <v>0</v>
      </c>
      <c r="E43" s="304">
        <f t="shared" ca="1" si="11"/>
        <v>0</v>
      </c>
      <c r="F43" s="304">
        <f t="shared" ca="1" si="11"/>
        <v>0</v>
      </c>
      <c r="G43" s="304"/>
      <c r="H43" s="304">
        <f t="shared" ca="1" si="9"/>
        <v>0.125</v>
      </c>
      <c r="I43" s="404">
        <f t="shared" ca="1" si="10"/>
        <v>0</v>
      </c>
      <c r="J43" s="404">
        <f>INDEX(Capacity!$I$15:$T$15,,MATCH(MONTH(A43),Capacity!$I$6:$T$6,0))</f>
        <v>0</v>
      </c>
      <c r="K43" s="404">
        <f>INDEX(Capacity!$I$17:$T$17,,MATCH(MONTH(A43),Capacity!$I$6:$T$6,0))</f>
        <v>0</v>
      </c>
      <c r="L43" s="404" t="str">
        <f t="shared" ca="1" si="12"/>
        <v>Y</v>
      </c>
      <c r="M43" s="309" t="str">
        <f t="shared" ca="1" si="13"/>
        <v>Y</v>
      </c>
      <c r="N43" s="323"/>
    </row>
    <row r="44" spans="1:14" x14ac:dyDescent="0.2">
      <c r="A44" s="409">
        <v>43496</v>
      </c>
      <c r="B44" s="304">
        <v>31</v>
      </c>
      <c r="C44" s="304">
        <f t="shared" ca="1" si="11"/>
        <v>0.125</v>
      </c>
      <c r="D44" s="304">
        <f t="shared" ca="1" si="11"/>
        <v>0</v>
      </c>
      <c r="E44" s="304">
        <f t="shared" ca="1" si="11"/>
        <v>0</v>
      </c>
      <c r="F44" s="304">
        <f t="shared" ca="1" si="11"/>
        <v>0</v>
      </c>
      <c r="G44" s="304"/>
      <c r="H44" s="304">
        <f t="shared" ca="1" si="9"/>
        <v>0.125</v>
      </c>
      <c r="I44" s="404">
        <f t="shared" ca="1" si="10"/>
        <v>0</v>
      </c>
      <c r="J44" s="404">
        <f>INDEX(Capacity!$I$15:$T$15,,MATCH(MONTH(A44),Capacity!$I$6:$T$6,0))</f>
        <v>0</v>
      </c>
      <c r="K44" s="404">
        <f>INDEX(Capacity!$I$17:$T$17,,MATCH(MONTH(A44),Capacity!$I$6:$T$6,0))</f>
        <v>0</v>
      </c>
      <c r="L44" s="404" t="str">
        <f t="shared" ca="1" si="12"/>
        <v>Y</v>
      </c>
      <c r="M44" s="309" t="str">
        <f t="shared" ca="1" si="13"/>
        <v>Y</v>
      </c>
      <c r="N44" s="323"/>
    </row>
    <row r="45" spans="1:14" x14ac:dyDescent="0.2">
      <c r="A45" s="409">
        <v>43497</v>
      </c>
      <c r="B45" s="304">
        <v>32</v>
      </c>
      <c r="C45" s="304">
        <f t="shared" ca="1" si="11"/>
        <v>0.125</v>
      </c>
      <c r="D45" s="304">
        <f t="shared" ca="1" si="11"/>
        <v>0</v>
      </c>
      <c r="E45" s="304">
        <f t="shared" ca="1" si="11"/>
        <v>0</v>
      </c>
      <c r="F45" s="304">
        <f t="shared" ca="1" si="11"/>
        <v>0</v>
      </c>
      <c r="G45" s="304"/>
      <c r="H45" s="304">
        <f t="shared" ca="1" si="9"/>
        <v>0.125</v>
      </c>
      <c r="I45" s="404">
        <f t="shared" ca="1" si="10"/>
        <v>0</v>
      </c>
      <c r="J45" s="404">
        <f>INDEX(Capacity!$I$15:$T$15,,MATCH(MONTH(A45),Capacity!$I$6:$T$6,0))</f>
        <v>0</v>
      </c>
      <c r="K45" s="404">
        <f>INDEX(Capacity!$I$17:$T$17,,MATCH(MONTH(A45),Capacity!$I$6:$T$6,0))</f>
        <v>0</v>
      </c>
      <c r="L45" s="404" t="str">
        <f t="shared" ca="1" si="12"/>
        <v>Y</v>
      </c>
      <c r="M45" s="309" t="str">
        <f t="shared" ca="1" si="13"/>
        <v>Y</v>
      </c>
      <c r="N45" s="323"/>
    </row>
    <row r="46" spans="1:14" x14ac:dyDescent="0.2">
      <c r="A46" s="409">
        <v>43498</v>
      </c>
      <c r="B46" s="304">
        <v>33</v>
      </c>
      <c r="C46" s="304">
        <f t="shared" ca="1" si="11"/>
        <v>0.125</v>
      </c>
      <c r="D46" s="304">
        <f t="shared" ca="1" si="11"/>
        <v>0</v>
      </c>
      <c r="E46" s="304">
        <f t="shared" ca="1" si="11"/>
        <v>0</v>
      </c>
      <c r="F46" s="304">
        <f t="shared" ca="1" si="11"/>
        <v>0</v>
      </c>
      <c r="G46" s="304"/>
      <c r="H46" s="304">
        <f t="shared" ca="1" si="9"/>
        <v>0.125</v>
      </c>
      <c r="I46" s="404">
        <f t="shared" ca="1" si="10"/>
        <v>0</v>
      </c>
      <c r="J46" s="404">
        <f>INDEX(Capacity!$I$15:$T$15,,MATCH(MONTH(A46),Capacity!$I$6:$T$6,0))</f>
        <v>0</v>
      </c>
      <c r="K46" s="404">
        <f>INDEX(Capacity!$I$17:$T$17,,MATCH(MONTH(A46),Capacity!$I$6:$T$6,0))</f>
        <v>0</v>
      </c>
      <c r="L46" s="404" t="str">
        <f t="shared" ca="1" si="12"/>
        <v>Y</v>
      </c>
      <c r="M46" s="309" t="str">
        <f t="shared" ca="1" si="13"/>
        <v>Y</v>
      </c>
      <c r="N46" s="323"/>
    </row>
    <row r="47" spans="1:14" x14ac:dyDescent="0.2">
      <c r="A47" s="409">
        <v>43499</v>
      </c>
      <c r="B47" s="304">
        <v>34</v>
      </c>
      <c r="C47" s="304">
        <f t="shared" ca="1" si="11"/>
        <v>0.125</v>
      </c>
      <c r="D47" s="304">
        <f t="shared" ca="1" si="11"/>
        <v>0</v>
      </c>
      <c r="E47" s="304">
        <f t="shared" ca="1" si="11"/>
        <v>0</v>
      </c>
      <c r="F47" s="304">
        <f t="shared" ca="1" si="11"/>
        <v>0</v>
      </c>
      <c r="G47" s="304"/>
      <c r="H47" s="304">
        <f t="shared" ca="1" si="9"/>
        <v>0.125</v>
      </c>
      <c r="I47" s="404">
        <f t="shared" ca="1" si="10"/>
        <v>0</v>
      </c>
      <c r="J47" s="404">
        <f>INDEX(Capacity!$I$15:$T$15,,MATCH(MONTH(A47),Capacity!$I$6:$T$6,0))</f>
        <v>0</v>
      </c>
      <c r="K47" s="404">
        <f>INDEX(Capacity!$I$17:$T$17,,MATCH(MONTH(A47),Capacity!$I$6:$T$6,0))</f>
        <v>0</v>
      </c>
      <c r="L47" s="404" t="str">
        <f t="shared" ca="1" si="12"/>
        <v>Y</v>
      </c>
      <c r="M47" s="309" t="str">
        <f t="shared" ca="1" si="13"/>
        <v>Y</v>
      </c>
      <c r="N47" s="323"/>
    </row>
    <row r="48" spans="1:14" x14ac:dyDescent="0.2">
      <c r="A48" s="409">
        <v>43500</v>
      </c>
      <c r="B48" s="304">
        <v>35</v>
      </c>
      <c r="C48" s="304">
        <f t="shared" ca="1" si="11"/>
        <v>0.125</v>
      </c>
      <c r="D48" s="304">
        <f t="shared" ca="1" si="11"/>
        <v>0</v>
      </c>
      <c r="E48" s="304">
        <f t="shared" ca="1" si="11"/>
        <v>0</v>
      </c>
      <c r="F48" s="304">
        <f t="shared" ca="1" si="11"/>
        <v>0</v>
      </c>
      <c r="G48" s="304"/>
      <c r="H48" s="304">
        <f t="shared" ca="1" si="9"/>
        <v>0.125</v>
      </c>
      <c r="I48" s="404">
        <f t="shared" ca="1" si="10"/>
        <v>0</v>
      </c>
      <c r="J48" s="404">
        <f>INDEX(Capacity!$I$15:$T$15,,MATCH(MONTH(A48),Capacity!$I$6:$T$6,0))</f>
        <v>0</v>
      </c>
      <c r="K48" s="404">
        <f>INDEX(Capacity!$I$17:$T$17,,MATCH(MONTH(A48),Capacity!$I$6:$T$6,0))</f>
        <v>0</v>
      </c>
      <c r="L48" s="404" t="str">
        <f t="shared" ca="1" si="12"/>
        <v>Y</v>
      </c>
      <c r="M48" s="309" t="str">
        <f t="shared" ca="1" si="13"/>
        <v>Y</v>
      </c>
      <c r="N48" s="323"/>
    </row>
    <row r="49" spans="1:14" x14ac:dyDescent="0.2">
      <c r="A49" s="409">
        <v>43501</v>
      </c>
      <c r="B49" s="304">
        <v>36</v>
      </c>
      <c r="C49" s="304">
        <f t="shared" ca="1" si="11"/>
        <v>0.125</v>
      </c>
      <c r="D49" s="304">
        <f t="shared" ca="1" si="11"/>
        <v>0</v>
      </c>
      <c r="E49" s="304">
        <f t="shared" ca="1" si="11"/>
        <v>0</v>
      </c>
      <c r="F49" s="304">
        <f t="shared" ca="1" si="11"/>
        <v>0</v>
      </c>
      <c r="G49" s="304"/>
      <c r="H49" s="304">
        <f t="shared" ca="1" si="9"/>
        <v>0.125</v>
      </c>
      <c r="I49" s="404">
        <f t="shared" ca="1" si="10"/>
        <v>0</v>
      </c>
      <c r="J49" s="404">
        <f>INDEX(Capacity!$I$15:$T$15,,MATCH(MONTH(A49),Capacity!$I$6:$T$6,0))</f>
        <v>0</v>
      </c>
      <c r="K49" s="404">
        <f>INDEX(Capacity!$I$17:$T$17,,MATCH(MONTH(A49),Capacity!$I$6:$T$6,0))</f>
        <v>0</v>
      </c>
      <c r="L49" s="404" t="str">
        <f t="shared" ca="1" si="12"/>
        <v>Y</v>
      </c>
      <c r="M49" s="309" t="str">
        <f t="shared" ca="1" si="13"/>
        <v>Y</v>
      </c>
      <c r="N49" s="323"/>
    </row>
    <row r="50" spans="1:14" x14ac:dyDescent="0.2">
      <c r="A50" s="409">
        <v>43502</v>
      </c>
      <c r="B50" s="304">
        <v>37</v>
      </c>
      <c r="C50" s="304">
        <f t="shared" ca="1" si="11"/>
        <v>0.125</v>
      </c>
      <c r="D50" s="304">
        <f t="shared" ca="1" si="11"/>
        <v>0</v>
      </c>
      <c r="E50" s="304">
        <f t="shared" ca="1" si="11"/>
        <v>0</v>
      </c>
      <c r="F50" s="304">
        <f t="shared" ca="1" si="11"/>
        <v>0</v>
      </c>
      <c r="G50" s="304"/>
      <c r="H50" s="304">
        <f t="shared" ca="1" si="9"/>
        <v>0.125</v>
      </c>
      <c r="I50" s="404">
        <f t="shared" ca="1" si="10"/>
        <v>0</v>
      </c>
      <c r="J50" s="404">
        <f>INDEX(Capacity!$I$15:$T$15,,MATCH(MONTH(A50),Capacity!$I$6:$T$6,0))</f>
        <v>0</v>
      </c>
      <c r="K50" s="404">
        <f>INDEX(Capacity!$I$17:$T$17,,MATCH(MONTH(A50),Capacity!$I$6:$T$6,0))</f>
        <v>0</v>
      </c>
      <c r="L50" s="404" t="str">
        <f t="shared" ca="1" si="12"/>
        <v>Y</v>
      </c>
      <c r="M50" s="309" t="str">
        <f t="shared" ca="1" si="13"/>
        <v>Y</v>
      </c>
      <c r="N50" s="323"/>
    </row>
    <row r="51" spans="1:14" x14ac:dyDescent="0.2">
      <c r="A51" s="409">
        <v>43503</v>
      </c>
      <c r="B51" s="304">
        <v>38</v>
      </c>
      <c r="C51" s="304">
        <f t="shared" ca="1" si="11"/>
        <v>0.125</v>
      </c>
      <c r="D51" s="304">
        <f t="shared" ca="1" si="11"/>
        <v>0</v>
      </c>
      <c r="E51" s="304">
        <f t="shared" ca="1" si="11"/>
        <v>0</v>
      </c>
      <c r="F51" s="304">
        <f t="shared" ca="1" si="11"/>
        <v>0</v>
      </c>
      <c r="G51" s="304"/>
      <c r="H51" s="304">
        <f t="shared" ca="1" si="9"/>
        <v>0.125</v>
      </c>
      <c r="I51" s="404">
        <f t="shared" ca="1" si="10"/>
        <v>0</v>
      </c>
      <c r="J51" s="404">
        <f>INDEX(Capacity!$I$15:$T$15,,MATCH(MONTH(A51),Capacity!$I$6:$T$6,0))</f>
        <v>0</v>
      </c>
      <c r="K51" s="404">
        <f>INDEX(Capacity!$I$17:$T$17,,MATCH(MONTH(A51),Capacity!$I$6:$T$6,0))</f>
        <v>0</v>
      </c>
      <c r="L51" s="404" t="str">
        <f t="shared" ca="1" si="12"/>
        <v>Y</v>
      </c>
      <c r="M51" s="309" t="str">
        <f t="shared" ca="1" si="13"/>
        <v>Y</v>
      </c>
      <c r="N51" s="323"/>
    </row>
    <row r="52" spans="1:14" x14ac:dyDescent="0.2">
      <c r="A52" s="409">
        <v>43504</v>
      </c>
      <c r="B52" s="304">
        <v>39</v>
      </c>
      <c r="C52" s="304">
        <f t="shared" ca="1" si="11"/>
        <v>0.125</v>
      </c>
      <c r="D52" s="304">
        <f t="shared" ca="1" si="11"/>
        <v>0</v>
      </c>
      <c r="E52" s="304">
        <f t="shared" ca="1" si="11"/>
        <v>0</v>
      </c>
      <c r="F52" s="304">
        <f t="shared" ca="1" si="11"/>
        <v>0</v>
      </c>
      <c r="G52" s="304"/>
      <c r="H52" s="304">
        <f t="shared" ca="1" si="9"/>
        <v>0.125</v>
      </c>
      <c r="I52" s="404">
        <f t="shared" ca="1" si="10"/>
        <v>0</v>
      </c>
      <c r="J52" s="404">
        <f>INDEX(Capacity!$I$15:$T$15,,MATCH(MONTH(A52),Capacity!$I$6:$T$6,0))</f>
        <v>0</v>
      </c>
      <c r="K52" s="404">
        <f>INDEX(Capacity!$I$17:$T$17,,MATCH(MONTH(A52),Capacity!$I$6:$T$6,0))</f>
        <v>0</v>
      </c>
      <c r="L52" s="404" t="str">
        <f t="shared" ca="1" si="12"/>
        <v>Y</v>
      </c>
      <c r="M52" s="309" t="str">
        <f t="shared" ca="1" si="13"/>
        <v>Y</v>
      </c>
      <c r="N52" s="323"/>
    </row>
    <row r="53" spans="1:14" x14ac:dyDescent="0.2">
      <c r="A53" s="409">
        <v>43505</v>
      </c>
      <c r="B53" s="304">
        <v>40</v>
      </c>
      <c r="C53" s="304">
        <f t="shared" ca="1" si="11"/>
        <v>0.125</v>
      </c>
      <c r="D53" s="304">
        <f t="shared" ca="1" si="11"/>
        <v>0</v>
      </c>
      <c r="E53" s="304">
        <f t="shared" ca="1" si="11"/>
        <v>0</v>
      </c>
      <c r="F53" s="304">
        <f t="shared" ca="1" si="11"/>
        <v>0</v>
      </c>
      <c r="G53" s="304"/>
      <c r="H53" s="304">
        <f t="shared" ca="1" si="9"/>
        <v>0.125</v>
      </c>
      <c r="I53" s="404">
        <f t="shared" ca="1" si="10"/>
        <v>0</v>
      </c>
      <c r="J53" s="404">
        <f>INDEX(Capacity!$I$15:$T$15,,MATCH(MONTH(A53),Capacity!$I$6:$T$6,0))</f>
        <v>0</v>
      </c>
      <c r="K53" s="404">
        <f>INDEX(Capacity!$I$17:$T$17,,MATCH(MONTH(A53),Capacity!$I$6:$T$6,0))</f>
        <v>0</v>
      </c>
      <c r="L53" s="404" t="str">
        <f t="shared" ca="1" si="12"/>
        <v>Y</v>
      </c>
      <c r="M53" s="309" t="str">
        <f t="shared" ca="1" si="13"/>
        <v>Y</v>
      </c>
      <c r="N53" s="323"/>
    </row>
    <row r="54" spans="1:14" x14ac:dyDescent="0.2">
      <c r="A54" s="409">
        <v>43506</v>
      </c>
      <c r="B54" s="304">
        <v>41</v>
      </c>
      <c r="C54" s="304">
        <f t="shared" ca="1" si="11"/>
        <v>0.125</v>
      </c>
      <c r="D54" s="304">
        <f t="shared" ca="1" si="11"/>
        <v>0</v>
      </c>
      <c r="E54" s="304">
        <f t="shared" ca="1" si="11"/>
        <v>0</v>
      </c>
      <c r="F54" s="304">
        <f t="shared" ca="1" si="11"/>
        <v>0</v>
      </c>
      <c r="G54" s="304"/>
      <c r="H54" s="304">
        <f t="shared" ca="1" si="9"/>
        <v>0.125</v>
      </c>
      <c r="I54" s="404">
        <f t="shared" ca="1" si="10"/>
        <v>0</v>
      </c>
      <c r="J54" s="404">
        <f>INDEX(Capacity!$I$15:$T$15,,MATCH(MONTH(A54),Capacity!$I$6:$T$6,0))</f>
        <v>0</v>
      </c>
      <c r="K54" s="404">
        <f>INDEX(Capacity!$I$17:$T$17,,MATCH(MONTH(A54),Capacity!$I$6:$T$6,0))</f>
        <v>0</v>
      </c>
      <c r="L54" s="404" t="str">
        <f t="shared" ca="1" si="12"/>
        <v>Y</v>
      </c>
      <c r="M54" s="309" t="str">
        <f t="shared" ca="1" si="13"/>
        <v>Y</v>
      </c>
      <c r="N54" s="323"/>
    </row>
    <row r="55" spans="1:14" x14ac:dyDescent="0.2">
      <c r="A55" s="409">
        <v>43507</v>
      </c>
      <c r="B55" s="304">
        <v>42</v>
      </c>
      <c r="C55" s="304">
        <f t="shared" ca="1" si="11"/>
        <v>0.125</v>
      </c>
      <c r="D55" s="304">
        <f t="shared" ca="1" si="11"/>
        <v>0</v>
      </c>
      <c r="E55" s="304">
        <f t="shared" ca="1" si="11"/>
        <v>0</v>
      </c>
      <c r="F55" s="304">
        <f t="shared" ca="1" si="11"/>
        <v>0</v>
      </c>
      <c r="G55" s="304"/>
      <c r="H55" s="304">
        <f t="shared" ca="1" si="9"/>
        <v>0.125</v>
      </c>
      <c r="I55" s="404">
        <f t="shared" ca="1" si="10"/>
        <v>0</v>
      </c>
      <c r="J55" s="404">
        <f>INDEX(Capacity!$I$15:$T$15,,MATCH(MONTH(A55),Capacity!$I$6:$T$6,0))</f>
        <v>0</v>
      </c>
      <c r="K55" s="404">
        <f>INDEX(Capacity!$I$17:$T$17,,MATCH(MONTH(A55),Capacity!$I$6:$T$6,0))</f>
        <v>0</v>
      </c>
      <c r="L55" s="404" t="str">
        <f t="shared" ca="1" si="12"/>
        <v>Y</v>
      </c>
      <c r="M55" s="309" t="str">
        <f t="shared" ca="1" si="13"/>
        <v>Y</v>
      </c>
      <c r="N55" s="323"/>
    </row>
    <row r="56" spans="1:14" x14ac:dyDescent="0.2">
      <c r="A56" s="409">
        <v>43508</v>
      </c>
      <c r="B56" s="304">
        <v>43</v>
      </c>
      <c r="C56" s="304">
        <f t="shared" ca="1" si="11"/>
        <v>0.125</v>
      </c>
      <c r="D56" s="304">
        <f t="shared" ca="1" si="11"/>
        <v>0</v>
      </c>
      <c r="E56" s="304">
        <f t="shared" ca="1" si="11"/>
        <v>0</v>
      </c>
      <c r="F56" s="304">
        <f t="shared" ca="1" si="11"/>
        <v>0</v>
      </c>
      <c r="G56" s="304"/>
      <c r="H56" s="304">
        <f t="shared" ca="1" si="9"/>
        <v>0.125</v>
      </c>
      <c r="I56" s="404">
        <f t="shared" ca="1" si="10"/>
        <v>0</v>
      </c>
      <c r="J56" s="404">
        <f>INDEX(Capacity!$I$15:$T$15,,MATCH(MONTH(A56),Capacity!$I$6:$T$6,0))</f>
        <v>0</v>
      </c>
      <c r="K56" s="404">
        <f>INDEX(Capacity!$I$17:$T$17,,MATCH(MONTH(A56),Capacity!$I$6:$T$6,0))</f>
        <v>0</v>
      </c>
      <c r="L56" s="404" t="str">
        <f t="shared" ca="1" si="12"/>
        <v>Y</v>
      </c>
      <c r="M56" s="309" t="str">
        <f t="shared" ca="1" si="13"/>
        <v>Y</v>
      </c>
      <c r="N56" s="323"/>
    </row>
    <row r="57" spans="1:14" x14ac:dyDescent="0.2">
      <c r="A57" s="409">
        <v>43509</v>
      </c>
      <c r="B57" s="304">
        <v>44</v>
      </c>
      <c r="C57" s="304">
        <f t="shared" ca="1" si="11"/>
        <v>0.125</v>
      </c>
      <c r="D57" s="304">
        <f t="shared" ca="1" si="11"/>
        <v>0</v>
      </c>
      <c r="E57" s="304">
        <f t="shared" ca="1" si="11"/>
        <v>0</v>
      </c>
      <c r="F57" s="304">
        <f t="shared" ca="1" si="11"/>
        <v>0</v>
      </c>
      <c r="G57" s="304"/>
      <c r="H57" s="304">
        <f t="shared" ca="1" si="9"/>
        <v>0.125</v>
      </c>
      <c r="I57" s="404">
        <f t="shared" ca="1" si="10"/>
        <v>0</v>
      </c>
      <c r="J57" s="404">
        <f>INDEX(Capacity!$I$15:$T$15,,MATCH(MONTH(A57),Capacity!$I$6:$T$6,0))</f>
        <v>0</v>
      </c>
      <c r="K57" s="404">
        <f>INDEX(Capacity!$I$17:$T$17,,MATCH(MONTH(A57),Capacity!$I$6:$T$6,0))</f>
        <v>0</v>
      </c>
      <c r="L57" s="404" t="str">
        <f t="shared" ca="1" si="12"/>
        <v>Y</v>
      </c>
      <c r="M57" s="309" t="str">
        <f t="shared" ca="1" si="13"/>
        <v>Y</v>
      </c>
      <c r="N57" s="323"/>
    </row>
    <row r="58" spans="1:14" x14ac:dyDescent="0.2">
      <c r="A58" s="409">
        <v>43510</v>
      </c>
      <c r="B58" s="304">
        <v>45</v>
      </c>
      <c r="C58" s="304">
        <f t="shared" ca="1" si="11"/>
        <v>0.125</v>
      </c>
      <c r="D58" s="304">
        <f t="shared" ca="1" si="11"/>
        <v>0</v>
      </c>
      <c r="E58" s="304">
        <f t="shared" ca="1" si="11"/>
        <v>0</v>
      </c>
      <c r="F58" s="304">
        <f t="shared" ca="1" si="11"/>
        <v>0</v>
      </c>
      <c r="G58" s="304"/>
      <c r="H58" s="304">
        <f t="shared" ca="1" si="9"/>
        <v>0.125</v>
      </c>
      <c r="I58" s="404">
        <f t="shared" ca="1" si="10"/>
        <v>0</v>
      </c>
      <c r="J58" s="404">
        <f>INDEX(Capacity!$I$15:$T$15,,MATCH(MONTH(A58),Capacity!$I$6:$T$6,0))</f>
        <v>0</v>
      </c>
      <c r="K58" s="404">
        <f>INDEX(Capacity!$I$17:$T$17,,MATCH(MONTH(A58),Capacity!$I$6:$T$6,0))</f>
        <v>0</v>
      </c>
      <c r="L58" s="404" t="str">
        <f t="shared" ca="1" si="12"/>
        <v>Y</v>
      </c>
      <c r="M58" s="309" t="str">
        <f t="shared" ca="1" si="13"/>
        <v>Y</v>
      </c>
      <c r="N58" s="323"/>
    </row>
    <row r="59" spans="1:14" x14ac:dyDescent="0.2">
      <c r="A59" s="409">
        <v>43511</v>
      </c>
      <c r="B59" s="304">
        <v>46</v>
      </c>
      <c r="C59" s="304">
        <f t="shared" ca="1" si="11"/>
        <v>0.125</v>
      </c>
      <c r="D59" s="304">
        <f t="shared" ca="1" si="11"/>
        <v>0</v>
      </c>
      <c r="E59" s="304">
        <f t="shared" ca="1" si="11"/>
        <v>0</v>
      </c>
      <c r="F59" s="304">
        <f t="shared" ca="1" si="11"/>
        <v>0</v>
      </c>
      <c r="G59" s="304"/>
      <c r="H59" s="304">
        <f t="shared" ca="1" si="9"/>
        <v>0.125</v>
      </c>
      <c r="I59" s="404">
        <f t="shared" ca="1" si="10"/>
        <v>0</v>
      </c>
      <c r="J59" s="404">
        <f>INDEX(Capacity!$I$15:$T$15,,MATCH(MONTH(A59),Capacity!$I$6:$T$6,0))</f>
        <v>0</v>
      </c>
      <c r="K59" s="404">
        <f>INDEX(Capacity!$I$17:$T$17,,MATCH(MONTH(A59),Capacity!$I$6:$T$6,0))</f>
        <v>0</v>
      </c>
      <c r="L59" s="404" t="str">
        <f t="shared" ca="1" si="12"/>
        <v>Y</v>
      </c>
      <c r="M59" s="309" t="str">
        <f t="shared" ca="1" si="13"/>
        <v>Y</v>
      </c>
      <c r="N59" s="323"/>
    </row>
    <row r="60" spans="1:14" x14ac:dyDescent="0.2">
      <c r="A60" s="409">
        <v>43512</v>
      </c>
      <c r="B60" s="304">
        <v>47</v>
      </c>
      <c r="C60" s="304">
        <f t="shared" ca="1" si="11"/>
        <v>0.125</v>
      </c>
      <c r="D60" s="304">
        <f t="shared" ca="1" si="11"/>
        <v>0</v>
      </c>
      <c r="E60" s="304">
        <f t="shared" ca="1" si="11"/>
        <v>0</v>
      </c>
      <c r="F60" s="304">
        <f t="shared" ca="1" si="11"/>
        <v>0</v>
      </c>
      <c r="G60" s="304"/>
      <c r="H60" s="304">
        <f t="shared" ca="1" si="9"/>
        <v>0.125</v>
      </c>
      <c r="I60" s="404">
        <f t="shared" ca="1" si="10"/>
        <v>0</v>
      </c>
      <c r="J60" s="404">
        <f>INDEX(Capacity!$I$15:$T$15,,MATCH(MONTH(A60),Capacity!$I$6:$T$6,0))</f>
        <v>0</v>
      </c>
      <c r="K60" s="404">
        <f>INDEX(Capacity!$I$17:$T$17,,MATCH(MONTH(A60),Capacity!$I$6:$T$6,0))</f>
        <v>0</v>
      </c>
      <c r="L60" s="404" t="str">
        <f t="shared" ca="1" si="12"/>
        <v>Y</v>
      </c>
      <c r="M60" s="309" t="str">
        <f t="shared" ca="1" si="13"/>
        <v>Y</v>
      </c>
      <c r="N60" s="323"/>
    </row>
    <row r="61" spans="1:14" x14ac:dyDescent="0.2">
      <c r="A61" s="409">
        <v>43513</v>
      </c>
      <c r="B61" s="304">
        <v>48</v>
      </c>
      <c r="C61" s="304">
        <f t="shared" ca="1" si="11"/>
        <v>0.125</v>
      </c>
      <c r="D61" s="304">
        <f t="shared" ca="1" si="11"/>
        <v>0</v>
      </c>
      <c r="E61" s="304">
        <f t="shared" ca="1" si="11"/>
        <v>0</v>
      </c>
      <c r="F61" s="304">
        <f t="shared" ca="1" si="11"/>
        <v>0</v>
      </c>
      <c r="G61" s="304"/>
      <c r="H61" s="304">
        <f t="shared" ca="1" si="9"/>
        <v>0.125</v>
      </c>
      <c r="I61" s="404">
        <f t="shared" ca="1" si="10"/>
        <v>0</v>
      </c>
      <c r="J61" s="404">
        <f>INDEX(Capacity!$I$15:$T$15,,MATCH(MONTH(A61),Capacity!$I$6:$T$6,0))</f>
        <v>0</v>
      </c>
      <c r="K61" s="404">
        <f>INDEX(Capacity!$I$17:$T$17,,MATCH(MONTH(A61),Capacity!$I$6:$T$6,0))</f>
        <v>0</v>
      </c>
      <c r="L61" s="404" t="str">
        <f t="shared" ca="1" si="12"/>
        <v>Y</v>
      </c>
      <c r="M61" s="309" t="str">
        <f t="shared" ca="1" si="13"/>
        <v>Y</v>
      </c>
      <c r="N61" s="323"/>
    </row>
    <row r="62" spans="1:14" x14ac:dyDescent="0.2">
      <c r="A62" s="409">
        <v>43514</v>
      </c>
      <c r="B62" s="304">
        <v>49</v>
      </c>
      <c r="C62" s="304">
        <f t="shared" ca="1" si="11"/>
        <v>0.125</v>
      </c>
      <c r="D62" s="304">
        <f t="shared" ca="1" si="11"/>
        <v>0</v>
      </c>
      <c r="E62" s="304">
        <f t="shared" ca="1" si="11"/>
        <v>0</v>
      </c>
      <c r="F62" s="304">
        <f t="shared" ca="1" si="11"/>
        <v>0</v>
      </c>
      <c r="G62" s="304"/>
      <c r="H62" s="304">
        <f t="shared" ca="1" si="9"/>
        <v>0.125</v>
      </c>
      <c r="I62" s="404">
        <f t="shared" ca="1" si="10"/>
        <v>0</v>
      </c>
      <c r="J62" s="404">
        <f>INDEX(Capacity!$I$15:$T$15,,MATCH(MONTH(A62),Capacity!$I$6:$T$6,0))</f>
        <v>0</v>
      </c>
      <c r="K62" s="404">
        <f>INDEX(Capacity!$I$17:$T$17,,MATCH(MONTH(A62),Capacity!$I$6:$T$6,0))</f>
        <v>0</v>
      </c>
      <c r="L62" s="404" t="str">
        <f t="shared" ca="1" si="12"/>
        <v>Y</v>
      </c>
      <c r="M62" s="309" t="str">
        <f t="shared" ca="1" si="13"/>
        <v>Y</v>
      </c>
      <c r="N62" s="323"/>
    </row>
    <row r="63" spans="1:14" x14ac:dyDescent="0.2">
      <c r="A63" s="409">
        <v>43515</v>
      </c>
      <c r="B63" s="304">
        <v>50</v>
      </c>
      <c r="C63" s="304">
        <f t="shared" ca="1" si="11"/>
        <v>0.125</v>
      </c>
      <c r="D63" s="304">
        <f t="shared" ca="1" si="11"/>
        <v>0</v>
      </c>
      <c r="E63" s="304">
        <f t="shared" ca="1" si="11"/>
        <v>0</v>
      </c>
      <c r="F63" s="304">
        <f t="shared" ca="1" si="11"/>
        <v>0</v>
      </c>
      <c r="G63" s="304"/>
      <c r="H63" s="304">
        <f t="shared" ca="1" si="9"/>
        <v>0.125</v>
      </c>
      <c r="I63" s="404">
        <f t="shared" ca="1" si="10"/>
        <v>0</v>
      </c>
      <c r="J63" s="404">
        <f>INDEX(Capacity!$I$15:$T$15,,MATCH(MONTH(A63),Capacity!$I$6:$T$6,0))</f>
        <v>0</v>
      </c>
      <c r="K63" s="404">
        <f>INDEX(Capacity!$I$17:$T$17,,MATCH(MONTH(A63),Capacity!$I$6:$T$6,0))</f>
        <v>0</v>
      </c>
      <c r="L63" s="404" t="str">
        <f t="shared" ca="1" si="12"/>
        <v>Y</v>
      </c>
      <c r="M63" s="309" t="str">
        <f t="shared" ca="1" si="13"/>
        <v>Y</v>
      </c>
      <c r="N63" s="323"/>
    </row>
    <row r="64" spans="1:14" x14ac:dyDescent="0.2">
      <c r="A64" s="409">
        <v>43516</v>
      </c>
      <c r="B64" s="304">
        <v>51</v>
      </c>
      <c r="C64" s="304">
        <f t="shared" ca="1" si="11"/>
        <v>0.125</v>
      </c>
      <c r="D64" s="304">
        <f t="shared" ca="1" si="11"/>
        <v>0</v>
      </c>
      <c r="E64" s="304">
        <f t="shared" ca="1" si="11"/>
        <v>0</v>
      </c>
      <c r="F64" s="304">
        <f t="shared" ca="1" si="11"/>
        <v>0</v>
      </c>
      <c r="G64" s="304"/>
      <c r="H64" s="304">
        <f t="shared" ca="1" si="9"/>
        <v>0.125</v>
      </c>
      <c r="I64" s="404">
        <f t="shared" ca="1" si="10"/>
        <v>0</v>
      </c>
      <c r="J64" s="404">
        <f>INDEX(Capacity!$I$15:$T$15,,MATCH(MONTH(A64),Capacity!$I$6:$T$6,0))</f>
        <v>0</v>
      </c>
      <c r="K64" s="404">
        <f>INDEX(Capacity!$I$17:$T$17,,MATCH(MONTH(A64),Capacity!$I$6:$T$6,0))</f>
        <v>0</v>
      </c>
      <c r="L64" s="404" t="str">
        <f t="shared" ca="1" si="12"/>
        <v>Y</v>
      </c>
      <c r="M64" s="309" t="str">
        <f t="shared" ca="1" si="13"/>
        <v>Y</v>
      </c>
      <c r="N64" s="323"/>
    </row>
    <row r="65" spans="1:14" x14ac:dyDescent="0.2">
      <c r="A65" s="409">
        <v>43517</v>
      </c>
      <c r="B65" s="304">
        <v>52</v>
      </c>
      <c r="C65" s="304">
        <f t="shared" ca="1" si="11"/>
        <v>0.125</v>
      </c>
      <c r="D65" s="304">
        <f t="shared" ca="1" si="11"/>
        <v>0</v>
      </c>
      <c r="E65" s="304">
        <f t="shared" ca="1" si="11"/>
        <v>0</v>
      </c>
      <c r="F65" s="304">
        <f t="shared" ca="1" si="11"/>
        <v>0</v>
      </c>
      <c r="G65" s="304"/>
      <c r="H65" s="304">
        <f t="shared" ca="1" si="9"/>
        <v>0.125</v>
      </c>
      <c r="I65" s="404">
        <f t="shared" ca="1" si="10"/>
        <v>0</v>
      </c>
      <c r="J65" s="404">
        <f>INDEX(Capacity!$I$15:$T$15,,MATCH(MONTH(A65),Capacity!$I$6:$T$6,0))</f>
        <v>0</v>
      </c>
      <c r="K65" s="404">
        <f>INDEX(Capacity!$I$17:$T$17,,MATCH(MONTH(A65),Capacity!$I$6:$T$6,0))</f>
        <v>0</v>
      </c>
      <c r="L65" s="404" t="str">
        <f t="shared" ca="1" si="12"/>
        <v>Y</v>
      </c>
      <c r="M65" s="309" t="str">
        <f t="shared" ca="1" si="13"/>
        <v>Y</v>
      </c>
      <c r="N65" s="323"/>
    </row>
    <row r="66" spans="1:14" x14ac:dyDescent="0.2">
      <c r="A66" s="409">
        <v>43518</v>
      </c>
      <c r="B66" s="304">
        <v>53</v>
      </c>
      <c r="C66" s="304">
        <f t="shared" ca="1" si="11"/>
        <v>0.125</v>
      </c>
      <c r="D66" s="304">
        <f t="shared" ca="1" si="11"/>
        <v>0</v>
      </c>
      <c r="E66" s="304">
        <f t="shared" ca="1" si="11"/>
        <v>0</v>
      </c>
      <c r="F66" s="304">
        <f t="shared" ca="1" si="11"/>
        <v>0</v>
      </c>
      <c r="G66" s="304"/>
      <c r="H66" s="304">
        <f t="shared" ca="1" si="9"/>
        <v>0.125</v>
      </c>
      <c r="I66" s="404">
        <f t="shared" ca="1" si="10"/>
        <v>0</v>
      </c>
      <c r="J66" s="404">
        <f>INDEX(Capacity!$I$15:$T$15,,MATCH(MONTH(A66),Capacity!$I$6:$T$6,0))</f>
        <v>0</v>
      </c>
      <c r="K66" s="404">
        <f>INDEX(Capacity!$I$17:$T$17,,MATCH(MONTH(A66),Capacity!$I$6:$T$6,0))</f>
        <v>0</v>
      </c>
      <c r="L66" s="404" t="str">
        <f t="shared" ca="1" si="12"/>
        <v>Y</v>
      </c>
      <c r="M66" s="309" t="str">
        <f t="shared" ca="1" si="13"/>
        <v>Y</v>
      </c>
      <c r="N66" s="323"/>
    </row>
    <row r="67" spans="1:14" x14ac:dyDescent="0.2">
      <c r="A67" s="409">
        <v>43519</v>
      </c>
      <c r="B67" s="304">
        <v>54</v>
      </c>
      <c r="C67" s="304">
        <f t="shared" ca="1" si="11"/>
        <v>0.125</v>
      </c>
      <c r="D67" s="304">
        <f t="shared" ca="1" si="11"/>
        <v>0</v>
      </c>
      <c r="E67" s="304">
        <f t="shared" ca="1" si="11"/>
        <v>0</v>
      </c>
      <c r="F67" s="304">
        <f t="shared" ca="1" si="11"/>
        <v>0</v>
      </c>
      <c r="G67" s="304"/>
      <c r="H67" s="304">
        <f t="shared" ca="1" si="9"/>
        <v>0.125</v>
      </c>
      <c r="I67" s="404">
        <f t="shared" ca="1" si="10"/>
        <v>0</v>
      </c>
      <c r="J67" s="404">
        <f>INDEX(Capacity!$I$15:$T$15,,MATCH(MONTH(A67),Capacity!$I$6:$T$6,0))</f>
        <v>0</v>
      </c>
      <c r="K67" s="404">
        <f>INDEX(Capacity!$I$17:$T$17,,MATCH(MONTH(A67),Capacity!$I$6:$T$6,0))</f>
        <v>0</v>
      </c>
      <c r="L67" s="404" t="str">
        <f t="shared" ca="1" si="12"/>
        <v>Y</v>
      </c>
      <c r="M67" s="309" t="str">
        <f t="shared" ca="1" si="13"/>
        <v>Y</v>
      </c>
      <c r="N67" s="323"/>
    </row>
    <row r="68" spans="1:14" x14ac:dyDescent="0.2">
      <c r="A68" s="409">
        <v>43520</v>
      </c>
      <c r="B68" s="304">
        <v>55</v>
      </c>
      <c r="C68" s="304">
        <f t="shared" ca="1" si="11"/>
        <v>0.125</v>
      </c>
      <c r="D68" s="304">
        <f t="shared" ca="1" si="11"/>
        <v>0</v>
      </c>
      <c r="E68" s="304">
        <f t="shared" ca="1" si="11"/>
        <v>0</v>
      </c>
      <c r="F68" s="304">
        <f t="shared" ca="1" si="11"/>
        <v>0</v>
      </c>
      <c r="G68" s="304"/>
      <c r="H68" s="304">
        <f t="shared" ca="1" si="9"/>
        <v>0.125</v>
      </c>
      <c r="I68" s="404">
        <f t="shared" ca="1" si="10"/>
        <v>0</v>
      </c>
      <c r="J68" s="404">
        <f>INDEX(Capacity!$I$15:$T$15,,MATCH(MONTH(A68),Capacity!$I$6:$T$6,0))</f>
        <v>0</v>
      </c>
      <c r="K68" s="404">
        <f>INDEX(Capacity!$I$17:$T$17,,MATCH(MONTH(A68),Capacity!$I$6:$T$6,0))</f>
        <v>0</v>
      </c>
      <c r="L68" s="404" t="str">
        <f t="shared" ca="1" si="12"/>
        <v>Y</v>
      </c>
      <c r="M68" s="309" t="str">
        <f t="shared" ca="1" si="13"/>
        <v>Y</v>
      </c>
      <c r="N68" s="323"/>
    </row>
    <row r="69" spans="1:14" x14ac:dyDescent="0.2">
      <c r="A69" s="409">
        <v>43521</v>
      </c>
      <c r="B69" s="304">
        <v>56</v>
      </c>
      <c r="C69" s="304">
        <f t="shared" ca="1" si="11"/>
        <v>0.125</v>
      </c>
      <c r="D69" s="304">
        <f t="shared" ca="1" si="11"/>
        <v>0</v>
      </c>
      <c r="E69" s="304">
        <f t="shared" ca="1" si="11"/>
        <v>0</v>
      </c>
      <c r="F69" s="304">
        <f t="shared" ca="1" si="11"/>
        <v>0</v>
      </c>
      <c r="G69" s="304"/>
      <c r="H69" s="304">
        <f t="shared" ca="1" si="9"/>
        <v>0.125</v>
      </c>
      <c r="I69" s="404">
        <f t="shared" ca="1" si="10"/>
        <v>0</v>
      </c>
      <c r="J69" s="404">
        <f>INDEX(Capacity!$I$15:$T$15,,MATCH(MONTH(A69),Capacity!$I$6:$T$6,0))</f>
        <v>0</v>
      </c>
      <c r="K69" s="404">
        <f>INDEX(Capacity!$I$17:$T$17,,MATCH(MONTH(A69),Capacity!$I$6:$T$6,0))</f>
        <v>0</v>
      </c>
      <c r="L69" s="404" t="str">
        <f t="shared" ca="1" si="12"/>
        <v>Y</v>
      </c>
      <c r="M69" s="309" t="str">
        <f t="shared" ca="1" si="13"/>
        <v>Y</v>
      </c>
      <c r="N69" s="323"/>
    </row>
    <row r="70" spans="1:14" x14ac:dyDescent="0.2">
      <c r="A70" s="409">
        <v>43522</v>
      </c>
      <c r="B70" s="304">
        <v>57</v>
      </c>
      <c r="C70" s="304">
        <f t="shared" ca="1" si="11"/>
        <v>0.125</v>
      </c>
      <c r="D70" s="304">
        <f t="shared" ca="1" si="11"/>
        <v>0</v>
      </c>
      <c r="E70" s="304">
        <f t="shared" ca="1" si="11"/>
        <v>0</v>
      </c>
      <c r="F70" s="304">
        <f t="shared" ca="1" si="11"/>
        <v>0</v>
      </c>
      <c r="G70" s="304"/>
      <c r="H70" s="304">
        <f t="shared" ca="1" si="9"/>
        <v>0.125</v>
      </c>
      <c r="I70" s="404">
        <f t="shared" ca="1" si="10"/>
        <v>0</v>
      </c>
      <c r="J70" s="404">
        <f>INDEX(Capacity!$I$15:$T$15,,MATCH(MONTH(A70),Capacity!$I$6:$T$6,0))</f>
        <v>0</v>
      </c>
      <c r="K70" s="404">
        <f>INDEX(Capacity!$I$17:$T$17,,MATCH(MONTH(A70),Capacity!$I$6:$T$6,0))</f>
        <v>0</v>
      </c>
      <c r="L70" s="404" t="str">
        <f t="shared" ca="1" si="12"/>
        <v>Y</v>
      </c>
      <c r="M70" s="309" t="str">
        <f t="shared" ca="1" si="13"/>
        <v>Y</v>
      </c>
      <c r="N70" s="323"/>
    </row>
    <row r="71" spans="1:14" x14ac:dyDescent="0.2">
      <c r="A71" s="409">
        <v>43523</v>
      </c>
      <c r="B71" s="304">
        <v>58</v>
      </c>
      <c r="C71" s="304">
        <f t="shared" ca="1" si="11"/>
        <v>0.125</v>
      </c>
      <c r="D71" s="304">
        <f t="shared" ca="1" si="11"/>
        <v>0</v>
      </c>
      <c r="E71" s="304">
        <f t="shared" ca="1" si="11"/>
        <v>0</v>
      </c>
      <c r="F71" s="304">
        <f t="shared" ca="1" si="11"/>
        <v>0</v>
      </c>
      <c r="G71" s="304"/>
      <c r="H71" s="304">
        <f t="shared" ca="1" si="9"/>
        <v>0.125</v>
      </c>
      <c r="I71" s="404">
        <f t="shared" ca="1" si="10"/>
        <v>0</v>
      </c>
      <c r="J71" s="404">
        <f>INDEX(Capacity!$I$15:$T$15,,MATCH(MONTH(A71),Capacity!$I$6:$T$6,0))</f>
        <v>0</v>
      </c>
      <c r="K71" s="404">
        <f>INDEX(Capacity!$I$17:$T$17,,MATCH(MONTH(A71),Capacity!$I$6:$T$6,0))</f>
        <v>0</v>
      </c>
      <c r="L71" s="404" t="str">
        <f t="shared" ca="1" si="12"/>
        <v>Y</v>
      </c>
      <c r="M71" s="309" t="str">
        <f t="shared" ca="1" si="13"/>
        <v>Y</v>
      </c>
      <c r="N71" s="323"/>
    </row>
    <row r="72" spans="1:14" x14ac:dyDescent="0.2">
      <c r="A72" s="409">
        <v>43524</v>
      </c>
      <c r="B72" s="304">
        <v>59</v>
      </c>
      <c r="C72" s="304">
        <f t="shared" ca="1" si="11"/>
        <v>0.125</v>
      </c>
      <c r="D72" s="304">
        <f t="shared" ca="1" si="11"/>
        <v>0</v>
      </c>
      <c r="E72" s="304">
        <f t="shared" ca="1" si="11"/>
        <v>0</v>
      </c>
      <c r="F72" s="304">
        <f t="shared" ca="1" si="11"/>
        <v>0</v>
      </c>
      <c r="G72" s="304"/>
      <c r="H72" s="304">
        <f t="shared" ca="1" si="9"/>
        <v>0.125</v>
      </c>
      <c r="I72" s="404">
        <f t="shared" ca="1" si="10"/>
        <v>0</v>
      </c>
      <c r="J72" s="404">
        <f>INDEX(Capacity!$I$15:$T$15,,MATCH(MONTH(A72),Capacity!$I$6:$T$6,0))</f>
        <v>0</v>
      </c>
      <c r="K72" s="404">
        <f>INDEX(Capacity!$I$17:$T$17,,MATCH(MONTH(A72),Capacity!$I$6:$T$6,0))</f>
        <v>0</v>
      </c>
      <c r="L72" s="404" t="str">
        <f t="shared" ca="1" si="12"/>
        <v>Y</v>
      </c>
      <c r="M72" s="309" t="str">
        <f t="shared" ca="1" si="13"/>
        <v>Y</v>
      </c>
      <c r="N72" s="323"/>
    </row>
    <row r="73" spans="1:14" x14ac:dyDescent="0.2">
      <c r="A73" s="409">
        <v>43525</v>
      </c>
      <c r="B73" s="304">
        <v>60</v>
      </c>
      <c r="C73" s="304">
        <f t="shared" ca="1" si="11"/>
        <v>0.125</v>
      </c>
      <c r="D73" s="304">
        <f t="shared" ca="1" si="11"/>
        <v>0</v>
      </c>
      <c r="E73" s="304">
        <f t="shared" ca="1" si="11"/>
        <v>0</v>
      </c>
      <c r="F73" s="304">
        <f t="shared" ca="1" si="11"/>
        <v>0</v>
      </c>
      <c r="G73" s="304"/>
      <c r="H73" s="304">
        <f t="shared" ca="1" si="9"/>
        <v>0.125</v>
      </c>
      <c r="I73" s="404">
        <f t="shared" ca="1" si="10"/>
        <v>0</v>
      </c>
      <c r="J73" s="404">
        <f>INDEX(Capacity!$I$15:$T$15,,MATCH(MONTH(A73),Capacity!$I$6:$T$6,0))</f>
        <v>0</v>
      </c>
      <c r="K73" s="404">
        <f>INDEX(Capacity!$I$17:$T$17,,MATCH(MONTH(A73),Capacity!$I$6:$T$6,0))</f>
        <v>0</v>
      </c>
      <c r="L73" s="404" t="str">
        <f t="shared" ca="1" si="12"/>
        <v>Y</v>
      </c>
      <c r="M73" s="309" t="str">
        <f t="shared" ca="1" si="13"/>
        <v>Y</v>
      </c>
      <c r="N73" s="323"/>
    </row>
    <row r="74" spans="1:14" x14ac:dyDescent="0.2">
      <c r="A74" s="409">
        <v>43526</v>
      </c>
      <c r="B74" s="304">
        <v>61</v>
      </c>
      <c r="C74" s="304">
        <f t="shared" ca="1" si="11"/>
        <v>0.125</v>
      </c>
      <c r="D74" s="304">
        <f t="shared" ca="1" si="11"/>
        <v>0</v>
      </c>
      <c r="E74" s="304">
        <f t="shared" ca="1" si="11"/>
        <v>0</v>
      </c>
      <c r="F74" s="304">
        <f t="shared" ca="1" si="11"/>
        <v>0</v>
      </c>
      <c r="G74" s="304"/>
      <c r="H74" s="304">
        <f t="shared" ca="1" si="9"/>
        <v>0.125</v>
      </c>
      <c r="I74" s="404">
        <f t="shared" ca="1" si="10"/>
        <v>0</v>
      </c>
      <c r="J74" s="404">
        <f>INDEX(Capacity!$I$15:$T$15,,MATCH(MONTH(A74),Capacity!$I$6:$T$6,0))</f>
        <v>0</v>
      </c>
      <c r="K74" s="404">
        <f>INDEX(Capacity!$I$17:$T$17,,MATCH(MONTH(A74),Capacity!$I$6:$T$6,0))</f>
        <v>0</v>
      </c>
      <c r="L74" s="404" t="str">
        <f t="shared" ca="1" si="12"/>
        <v>Y</v>
      </c>
      <c r="M74" s="309" t="str">
        <f t="shared" ca="1" si="13"/>
        <v>Y</v>
      </c>
      <c r="N74" s="323"/>
    </row>
    <row r="75" spans="1:14" x14ac:dyDescent="0.2">
      <c r="A75" s="409">
        <v>43527</v>
      </c>
      <c r="B75" s="304">
        <v>62</v>
      </c>
      <c r="C75" s="304">
        <f t="shared" ca="1" si="11"/>
        <v>0.125</v>
      </c>
      <c r="D75" s="304">
        <f t="shared" ca="1" si="11"/>
        <v>0</v>
      </c>
      <c r="E75" s="304">
        <f t="shared" ca="1" si="11"/>
        <v>0</v>
      </c>
      <c r="F75" s="304">
        <f t="shared" ca="1" si="11"/>
        <v>0</v>
      </c>
      <c r="G75" s="304"/>
      <c r="H75" s="304">
        <f t="shared" ca="1" si="9"/>
        <v>0.125</v>
      </c>
      <c r="I75" s="404">
        <f t="shared" ca="1" si="10"/>
        <v>0</v>
      </c>
      <c r="J75" s="404">
        <f>INDEX(Capacity!$I$15:$T$15,,MATCH(MONTH(A75),Capacity!$I$6:$T$6,0))</f>
        <v>0</v>
      </c>
      <c r="K75" s="404">
        <f>INDEX(Capacity!$I$17:$T$17,,MATCH(MONTH(A75),Capacity!$I$6:$T$6,0))</f>
        <v>0</v>
      </c>
      <c r="L75" s="404" t="str">
        <f t="shared" ca="1" si="12"/>
        <v>Y</v>
      </c>
      <c r="M75" s="309" t="str">
        <f t="shared" ca="1" si="13"/>
        <v>Y</v>
      </c>
      <c r="N75" s="323"/>
    </row>
    <row r="76" spans="1:14" x14ac:dyDescent="0.2">
      <c r="A76" s="409">
        <v>43528</v>
      </c>
      <c r="B76" s="304">
        <v>63</v>
      </c>
      <c r="C76" s="304">
        <f t="shared" ca="1" si="11"/>
        <v>0.125</v>
      </c>
      <c r="D76" s="304">
        <f t="shared" ca="1" si="11"/>
        <v>0</v>
      </c>
      <c r="E76" s="304">
        <f t="shared" ca="1" si="11"/>
        <v>0</v>
      </c>
      <c r="F76" s="304">
        <f t="shared" ca="1" si="11"/>
        <v>0</v>
      </c>
      <c r="G76" s="304"/>
      <c r="H76" s="304">
        <f t="shared" ca="1" si="9"/>
        <v>0.125</v>
      </c>
      <c r="I76" s="404">
        <f t="shared" ca="1" si="10"/>
        <v>0</v>
      </c>
      <c r="J76" s="404">
        <f>INDEX(Capacity!$I$15:$T$15,,MATCH(MONTH(A76),Capacity!$I$6:$T$6,0))</f>
        <v>0</v>
      </c>
      <c r="K76" s="404">
        <f>INDEX(Capacity!$I$17:$T$17,,MATCH(MONTH(A76),Capacity!$I$6:$T$6,0))</f>
        <v>0</v>
      </c>
      <c r="L76" s="404" t="str">
        <f t="shared" ca="1" si="12"/>
        <v>Y</v>
      </c>
      <c r="M76" s="309" t="str">
        <f t="shared" ca="1" si="13"/>
        <v>Y</v>
      </c>
      <c r="N76" s="323"/>
    </row>
    <row r="77" spans="1:14" x14ac:dyDescent="0.2">
      <c r="A77" s="409">
        <v>43529</v>
      </c>
      <c r="B77" s="304">
        <v>64</v>
      </c>
      <c r="C77" s="304">
        <f t="shared" ca="1" si="11"/>
        <v>0.125</v>
      </c>
      <c r="D77" s="304">
        <f t="shared" ca="1" si="11"/>
        <v>0</v>
      </c>
      <c r="E77" s="304">
        <f t="shared" ca="1" si="11"/>
        <v>0</v>
      </c>
      <c r="F77" s="304">
        <f t="shared" ca="1" si="11"/>
        <v>0</v>
      </c>
      <c r="G77" s="304"/>
      <c r="H77" s="304">
        <f t="shared" ca="1" si="9"/>
        <v>0.125</v>
      </c>
      <c r="I77" s="404">
        <f t="shared" ca="1" si="10"/>
        <v>0</v>
      </c>
      <c r="J77" s="404">
        <f>INDEX(Capacity!$I$15:$T$15,,MATCH(MONTH(A77),Capacity!$I$6:$T$6,0))</f>
        <v>0</v>
      </c>
      <c r="K77" s="404">
        <f>INDEX(Capacity!$I$17:$T$17,,MATCH(MONTH(A77),Capacity!$I$6:$T$6,0))</f>
        <v>0</v>
      </c>
      <c r="L77" s="404" t="str">
        <f t="shared" ca="1" si="12"/>
        <v>Y</v>
      </c>
      <c r="M77" s="309" t="str">
        <f t="shared" ca="1" si="13"/>
        <v>Y</v>
      </c>
      <c r="N77" s="323"/>
    </row>
    <row r="78" spans="1:14" x14ac:dyDescent="0.2">
      <c r="A78" s="409">
        <v>43530</v>
      </c>
      <c r="B78" s="304">
        <v>65</v>
      </c>
      <c r="C78" s="304">
        <f t="shared" ref="C78:F128" ca="1" si="14">IFERROR(IF(C$9=365,1/C$6,IF(C$12="",IF(C$11&gt;=C$10,IF(AND($B78&gt;=C$10+C$6, $B78&lt;=C$11),1/C$6,0),IF(OR($B78&gt;=C$10+C$6, $B78&lt;=C$11),1/C$6,0)),IF(OR(C$11&gt;=C$10,C$13&gt;=C$12),IF(OR(AND($B78&gt;=C$10+C$6, $B78&lt;=C$11),AND($B78&gt;=C$12+C$6, $B78&lt;=C$13)),1/C$6,0),IF(OR($B78&gt;=C$10+C$6, $B78&lt;=C$11,$B78&gt;=C$12+C$6, $B78&lt;=C$13),1/C$6,0)))),"Unknown; user input required")</f>
        <v>0.125</v>
      </c>
      <c r="D78" s="304">
        <f t="shared" ca="1" si="14"/>
        <v>0</v>
      </c>
      <c r="E78" s="304">
        <f t="shared" ca="1" si="14"/>
        <v>0</v>
      </c>
      <c r="F78" s="304">
        <f t="shared" ca="1" si="14"/>
        <v>0</v>
      </c>
      <c r="G78" s="304"/>
      <c r="H78" s="304">
        <f t="shared" ref="H78:H141" ca="1" si="15">SUM(C78:G78)</f>
        <v>0.125</v>
      </c>
      <c r="I78" s="404">
        <f t="shared" ref="I78:I141" ca="1" si="16">SUMPRODUCT($C$8:$G$8,$C$7:$G$7,C78:G78)</f>
        <v>0</v>
      </c>
      <c r="J78" s="404">
        <f>INDEX(Capacity!$I$15:$T$15,,MATCH(MONTH(A78),Capacity!$I$6:$T$6,0))</f>
        <v>0</v>
      </c>
      <c r="K78" s="404">
        <f>INDEX(Capacity!$I$17:$T$17,,MATCH(MONTH(A78),Capacity!$I$6:$T$6,0))</f>
        <v>0</v>
      </c>
      <c r="L78" s="404" t="str">
        <f t="shared" ca="1" si="12"/>
        <v>Y</v>
      </c>
      <c r="M78" s="309" t="str">
        <f t="shared" ca="1" si="13"/>
        <v>Y</v>
      </c>
      <c r="N78" s="323"/>
    </row>
    <row r="79" spans="1:14" x14ac:dyDescent="0.2">
      <c r="A79" s="409">
        <v>43531</v>
      </c>
      <c r="B79" s="304">
        <v>66</v>
      </c>
      <c r="C79" s="304">
        <f t="shared" ca="1" si="14"/>
        <v>0.125</v>
      </c>
      <c r="D79" s="304">
        <f t="shared" ca="1" si="14"/>
        <v>0</v>
      </c>
      <c r="E79" s="304">
        <f t="shared" ca="1" si="14"/>
        <v>0</v>
      </c>
      <c r="F79" s="304">
        <f t="shared" ca="1" si="14"/>
        <v>0</v>
      </c>
      <c r="G79" s="304"/>
      <c r="H79" s="304">
        <f t="shared" ca="1" si="15"/>
        <v>0.125</v>
      </c>
      <c r="I79" s="404">
        <f t="shared" ca="1" si="16"/>
        <v>0</v>
      </c>
      <c r="J79" s="404">
        <f>INDEX(Capacity!$I$15:$T$15,,MATCH(MONTH(A79),Capacity!$I$6:$T$6,0))</f>
        <v>0</v>
      </c>
      <c r="K79" s="404">
        <f>INDEX(Capacity!$I$17:$T$17,,MATCH(MONTH(A79),Capacity!$I$6:$T$6,0))</f>
        <v>0</v>
      </c>
      <c r="L79" s="404" t="str">
        <f t="shared" ref="L79:L142" ca="1" si="17">IF(I79&lt;=J79,"Y","N")</f>
        <v>Y</v>
      </c>
      <c r="M79" s="309" t="str">
        <f t="shared" ref="M79:M142" ca="1" si="18">IF(I79&lt;=K79,"Y","N")</f>
        <v>Y</v>
      </c>
      <c r="N79" s="323"/>
    </row>
    <row r="80" spans="1:14" x14ac:dyDescent="0.2">
      <c r="A80" s="409">
        <v>43532</v>
      </c>
      <c r="B80" s="304">
        <v>67</v>
      </c>
      <c r="C80" s="304">
        <f t="shared" ca="1" si="14"/>
        <v>0.125</v>
      </c>
      <c r="D80" s="304">
        <f t="shared" ca="1" si="14"/>
        <v>0</v>
      </c>
      <c r="E80" s="304">
        <f t="shared" ca="1" si="14"/>
        <v>0</v>
      </c>
      <c r="F80" s="304">
        <f t="shared" ca="1" si="14"/>
        <v>0</v>
      </c>
      <c r="G80" s="304"/>
      <c r="H80" s="304">
        <f t="shared" ca="1" si="15"/>
        <v>0.125</v>
      </c>
      <c r="I80" s="404">
        <f t="shared" ca="1" si="16"/>
        <v>0</v>
      </c>
      <c r="J80" s="404">
        <f>INDEX(Capacity!$I$15:$T$15,,MATCH(MONTH(A80),Capacity!$I$6:$T$6,0))</f>
        <v>0</v>
      </c>
      <c r="K80" s="404">
        <f>INDEX(Capacity!$I$17:$T$17,,MATCH(MONTH(A80),Capacity!$I$6:$T$6,0))</f>
        <v>0</v>
      </c>
      <c r="L80" s="404" t="str">
        <f t="shared" ca="1" si="17"/>
        <v>Y</v>
      </c>
      <c r="M80" s="309" t="str">
        <f t="shared" ca="1" si="18"/>
        <v>Y</v>
      </c>
      <c r="N80" s="323"/>
    </row>
    <row r="81" spans="1:14" x14ac:dyDescent="0.2">
      <c r="A81" s="409">
        <v>43533</v>
      </c>
      <c r="B81" s="304">
        <v>68</v>
      </c>
      <c r="C81" s="304">
        <f t="shared" ca="1" si="14"/>
        <v>0.125</v>
      </c>
      <c r="D81" s="304">
        <f t="shared" ca="1" si="14"/>
        <v>0</v>
      </c>
      <c r="E81" s="304">
        <f t="shared" ca="1" si="14"/>
        <v>0</v>
      </c>
      <c r="F81" s="304">
        <f t="shared" ca="1" si="14"/>
        <v>0</v>
      </c>
      <c r="G81" s="304"/>
      <c r="H81" s="304">
        <f t="shared" ca="1" si="15"/>
        <v>0.125</v>
      </c>
      <c r="I81" s="404">
        <f t="shared" ca="1" si="16"/>
        <v>0</v>
      </c>
      <c r="J81" s="404">
        <f>INDEX(Capacity!$I$15:$T$15,,MATCH(MONTH(A81),Capacity!$I$6:$T$6,0))</f>
        <v>0</v>
      </c>
      <c r="K81" s="404">
        <f>INDEX(Capacity!$I$17:$T$17,,MATCH(MONTH(A81),Capacity!$I$6:$T$6,0))</f>
        <v>0</v>
      </c>
      <c r="L81" s="404" t="str">
        <f t="shared" ca="1" si="17"/>
        <v>Y</v>
      </c>
      <c r="M81" s="309" t="str">
        <f t="shared" ca="1" si="18"/>
        <v>Y</v>
      </c>
      <c r="N81" s="323"/>
    </row>
    <row r="82" spans="1:14" x14ac:dyDescent="0.2">
      <c r="A82" s="409">
        <v>43534</v>
      </c>
      <c r="B82" s="304">
        <v>69</v>
      </c>
      <c r="C82" s="304">
        <f t="shared" ca="1" si="14"/>
        <v>0.125</v>
      </c>
      <c r="D82" s="304">
        <f t="shared" ca="1" si="14"/>
        <v>0</v>
      </c>
      <c r="E82" s="304">
        <f t="shared" ca="1" si="14"/>
        <v>0</v>
      </c>
      <c r="F82" s="304">
        <f t="shared" ca="1" si="14"/>
        <v>0</v>
      </c>
      <c r="G82" s="304"/>
      <c r="H82" s="304">
        <f t="shared" ca="1" si="15"/>
        <v>0.125</v>
      </c>
      <c r="I82" s="404">
        <f t="shared" ca="1" si="16"/>
        <v>0</v>
      </c>
      <c r="J82" s="404">
        <f>INDEX(Capacity!$I$15:$T$15,,MATCH(MONTH(A82),Capacity!$I$6:$T$6,0))</f>
        <v>0</v>
      </c>
      <c r="K82" s="404">
        <f>INDEX(Capacity!$I$17:$T$17,,MATCH(MONTH(A82),Capacity!$I$6:$T$6,0))</f>
        <v>0</v>
      </c>
      <c r="L82" s="404" t="str">
        <f t="shared" ca="1" si="17"/>
        <v>Y</v>
      </c>
      <c r="M82" s="309" t="str">
        <f t="shared" ca="1" si="18"/>
        <v>Y</v>
      </c>
      <c r="N82" s="323"/>
    </row>
    <row r="83" spans="1:14" x14ac:dyDescent="0.2">
      <c r="A83" s="409">
        <v>43535</v>
      </c>
      <c r="B83" s="304">
        <v>70</v>
      </c>
      <c r="C83" s="304">
        <f t="shared" ca="1" si="14"/>
        <v>0.125</v>
      </c>
      <c r="D83" s="304">
        <f t="shared" ca="1" si="14"/>
        <v>0</v>
      </c>
      <c r="E83" s="304">
        <f t="shared" ca="1" si="14"/>
        <v>0</v>
      </c>
      <c r="F83" s="304">
        <f t="shared" ca="1" si="14"/>
        <v>0</v>
      </c>
      <c r="G83" s="304"/>
      <c r="H83" s="304">
        <f t="shared" ca="1" si="15"/>
        <v>0.125</v>
      </c>
      <c r="I83" s="404">
        <f t="shared" ca="1" si="16"/>
        <v>0</v>
      </c>
      <c r="J83" s="404">
        <f>INDEX(Capacity!$I$15:$T$15,,MATCH(MONTH(A83),Capacity!$I$6:$T$6,0))</f>
        <v>0</v>
      </c>
      <c r="K83" s="404">
        <f>INDEX(Capacity!$I$17:$T$17,,MATCH(MONTH(A83),Capacity!$I$6:$T$6,0))</f>
        <v>0</v>
      </c>
      <c r="L83" s="404" t="str">
        <f t="shared" ca="1" si="17"/>
        <v>Y</v>
      </c>
      <c r="M83" s="309" t="str">
        <f t="shared" ca="1" si="18"/>
        <v>Y</v>
      </c>
      <c r="N83" s="323"/>
    </row>
    <row r="84" spans="1:14" x14ac:dyDescent="0.2">
      <c r="A84" s="409">
        <v>43536</v>
      </c>
      <c r="B84" s="304">
        <v>71</v>
      </c>
      <c r="C84" s="304">
        <f t="shared" ca="1" si="14"/>
        <v>0.125</v>
      </c>
      <c r="D84" s="304">
        <f t="shared" ca="1" si="14"/>
        <v>0</v>
      </c>
      <c r="E84" s="304">
        <f t="shared" ca="1" si="14"/>
        <v>0</v>
      </c>
      <c r="F84" s="304">
        <f t="shared" ca="1" si="14"/>
        <v>0</v>
      </c>
      <c r="G84" s="304"/>
      <c r="H84" s="304">
        <f t="shared" ca="1" si="15"/>
        <v>0.125</v>
      </c>
      <c r="I84" s="404">
        <f t="shared" ca="1" si="16"/>
        <v>0</v>
      </c>
      <c r="J84" s="404">
        <f>INDEX(Capacity!$I$15:$T$15,,MATCH(MONTH(A84),Capacity!$I$6:$T$6,0))</f>
        <v>0</v>
      </c>
      <c r="K84" s="404">
        <f>INDEX(Capacity!$I$17:$T$17,,MATCH(MONTH(A84),Capacity!$I$6:$T$6,0))</f>
        <v>0</v>
      </c>
      <c r="L84" s="404" t="str">
        <f t="shared" ca="1" si="17"/>
        <v>Y</v>
      </c>
      <c r="M84" s="309" t="str">
        <f t="shared" ca="1" si="18"/>
        <v>Y</v>
      </c>
      <c r="N84" s="323"/>
    </row>
    <row r="85" spans="1:14" x14ac:dyDescent="0.2">
      <c r="A85" s="409">
        <v>43537</v>
      </c>
      <c r="B85" s="304">
        <v>72</v>
      </c>
      <c r="C85" s="304">
        <f t="shared" ca="1" si="14"/>
        <v>0.125</v>
      </c>
      <c r="D85" s="304">
        <f t="shared" ca="1" si="14"/>
        <v>0</v>
      </c>
      <c r="E85" s="304">
        <f t="shared" ca="1" si="14"/>
        <v>0</v>
      </c>
      <c r="F85" s="304">
        <f t="shared" ca="1" si="14"/>
        <v>0</v>
      </c>
      <c r="G85" s="304"/>
      <c r="H85" s="304">
        <f t="shared" ca="1" si="15"/>
        <v>0.125</v>
      </c>
      <c r="I85" s="404">
        <f t="shared" ca="1" si="16"/>
        <v>0</v>
      </c>
      <c r="J85" s="404">
        <f>INDEX(Capacity!$I$15:$T$15,,MATCH(MONTH(A85),Capacity!$I$6:$T$6,0))</f>
        <v>0</v>
      </c>
      <c r="K85" s="404">
        <f>INDEX(Capacity!$I$17:$T$17,,MATCH(MONTH(A85),Capacity!$I$6:$T$6,0))</f>
        <v>0</v>
      </c>
      <c r="L85" s="404" t="str">
        <f t="shared" ca="1" si="17"/>
        <v>Y</v>
      </c>
      <c r="M85" s="309" t="str">
        <f t="shared" ca="1" si="18"/>
        <v>Y</v>
      </c>
      <c r="N85" s="323"/>
    </row>
    <row r="86" spans="1:14" x14ac:dyDescent="0.2">
      <c r="A86" s="409">
        <v>43538</v>
      </c>
      <c r="B86" s="304">
        <v>73</v>
      </c>
      <c r="C86" s="304">
        <f t="shared" ca="1" si="14"/>
        <v>0.125</v>
      </c>
      <c r="D86" s="304">
        <f t="shared" ca="1" si="14"/>
        <v>0</v>
      </c>
      <c r="E86" s="304">
        <f t="shared" ca="1" si="14"/>
        <v>0</v>
      </c>
      <c r="F86" s="304">
        <f t="shared" ca="1" si="14"/>
        <v>0</v>
      </c>
      <c r="G86" s="304"/>
      <c r="H86" s="304">
        <f t="shared" ca="1" si="15"/>
        <v>0.125</v>
      </c>
      <c r="I86" s="404">
        <f t="shared" ca="1" si="16"/>
        <v>0</v>
      </c>
      <c r="J86" s="404">
        <f>INDEX(Capacity!$I$15:$T$15,,MATCH(MONTH(A86),Capacity!$I$6:$T$6,0))</f>
        <v>0</v>
      </c>
      <c r="K86" s="404">
        <f>INDEX(Capacity!$I$17:$T$17,,MATCH(MONTH(A86),Capacity!$I$6:$T$6,0))</f>
        <v>0</v>
      </c>
      <c r="L86" s="404" t="str">
        <f t="shared" ca="1" si="17"/>
        <v>Y</v>
      </c>
      <c r="M86" s="309" t="str">
        <f t="shared" ca="1" si="18"/>
        <v>Y</v>
      </c>
      <c r="N86" s="323"/>
    </row>
    <row r="87" spans="1:14" x14ac:dyDescent="0.2">
      <c r="A87" s="409">
        <v>43539</v>
      </c>
      <c r="B87" s="304">
        <v>74</v>
      </c>
      <c r="C87" s="304">
        <f t="shared" ca="1" si="14"/>
        <v>0.125</v>
      </c>
      <c r="D87" s="304">
        <f t="shared" ca="1" si="14"/>
        <v>0</v>
      </c>
      <c r="E87" s="304">
        <f t="shared" ca="1" si="14"/>
        <v>0</v>
      </c>
      <c r="F87" s="304">
        <f t="shared" ca="1" si="14"/>
        <v>0</v>
      </c>
      <c r="G87" s="304"/>
      <c r="H87" s="304">
        <f t="shared" ca="1" si="15"/>
        <v>0.125</v>
      </c>
      <c r="I87" s="404">
        <f t="shared" ca="1" si="16"/>
        <v>0</v>
      </c>
      <c r="J87" s="404">
        <f>INDEX(Capacity!$I$15:$T$15,,MATCH(MONTH(A87),Capacity!$I$6:$T$6,0))</f>
        <v>0</v>
      </c>
      <c r="K87" s="404">
        <f>INDEX(Capacity!$I$17:$T$17,,MATCH(MONTH(A87),Capacity!$I$6:$T$6,0))</f>
        <v>0</v>
      </c>
      <c r="L87" s="404" t="str">
        <f t="shared" ca="1" si="17"/>
        <v>Y</v>
      </c>
      <c r="M87" s="309" t="str">
        <f t="shared" ca="1" si="18"/>
        <v>Y</v>
      </c>
      <c r="N87" s="323"/>
    </row>
    <row r="88" spans="1:14" x14ac:dyDescent="0.2">
      <c r="A88" s="409">
        <v>43540</v>
      </c>
      <c r="B88" s="304">
        <v>75</v>
      </c>
      <c r="C88" s="304">
        <f t="shared" ca="1" si="14"/>
        <v>0.125</v>
      </c>
      <c r="D88" s="304">
        <f t="shared" ca="1" si="14"/>
        <v>0</v>
      </c>
      <c r="E88" s="304">
        <f t="shared" ca="1" si="14"/>
        <v>0</v>
      </c>
      <c r="F88" s="304">
        <f t="shared" ca="1" si="14"/>
        <v>0</v>
      </c>
      <c r="G88" s="304"/>
      <c r="H88" s="304">
        <f t="shared" ca="1" si="15"/>
        <v>0.125</v>
      </c>
      <c r="I88" s="404">
        <f t="shared" ca="1" si="16"/>
        <v>0</v>
      </c>
      <c r="J88" s="404">
        <f>INDEX(Capacity!$I$15:$T$15,,MATCH(MONTH(A88),Capacity!$I$6:$T$6,0))</f>
        <v>0</v>
      </c>
      <c r="K88" s="404">
        <f>INDEX(Capacity!$I$17:$T$17,,MATCH(MONTH(A88),Capacity!$I$6:$T$6,0))</f>
        <v>0</v>
      </c>
      <c r="L88" s="404" t="str">
        <f t="shared" ca="1" si="17"/>
        <v>Y</v>
      </c>
      <c r="M88" s="309" t="str">
        <f t="shared" ca="1" si="18"/>
        <v>Y</v>
      </c>
      <c r="N88" s="323"/>
    </row>
    <row r="89" spans="1:14" x14ac:dyDescent="0.2">
      <c r="A89" s="409">
        <v>43541</v>
      </c>
      <c r="B89" s="304">
        <v>76</v>
      </c>
      <c r="C89" s="304">
        <f t="shared" ca="1" si="14"/>
        <v>0.125</v>
      </c>
      <c r="D89" s="304">
        <f t="shared" ca="1" si="14"/>
        <v>0</v>
      </c>
      <c r="E89" s="304">
        <f t="shared" ca="1" si="14"/>
        <v>0</v>
      </c>
      <c r="F89" s="304">
        <f t="shared" ca="1" si="14"/>
        <v>0</v>
      </c>
      <c r="G89" s="304"/>
      <c r="H89" s="304">
        <f t="shared" ca="1" si="15"/>
        <v>0.125</v>
      </c>
      <c r="I89" s="404">
        <f t="shared" ca="1" si="16"/>
        <v>0</v>
      </c>
      <c r="J89" s="404">
        <f>INDEX(Capacity!$I$15:$T$15,,MATCH(MONTH(A89),Capacity!$I$6:$T$6,0))</f>
        <v>0</v>
      </c>
      <c r="K89" s="404">
        <f>INDEX(Capacity!$I$17:$T$17,,MATCH(MONTH(A89),Capacity!$I$6:$T$6,0))</f>
        <v>0</v>
      </c>
      <c r="L89" s="404" t="str">
        <f t="shared" ca="1" si="17"/>
        <v>Y</v>
      </c>
      <c r="M89" s="309" t="str">
        <f t="shared" ca="1" si="18"/>
        <v>Y</v>
      </c>
      <c r="N89" s="323"/>
    </row>
    <row r="90" spans="1:14" x14ac:dyDescent="0.2">
      <c r="A90" s="409">
        <v>43542</v>
      </c>
      <c r="B90" s="304">
        <v>77</v>
      </c>
      <c r="C90" s="304">
        <f t="shared" ca="1" si="14"/>
        <v>0.125</v>
      </c>
      <c r="D90" s="304">
        <f t="shared" ca="1" si="14"/>
        <v>0</v>
      </c>
      <c r="E90" s="304">
        <f t="shared" ca="1" si="14"/>
        <v>0</v>
      </c>
      <c r="F90" s="304">
        <f t="shared" ca="1" si="14"/>
        <v>0</v>
      </c>
      <c r="G90" s="304"/>
      <c r="H90" s="304">
        <f t="shared" ca="1" si="15"/>
        <v>0.125</v>
      </c>
      <c r="I90" s="404">
        <f t="shared" ca="1" si="16"/>
        <v>0</v>
      </c>
      <c r="J90" s="404">
        <f>INDEX(Capacity!$I$15:$T$15,,MATCH(MONTH(A90),Capacity!$I$6:$T$6,0))</f>
        <v>0</v>
      </c>
      <c r="K90" s="404">
        <f>INDEX(Capacity!$I$17:$T$17,,MATCH(MONTH(A90),Capacity!$I$6:$T$6,0))</f>
        <v>0</v>
      </c>
      <c r="L90" s="404" t="str">
        <f t="shared" ca="1" si="17"/>
        <v>Y</v>
      </c>
      <c r="M90" s="309" t="str">
        <f t="shared" ca="1" si="18"/>
        <v>Y</v>
      </c>
      <c r="N90" s="323"/>
    </row>
    <row r="91" spans="1:14" x14ac:dyDescent="0.2">
      <c r="A91" s="409">
        <v>43543</v>
      </c>
      <c r="B91" s="304">
        <v>78</v>
      </c>
      <c r="C91" s="304">
        <f t="shared" ca="1" si="14"/>
        <v>0.125</v>
      </c>
      <c r="D91" s="304">
        <f t="shared" ca="1" si="14"/>
        <v>0</v>
      </c>
      <c r="E91" s="304">
        <f t="shared" ca="1" si="14"/>
        <v>0</v>
      </c>
      <c r="F91" s="304">
        <f t="shared" ca="1" si="14"/>
        <v>0</v>
      </c>
      <c r="G91" s="304"/>
      <c r="H91" s="304">
        <f t="shared" ca="1" si="15"/>
        <v>0.125</v>
      </c>
      <c r="I91" s="404">
        <f t="shared" ca="1" si="16"/>
        <v>0</v>
      </c>
      <c r="J91" s="404">
        <f>INDEX(Capacity!$I$15:$T$15,,MATCH(MONTH(A91),Capacity!$I$6:$T$6,0))</f>
        <v>0</v>
      </c>
      <c r="K91" s="404">
        <f>INDEX(Capacity!$I$17:$T$17,,MATCH(MONTH(A91),Capacity!$I$6:$T$6,0))</f>
        <v>0</v>
      </c>
      <c r="L91" s="404" t="str">
        <f t="shared" ca="1" si="17"/>
        <v>Y</v>
      </c>
      <c r="M91" s="309" t="str">
        <f t="shared" ca="1" si="18"/>
        <v>Y</v>
      </c>
      <c r="N91" s="323"/>
    </row>
    <row r="92" spans="1:14" x14ac:dyDescent="0.2">
      <c r="A92" s="409">
        <v>43544</v>
      </c>
      <c r="B92" s="304">
        <v>79</v>
      </c>
      <c r="C92" s="304">
        <f t="shared" ca="1" si="14"/>
        <v>0.125</v>
      </c>
      <c r="D92" s="304">
        <f t="shared" ca="1" si="14"/>
        <v>0</v>
      </c>
      <c r="E92" s="304">
        <f t="shared" ca="1" si="14"/>
        <v>0</v>
      </c>
      <c r="F92" s="304">
        <f t="shared" ca="1" si="14"/>
        <v>0</v>
      </c>
      <c r="G92" s="304"/>
      <c r="H92" s="304">
        <f t="shared" ca="1" si="15"/>
        <v>0.125</v>
      </c>
      <c r="I92" s="404">
        <f t="shared" ca="1" si="16"/>
        <v>0</v>
      </c>
      <c r="J92" s="404">
        <f>INDEX(Capacity!$I$15:$T$15,,MATCH(MONTH(A92),Capacity!$I$6:$T$6,0))</f>
        <v>0</v>
      </c>
      <c r="K92" s="404">
        <f>INDEX(Capacity!$I$17:$T$17,,MATCH(MONTH(A92),Capacity!$I$6:$T$6,0))</f>
        <v>0</v>
      </c>
      <c r="L92" s="404" t="str">
        <f t="shared" ca="1" si="17"/>
        <v>Y</v>
      </c>
      <c r="M92" s="309" t="str">
        <f t="shared" ca="1" si="18"/>
        <v>Y</v>
      </c>
      <c r="N92" s="323"/>
    </row>
    <row r="93" spans="1:14" x14ac:dyDescent="0.2">
      <c r="A93" s="409">
        <v>43545</v>
      </c>
      <c r="B93" s="304">
        <v>80</v>
      </c>
      <c r="C93" s="304">
        <f t="shared" ca="1" si="14"/>
        <v>0.125</v>
      </c>
      <c r="D93" s="304">
        <f t="shared" ca="1" si="14"/>
        <v>0</v>
      </c>
      <c r="E93" s="304">
        <f t="shared" ca="1" si="14"/>
        <v>0</v>
      </c>
      <c r="F93" s="304">
        <f t="shared" ca="1" si="14"/>
        <v>0</v>
      </c>
      <c r="G93" s="304"/>
      <c r="H93" s="304">
        <f t="shared" ca="1" si="15"/>
        <v>0.125</v>
      </c>
      <c r="I93" s="404">
        <f t="shared" ca="1" si="16"/>
        <v>0</v>
      </c>
      <c r="J93" s="404">
        <f>INDEX(Capacity!$I$15:$T$15,,MATCH(MONTH(A93),Capacity!$I$6:$T$6,0))</f>
        <v>0</v>
      </c>
      <c r="K93" s="404">
        <f>INDEX(Capacity!$I$17:$T$17,,MATCH(MONTH(A93),Capacity!$I$6:$T$6,0))</f>
        <v>0</v>
      </c>
      <c r="L93" s="404" t="str">
        <f t="shared" ca="1" si="17"/>
        <v>Y</v>
      </c>
      <c r="M93" s="309" t="str">
        <f t="shared" ca="1" si="18"/>
        <v>Y</v>
      </c>
      <c r="N93" s="323"/>
    </row>
    <row r="94" spans="1:14" x14ac:dyDescent="0.2">
      <c r="A94" s="409">
        <v>43546</v>
      </c>
      <c r="B94" s="304">
        <v>81</v>
      </c>
      <c r="C94" s="304">
        <f t="shared" ca="1" si="14"/>
        <v>0.125</v>
      </c>
      <c r="D94" s="304">
        <f t="shared" ca="1" si="14"/>
        <v>0</v>
      </c>
      <c r="E94" s="304">
        <f t="shared" ca="1" si="14"/>
        <v>0</v>
      </c>
      <c r="F94" s="304">
        <f t="shared" ca="1" si="14"/>
        <v>0</v>
      </c>
      <c r="G94" s="304"/>
      <c r="H94" s="304">
        <f t="shared" ca="1" si="15"/>
        <v>0.125</v>
      </c>
      <c r="I94" s="404">
        <f t="shared" ca="1" si="16"/>
        <v>0</v>
      </c>
      <c r="J94" s="404">
        <f>INDEX(Capacity!$I$15:$T$15,,MATCH(MONTH(A94),Capacity!$I$6:$T$6,0))</f>
        <v>0</v>
      </c>
      <c r="K94" s="404">
        <f>INDEX(Capacity!$I$17:$T$17,,MATCH(MONTH(A94),Capacity!$I$6:$T$6,0))</f>
        <v>0</v>
      </c>
      <c r="L94" s="404" t="str">
        <f t="shared" ca="1" si="17"/>
        <v>Y</v>
      </c>
      <c r="M94" s="309" t="str">
        <f t="shared" ca="1" si="18"/>
        <v>Y</v>
      </c>
      <c r="N94" s="323"/>
    </row>
    <row r="95" spans="1:14" x14ac:dyDescent="0.2">
      <c r="A95" s="409">
        <v>43547</v>
      </c>
      <c r="B95" s="304">
        <v>82</v>
      </c>
      <c r="C95" s="304">
        <f t="shared" ca="1" si="14"/>
        <v>0.125</v>
      </c>
      <c r="D95" s="304">
        <f t="shared" ca="1" si="14"/>
        <v>0</v>
      </c>
      <c r="E95" s="304">
        <f t="shared" ca="1" si="14"/>
        <v>0</v>
      </c>
      <c r="F95" s="304">
        <f t="shared" ca="1" si="14"/>
        <v>0</v>
      </c>
      <c r="G95" s="304"/>
      <c r="H95" s="304">
        <f t="shared" ca="1" si="15"/>
        <v>0.125</v>
      </c>
      <c r="I95" s="404">
        <f t="shared" ca="1" si="16"/>
        <v>0</v>
      </c>
      <c r="J95" s="404">
        <f>INDEX(Capacity!$I$15:$T$15,,MATCH(MONTH(A95),Capacity!$I$6:$T$6,0))</f>
        <v>0</v>
      </c>
      <c r="K95" s="404">
        <f>INDEX(Capacity!$I$17:$T$17,,MATCH(MONTH(A95),Capacity!$I$6:$T$6,0))</f>
        <v>0</v>
      </c>
      <c r="L95" s="404" t="str">
        <f t="shared" ca="1" si="17"/>
        <v>Y</v>
      </c>
      <c r="M95" s="309" t="str">
        <f t="shared" ca="1" si="18"/>
        <v>Y</v>
      </c>
      <c r="N95" s="323"/>
    </row>
    <row r="96" spans="1:14" x14ac:dyDescent="0.2">
      <c r="A96" s="409">
        <v>43548</v>
      </c>
      <c r="B96" s="304">
        <v>83</v>
      </c>
      <c r="C96" s="304">
        <f t="shared" ca="1" si="14"/>
        <v>0.125</v>
      </c>
      <c r="D96" s="304">
        <f t="shared" ca="1" si="14"/>
        <v>0</v>
      </c>
      <c r="E96" s="304">
        <f t="shared" ca="1" si="14"/>
        <v>0</v>
      </c>
      <c r="F96" s="304">
        <f t="shared" ca="1" si="14"/>
        <v>0</v>
      </c>
      <c r="G96" s="304"/>
      <c r="H96" s="304">
        <f t="shared" ca="1" si="15"/>
        <v>0.125</v>
      </c>
      <c r="I96" s="404">
        <f t="shared" ca="1" si="16"/>
        <v>0</v>
      </c>
      <c r="J96" s="404">
        <f>INDEX(Capacity!$I$15:$T$15,,MATCH(MONTH(A96),Capacity!$I$6:$T$6,0))</f>
        <v>0</v>
      </c>
      <c r="K96" s="404">
        <f>INDEX(Capacity!$I$17:$T$17,,MATCH(MONTH(A96),Capacity!$I$6:$T$6,0))</f>
        <v>0</v>
      </c>
      <c r="L96" s="404" t="str">
        <f t="shared" ca="1" si="17"/>
        <v>Y</v>
      </c>
      <c r="M96" s="309" t="str">
        <f t="shared" ca="1" si="18"/>
        <v>Y</v>
      </c>
      <c r="N96" s="323"/>
    </row>
    <row r="97" spans="1:14" x14ac:dyDescent="0.2">
      <c r="A97" s="409">
        <v>43549</v>
      </c>
      <c r="B97" s="304">
        <v>84</v>
      </c>
      <c r="C97" s="304">
        <f t="shared" ca="1" si="14"/>
        <v>0.125</v>
      </c>
      <c r="D97" s="304">
        <f t="shared" ca="1" si="14"/>
        <v>0</v>
      </c>
      <c r="E97" s="304">
        <f t="shared" ca="1" si="14"/>
        <v>0</v>
      </c>
      <c r="F97" s="304">
        <f t="shared" ca="1" si="14"/>
        <v>0</v>
      </c>
      <c r="G97" s="304"/>
      <c r="H97" s="304">
        <f t="shared" ca="1" si="15"/>
        <v>0.125</v>
      </c>
      <c r="I97" s="404">
        <f t="shared" ca="1" si="16"/>
        <v>0</v>
      </c>
      <c r="J97" s="404">
        <f>INDEX(Capacity!$I$15:$T$15,,MATCH(MONTH(A97),Capacity!$I$6:$T$6,0))</f>
        <v>0</v>
      </c>
      <c r="K97" s="404">
        <f>INDEX(Capacity!$I$17:$T$17,,MATCH(MONTH(A97),Capacity!$I$6:$T$6,0))</f>
        <v>0</v>
      </c>
      <c r="L97" s="404" t="str">
        <f t="shared" ca="1" si="17"/>
        <v>Y</v>
      </c>
      <c r="M97" s="309" t="str">
        <f t="shared" ca="1" si="18"/>
        <v>Y</v>
      </c>
      <c r="N97" s="323"/>
    </row>
    <row r="98" spans="1:14" x14ac:dyDescent="0.2">
      <c r="A98" s="409">
        <v>43550</v>
      </c>
      <c r="B98" s="304">
        <v>85</v>
      </c>
      <c r="C98" s="304">
        <f t="shared" ca="1" si="14"/>
        <v>0.125</v>
      </c>
      <c r="D98" s="304">
        <f t="shared" ca="1" si="14"/>
        <v>0</v>
      </c>
      <c r="E98" s="304">
        <f t="shared" ca="1" si="14"/>
        <v>0</v>
      </c>
      <c r="F98" s="304">
        <f t="shared" ca="1" si="14"/>
        <v>0</v>
      </c>
      <c r="G98" s="304"/>
      <c r="H98" s="304">
        <f t="shared" ca="1" si="15"/>
        <v>0.125</v>
      </c>
      <c r="I98" s="404">
        <f t="shared" ca="1" si="16"/>
        <v>0</v>
      </c>
      <c r="J98" s="404">
        <f>INDEX(Capacity!$I$15:$T$15,,MATCH(MONTH(A98),Capacity!$I$6:$T$6,0))</f>
        <v>0</v>
      </c>
      <c r="K98" s="404">
        <f>INDEX(Capacity!$I$17:$T$17,,MATCH(MONTH(A98),Capacity!$I$6:$T$6,0))</f>
        <v>0</v>
      </c>
      <c r="L98" s="404" t="str">
        <f t="shared" ca="1" si="17"/>
        <v>Y</v>
      </c>
      <c r="M98" s="309" t="str">
        <f t="shared" ca="1" si="18"/>
        <v>Y</v>
      </c>
      <c r="N98" s="323"/>
    </row>
    <row r="99" spans="1:14" x14ac:dyDescent="0.2">
      <c r="A99" s="409">
        <v>43551</v>
      </c>
      <c r="B99" s="304">
        <v>86</v>
      </c>
      <c r="C99" s="304">
        <f t="shared" ca="1" si="14"/>
        <v>0.125</v>
      </c>
      <c r="D99" s="304">
        <f t="shared" ca="1" si="14"/>
        <v>0</v>
      </c>
      <c r="E99" s="304">
        <f t="shared" ca="1" si="14"/>
        <v>0</v>
      </c>
      <c r="F99" s="304">
        <f t="shared" ca="1" si="14"/>
        <v>0</v>
      </c>
      <c r="G99" s="304"/>
      <c r="H99" s="304">
        <f t="shared" ca="1" si="15"/>
        <v>0.125</v>
      </c>
      <c r="I99" s="404">
        <f t="shared" ca="1" si="16"/>
        <v>0</v>
      </c>
      <c r="J99" s="404">
        <f>INDEX(Capacity!$I$15:$T$15,,MATCH(MONTH(A99),Capacity!$I$6:$T$6,0))</f>
        <v>0</v>
      </c>
      <c r="K99" s="404">
        <f>INDEX(Capacity!$I$17:$T$17,,MATCH(MONTH(A99),Capacity!$I$6:$T$6,0))</f>
        <v>0</v>
      </c>
      <c r="L99" s="404" t="str">
        <f t="shared" ca="1" si="17"/>
        <v>Y</v>
      </c>
      <c r="M99" s="309" t="str">
        <f t="shared" ca="1" si="18"/>
        <v>Y</v>
      </c>
      <c r="N99" s="323"/>
    </row>
    <row r="100" spans="1:14" x14ac:dyDescent="0.2">
      <c r="A100" s="409">
        <v>43552</v>
      </c>
      <c r="B100" s="304">
        <v>87</v>
      </c>
      <c r="C100" s="304">
        <f t="shared" ca="1" si="14"/>
        <v>0.125</v>
      </c>
      <c r="D100" s="304">
        <f t="shared" ca="1" si="14"/>
        <v>0</v>
      </c>
      <c r="E100" s="304">
        <f t="shared" ca="1" si="14"/>
        <v>0</v>
      </c>
      <c r="F100" s="304">
        <f t="shared" ca="1" si="14"/>
        <v>0</v>
      </c>
      <c r="G100" s="304"/>
      <c r="H100" s="304">
        <f t="shared" ca="1" si="15"/>
        <v>0.125</v>
      </c>
      <c r="I100" s="404">
        <f t="shared" ca="1" si="16"/>
        <v>0</v>
      </c>
      <c r="J100" s="404">
        <f>INDEX(Capacity!$I$15:$T$15,,MATCH(MONTH(A100),Capacity!$I$6:$T$6,0))</f>
        <v>0</v>
      </c>
      <c r="K100" s="404">
        <f>INDEX(Capacity!$I$17:$T$17,,MATCH(MONTH(A100),Capacity!$I$6:$T$6,0))</f>
        <v>0</v>
      </c>
      <c r="L100" s="404" t="str">
        <f t="shared" ca="1" si="17"/>
        <v>Y</v>
      </c>
      <c r="M100" s="309" t="str">
        <f t="shared" ca="1" si="18"/>
        <v>Y</v>
      </c>
      <c r="N100" s="323"/>
    </row>
    <row r="101" spans="1:14" x14ac:dyDescent="0.2">
      <c r="A101" s="409">
        <v>43553</v>
      </c>
      <c r="B101" s="304">
        <v>88</v>
      </c>
      <c r="C101" s="304">
        <f t="shared" ca="1" si="14"/>
        <v>0.125</v>
      </c>
      <c r="D101" s="304">
        <f t="shared" ca="1" si="14"/>
        <v>0</v>
      </c>
      <c r="E101" s="304">
        <f t="shared" ca="1" si="14"/>
        <v>0</v>
      </c>
      <c r="F101" s="304">
        <f t="shared" ca="1" si="14"/>
        <v>0</v>
      </c>
      <c r="G101" s="304"/>
      <c r="H101" s="304">
        <f t="shared" ca="1" si="15"/>
        <v>0.125</v>
      </c>
      <c r="I101" s="404">
        <f t="shared" ca="1" si="16"/>
        <v>0</v>
      </c>
      <c r="J101" s="404">
        <f>INDEX(Capacity!$I$15:$T$15,,MATCH(MONTH(A101),Capacity!$I$6:$T$6,0))</f>
        <v>0</v>
      </c>
      <c r="K101" s="404">
        <f>INDEX(Capacity!$I$17:$T$17,,MATCH(MONTH(A101),Capacity!$I$6:$T$6,0))</f>
        <v>0</v>
      </c>
      <c r="L101" s="404" t="str">
        <f t="shared" ca="1" si="17"/>
        <v>Y</v>
      </c>
      <c r="M101" s="309" t="str">
        <f t="shared" ca="1" si="18"/>
        <v>Y</v>
      </c>
      <c r="N101" s="323"/>
    </row>
    <row r="102" spans="1:14" x14ac:dyDescent="0.2">
      <c r="A102" s="409">
        <v>43554</v>
      </c>
      <c r="B102" s="304">
        <v>89</v>
      </c>
      <c r="C102" s="304">
        <f t="shared" ca="1" si="14"/>
        <v>0.125</v>
      </c>
      <c r="D102" s="304">
        <f t="shared" ca="1" si="14"/>
        <v>0</v>
      </c>
      <c r="E102" s="304">
        <f t="shared" ca="1" si="14"/>
        <v>0</v>
      </c>
      <c r="F102" s="304">
        <f t="shared" ca="1" si="14"/>
        <v>0</v>
      </c>
      <c r="G102" s="304"/>
      <c r="H102" s="304">
        <f t="shared" ca="1" si="15"/>
        <v>0.125</v>
      </c>
      <c r="I102" s="404">
        <f t="shared" ca="1" si="16"/>
        <v>0</v>
      </c>
      <c r="J102" s="404">
        <f>INDEX(Capacity!$I$15:$T$15,,MATCH(MONTH(A102),Capacity!$I$6:$T$6,0))</f>
        <v>0</v>
      </c>
      <c r="K102" s="404">
        <f>INDEX(Capacity!$I$17:$T$17,,MATCH(MONTH(A102),Capacity!$I$6:$T$6,0))</f>
        <v>0</v>
      </c>
      <c r="L102" s="404" t="str">
        <f t="shared" ca="1" si="17"/>
        <v>Y</v>
      </c>
      <c r="M102" s="309" t="str">
        <f t="shared" ca="1" si="18"/>
        <v>Y</v>
      </c>
      <c r="N102" s="323"/>
    </row>
    <row r="103" spans="1:14" x14ac:dyDescent="0.2">
      <c r="A103" s="409">
        <v>43555</v>
      </c>
      <c r="B103" s="304">
        <v>90</v>
      </c>
      <c r="C103" s="304">
        <f t="shared" ca="1" si="14"/>
        <v>0.125</v>
      </c>
      <c r="D103" s="304">
        <f t="shared" ca="1" si="14"/>
        <v>0</v>
      </c>
      <c r="E103" s="304">
        <f t="shared" ca="1" si="14"/>
        <v>0</v>
      </c>
      <c r="F103" s="304">
        <f t="shared" ca="1" si="14"/>
        <v>0</v>
      </c>
      <c r="G103" s="304"/>
      <c r="H103" s="304">
        <f t="shared" ca="1" si="15"/>
        <v>0.125</v>
      </c>
      <c r="I103" s="404">
        <f t="shared" ca="1" si="16"/>
        <v>0</v>
      </c>
      <c r="J103" s="404">
        <f>INDEX(Capacity!$I$15:$T$15,,MATCH(MONTH(A103),Capacity!$I$6:$T$6,0))</f>
        <v>0</v>
      </c>
      <c r="K103" s="404">
        <f>INDEX(Capacity!$I$17:$T$17,,MATCH(MONTH(A103),Capacity!$I$6:$T$6,0))</f>
        <v>0</v>
      </c>
      <c r="L103" s="404" t="str">
        <f t="shared" ca="1" si="17"/>
        <v>Y</v>
      </c>
      <c r="M103" s="309" t="str">
        <f t="shared" ca="1" si="18"/>
        <v>Y</v>
      </c>
      <c r="N103" s="323"/>
    </row>
    <row r="104" spans="1:14" x14ac:dyDescent="0.2">
      <c r="A104" s="409">
        <v>43556</v>
      </c>
      <c r="B104" s="304">
        <v>91</v>
      </c>
      <c r="C104" s="304">
        <f t="shared" ca="1" si="14"/>
        <v>0.125</v>
      </c>
      <c r="D104" s="304">
        <f t="shared" ca="1" si="14"/>
        <v>0</v>
      </c>
      <c r="E104" s="304">
        <f t="shared" ca="1" si="14"/>
        <v>0</v>
      </c>
      <c r="F104" s="304">
        <f t="shared" ca="1" si="14"/>
        <v>0</v>
      </c>
      <c r="G104" s="304"/>
      <c r="H104" s="304">
        <f t="shared" ca="1" si="15"/>
        <v>0.125</v>
      </c>
      <c r="I104" s="404">
        <f t="shared" ca="1" si="16"/>
        <v>0</v>
      </c>
      <c r="J104" s="404">
        <f>INDEX(Capacity!$I$15:$T$15,,MATCH(MONTH(A104),Capacity!$I$6:$T$6,0))</f>
        <v>0</v>
      </c>
      <c r="K104" s="404">
        <f>INDEX(Capacity!$I$17:$T$17,,MATCH(MONTH(A104),Capacity!$I$6:$T$6,0))</f>
        <v>0</v>
      </c>
      <c r="L104" s="404" t="str">
        <f t="shared" ca="1" si="17"/>
        <v>Y</v>
      </c>
      <c r="M104" s="309" t="str">
        <f t="shared" ca="1" si="18"/>
        <v>Y</v>
      </c>
      <c r="N104" s="323"/>
    </row>
    <row r="105" spans="1:14" x14ac:dyDescent="0.2">
      <c r="A105" s="409">
        <v>43557</v>
      </c>
      <c r="B105" s="304">
        <v>92</v>
      </c>
      <c r="C105" s="304">
        <f t="shared" ca="1" si="14"/>
        <v>0.125</v>
      </c>
      <c r="D105" s="304">
        <f t="shared" ca="1" si="14"/>
        <v>0</v>
      </c>
      <c r="E105" s="304">
        <f t="shared" ca="1" si="14"/>
        <v>0</v>
      </c>
      <c r="F105" s="304">
        <f t="shared" ca="1" si="14"/>
        <v>0</v>
      </c>
      <c r="G105" s="304"/>
      <c r="H105" s="304">
        <f t="shared" ca="1" si="15"/>
        <v>0.125</v>
      </c>
      <c r="I105" s="404">
        <f t="shared" ca="1" si="16"/>
        <v>0</v>
      </c>
      <c r="J105" s="404">
        <f>INDEX(Capacity!$I$15:$T$15,,MATCH(MONTH(A105),Capacity!$I$6:$T$6,0))</f>
        <v>0</v>
      </c>
      <c r="K105" s="404">
        <f>INDEX(Capacity!$I$17:$T$17,,MATCH(MONTH(A105),Capacity!$I$6:$T$6,0))</f>
        <v>0</v>
      </c>
      <c r="L105" s="404" t="str">
        <f t="shared" ca="1" si="17"/>
        <v>Y</v>
      </c>
      <c r="M105" s="309" t="str">
        <f t="shared" ca="1" si="18"/>
        <v>Y</v>
      </c>
      <c r="N105" s="323"/>
    </row>
    <row r="106" spans="1:14" x14ac:dyDescent="0.2">
      <c r="A106" s="409">
        <v>43558</v>
      </c>
      <c r="B106" s="304">
        <v>93</v>
      </c>
      <c r="C106" s="304">
        <f t="shared" ca="1" si="14"/>
        <v>0.125</v>
      </c>
      <c r="D106" s="304">
        <f t="shared" ca="1" si="14"/>
        <v>0</v>
      </c>
      <c r="E106" s="304">
        <f t="shared" ca="1" si="14"/>
        <v>0</v>
      </c>
      <c r="F106" s="304">
        <f t="shared" ca="1" si="14"/>
        <v>0</v>
      </c>
      <c r="G106" s="304"/>
      <c r="H106" s="304">
        <f t="shared" ca="1" si="15"/>
        <v>0.125</v>
      </c>
      <c r="I106" s="404">
        <f t="shared" ca="1" si="16"/>
        <v>0</v>
      </c>
      <c r="J106" s="404">
        <f>INDEX(Capacity!$I$15:$T$15,,MATCH(MONTH(A106),Capacity!$I$6:$T$6,0))</f>
        <v>0</v>
      </c>
      <c r="K106" s="404">
        <f>INDEX(Capacity!$I$17:$T$17,,MATCH(MONTH(A106),Capacity!$I$6:$T$6,0))</f>
        <v>0</v>
      </c>
      <c r="L106" s="404" t="str">
        <f t="shared" ca="1" si="17"/>
        <v>Y</v>
      </c>
      <c r="M106" s="309" t="str">
        <f t="shared" ca="1" si="18"/>
        <v>Y</v>
      </c>
      <c r="N106" s="323"/>
    </row>
    <row r="107" spans="1:14" x14ac:dyDescent="0.2">
      <c r="A107" s="409">
        <v>43559</v>
      </c>
      <c r="B107" s="304">
        <v>94</v>
      </c>
      <c r="C107" s="304">
        <f t="shared" ca="1" si="14"/>
        <v>0.125</v>
      </c>
      <c r="D107" s="304">
        <f t="shared" ca="1" si="14"/>
        <v>0</v>
      </c>
      <c r="E107" s="304">
        <f t="shared" ca="1" si="14"/>
        <v>0</v>
      </c>
      <c r="F107" s="304">
        <f t="shared" ca="1" si="14"/>
        <v>0</v>
      </c>
      <c r="G107" s="304"/>
      <c r="H107" s="304">
        <f t="shared" ca="1" si="15"/>
        <v>0.125</v>
      </c>
      <c r="I107" s="404">
        <f t="shared" ca="1" si="16"/>
        <v>0</v>
      </c>
      <c r="J107" s="404">
        <f>INDEX(Capacity!$I$15:$T$15,,MATCH(MONTH(A107),Capacity!$I$6:$T$6,0))</f>
        <v>0</v>
      </c>
      <c r="K107" s="404">
        <f>INDEX(Capacity!$I$17:$T$17,,MATCH(MONTH(A107),Capacity!$I$6:$T$6,0))</f>
        <v>0</v>
      </c>
      <c r="L107" s="404" t="str">
        <f t="shared" ca="1" si="17"/>
        <v>Y</v>
      </c>
      <c r="M107" s="309" t="str">
        <f t="shared" ca="1" si="18"/>
        <v>Y</v>
      </c>
      <c r="N107" s="323"/>
    </row>
    <row r="108" spans="1:14" x14ac:dyDescent="0.2">
      <c r="A108" s="409">
        <v>43560</v>
      </c>
      <c r="B108" s="304">
        <v>95</v>
      </c>
      <c r="C108" s="304">
        <f t="shared" ca="1" si="14"/>
        <v>0.125</v>
      </c>
      <c r="D108" s="304">
        <f t="shared" ca="1" si="14"/>
        <v>0</v>
      </c>
      <c r="E108" s="304">
        <f t="shared" ca="1" si="14"/>
        <v>0</v>
      </c>
      <c r="F108" s="304">
        <f t="shared" ca="1" si="14"/>
        <v>0</v>
      </c>
      <c r="G108" s="304"/>
      <c r="H108" s="304">
        <f t="shared" ca="1" si="15"/>
        <v>0.125</v>
      </c>
      <c r="I108" s="404">
        <f t="shared" ca="1" si="16"/>
        <v>0</v>
      </c>
      <c r="J108" s="404">
        <f>INDEX(Capacity!$I$15:$T$15,,MATCH(MONTH(A108),Capacity!$I$6:$T$6,0))</f>
        <v>0</v>
      </c>
      <c r="K108" s="404">
        <f>INDEX(Capacity!$I$17:$T$17,,MATCH(MONTH(A108),Capacity!$I$6:$T$6,0))</f>
        <v>0</v>
      </c>
      <c r="L108" s="404" t="str">
        <f t="shared" ca="1" si="17"/>
        <v>Y</v>
      </c>
      <c r="M108" s="309" t="str">
        <f t="shared" ca="1" si="18"/>
        <v>Y</v>
      </c>
      <c r="N108" s="323"/>
    </row>
    <row r="109" spans="1:14" x14ac:dyDescent="0.2">
      <c r="A109" s="409">
        <v>43561</v>
      </c>
      <c r="B109" s="304">
        <v>96</v>
      </c>
      <c r="C109" s="304">
        <f t="shared" ca="1" si="14"/>
        <v>0.125</v>
      </c>
      <c r="D109" s="304">
        <f t="shared" ca="1" si="14"/>
        <v>0</v>
      </c>
      <c r="E109" s="304">
        <f t="shared" ca="1" si="14"/>
        <v>0</v>
      </c>
      <c r="F109" s="304">
        <f t="shared" ca="1" si="14"/>
        <v>0</v>
      </c>
      <c r="G109" s="304"/>
      <c r="H109" s="304">
        <f t="shared" ca="1" si="15"/>
        <v>0.125</v>
      </c>
      <c r="I109" s="404">
        <f t="shared" ca="1" si="16"/>
        <v>0</v>
      </c>
      <c r="J109" s="404">
        <f>INDEX(Capacity!$I$15:$T$15,,MATCH(MONTH(A109),Capacity!$I$6:$T$6,0))</f>
        <v>0</v>
      </c>
      <c r="K109" s="404">
        <f>INDEX(Capacity!$I$17:$T$17,,MATCH(MONTH(A109),Capacity!$I$6:$T$6,0))</f>
        <v>0</v>
      </c>
      <c r="L109" s="404" t="str">
        <f t="shared" ca="1" si="17"/>
        <v>Y</v>
      </c>
      <c r="M109" s="309" t="str">
        <f t="shared" ca="1" si="18"/>
        <v>Y</v>
      </c>
      <c r="N109" s="323"/>
    </row>
    <row r="110" spans="1:14" x14ac:dyDescent="0.2">
      <c r="A110" s="409">
        <v>43562</v>
      </c>
      <c r="B110" s="304">
        <v>97</v>
      </c>
      <c r="C110" s="304">
        <f t="shared" ca="1" si="14"/>
        <v>0.125</v>
      </c>
      <c r="D110" s="304">
        <f t="shared" ca="1" si="14"/>
        <v>0</v>
      </c>
      <c r="E110" s="304">
        <f t="shared" ca="1" si="14"/>
        <v>2</v>
      </c>
      <c r="F110" s="304">
        <f t="shared" ca="1" si="14"/>
        <v>2</v>
      </c>
      <c r="G110" s="304"/>
      <c r="H110" s="304">
        <f t="shared" ca="1" si="15"/>
        <v>4.125</v>
      </c>
      <c r="I110" s="404">
        <f t="shared" ca="1" si="16"/>
        <v>0</v>
      </c>
      <c r="J110" s="404">
        <f>INDEX(Capacity!$I$15:$T$15,,MATCH(MONTH(A110),Capacity!$I$6:$T$6,0))</f>
        <v>0</v>
      </c>
      <c r="K110" s="404">
        <f>INDEX(Capacity!$I$17:$T$17,,MATCH(MONTH(A110),Capacity!$I$6:$T$6,0))</f>
        <v>0</v>
      </c>
      <c r="L110" s="404" t="str">
        <f t="shared" ca="1" si="17"/>
        <v>Y</v>
      </c>
      <c r="M110" s="309" t="str">
        <f t="shared" ca="1" si="18"/>
        <v>Y</v>
      </c>
      <c r="N110" s="323"/>
    </row>
    <row r="111" spans="1:14" x14ac:dyDescent="0.2">
      <c r="A111" s="409">
        <v>43563</v>
      </c>
      <c r="B111" s="304">
        <v>98</v>
      </c>
      <c r="C111" s="304">
        <f t="shared" ca="1" si="14"/>
        <v>0.125</v>
      </c>
      <c r="D111" s="304">
        <f t="shared" ca="1" si="14"/>
        <v>0</v>
      </c>
      <c r="E111" s="304">
        <f t="shared" ca="1" si="14"/>
        <v>2</v>
      </c>
      <c r="F111" s="304">
        <f t="shared" ca="1" si="14"/>
        <v>2</v>
      </c>
      <c r="G111" s="304"/>
      <c r="H111" s="304">
        <f t="shared" ca="1" si="15"/>
        <v>4.125</v>
      </c>
      <c r="I111" s="404">
        <f t="shared" ca="1" si="16"/>
        <v>0</v>
      </c>
      <c r="J111" s="404">
        <f>INDEX(Capacity!$I$15:$T$15,,MATCH(MONTH(A111),Capacity!$I$6:$T$6,0))</f>
        <v>0</v>
      </c>
      <c r="K111" s="404">
        <f>INDEX(Capacity!$I$17:$T$17,,MATCH(MONTH(A111),Capacity!$I$6:$T$6,0))</f>
        <v>0</v>
      </c>
      <c r="L111" s="404" t="str">
        <f t="shared" ca="1" si="17"/>
        <v>Y</v>
      </c>
      <c r="M111" s="309" t="str">
        <f t="shared" ca="1" si="18"/>
        <v>Y</v>
      </c>
      <c r="N111" s="323"/>
    </row>
    <row r="112" spans="1:14" x14ac:dyDescent="0.2">
      <c r="A112" s="409">
        <v>43564</v>
      </c>
      <c r="B112" s="304">
        <v>99</v>
      </c>
      <c r="C112" s="304">
        <f t="shared" ca="1" si="14"/>
        <v>0.125</v>
      </c>
      <c r="D112" s="304">
        <f t="shared" ca="1" si="14"/>
        <v>0</v>
      </c>
      <c r="E112" s="304">
        <f t="shared" ca="1" si="14"/>
        <v>2</v>
      </c>
      <c r="F112" s="304">
        <f t="shared" ca="1" si="14"/>
        <v>2</v>
      </c>
      <c r="G112" s="304"/>
      <c r="H112" s="304">
        <f t="shared" ca="1" si="15"/>
        <v>4.125</v>
      </c>
      <c r="I112" s="404">
        <f t="shared" ca="1" si="16"/>
        <v>0</v>
      </c>
      <c r="J112" s="404">
        <f>INDEX(Capacity!$I$15:$T$15,,MATCH(MONTH(A112),Capacity!$I$6:$T$6,0))</f>
        <v>0</v>
      </c>
      <c r="K112" s="404">
        <f>INDEX(Capacity!$I$17:$T$17,,MATCH(MONTH(A112),Capacity!$I$6:$T$6,0))</f>
        <v>0</v>
      </c>
      <c r="L112" s="404" t="str">
        <f t="shared" ca="1" si="17"/>
        <v>Y</v>
      </c>
      <c r="M112" s="309" t="str">
        <f t="shared" ca="1" si="18"/>
        <v>Y</v>
      </c>
      <c r="N112" s="323"/>
    </row>
    <row r="113" spans="1:14" x14ac:dyDescent="0.2">
      <c r="A113" s="409">
        <v>43565</v>
      </c>
      <c r="B113" s="304">
        <v>100</v>
      </c>
      <c r="C113" s="304">
        <f t="shared" ca="1" si="14"/>
        <v>0.125</v>
      </c>
      <c r="D113" s="304">
        <f t="shared" ca="1" si="14"/>
        <v>0</v>
      </c>
      <c r="E113" s="304">
        <f t="shared" ca="1" si="14"/>
        <v>2</v>
      </c>
      <c r="F113" s="304">
        <f t="shared" ca="1" si="14"/>
        <v>2</v>
      </c>
      <c r="G113" s="304"/>
      <c r="H113" s="304">
        <f t="shared" ca="1" si="15"/>
        <v>4.125</v>
      </c>
      <c r="I113" s="404">
        <f t="shared" ca="1" si="16"/>
        <v>0</v>
      </c>
      <c r="J113" s="404">
        <f>INDEX(Capacity!$I$15:$T$15,,MATCH(MONTH(A113),Capacity!$I$6:$T$6,0))</f>
        <v>0</v>
      </c>
      <c r="K113" s="404">
        <f>INDEX(Capacity!$I$17:$T$17,,MATCH(MONTH(A113),Capacity!$I$6:$T$6,0))</f>
        <v>0</v>
      </c>
      <c r="L113" s="404" t="str">
        <f t="shared" ca="1" si="17"/>
        <v>Y</v>
      </c>
      <c r="M113" s="309" t="str">
        <f t="shared" ca="1" si="18"/>
        <v>Y</v>
      </c>
      <c r="N113" s="323"/>
    </row>
    <row r="114" spans="1:14" x14ac:dyDescent="0.2">
      <c r="A114" s="409">
        <v>43566</v>
      </c>
      <c r="B114" s="304">
        <v>101</v>
      </c>
      <c r="C114" s="304">
        <f t="shared" ca="1" si="14"/>
        <v>0.125</v>
      </c>
      <c r="D114" s="304">
        <f t="shared" ca="1" si="14"/>
        <v>0</v>
      </c>
      <c r="E114" s="304">
        <f t="shared" ca="1" si="14"/>
        <v>2</v>
      </c>
      <c r="F114" s="304">
        <f t="shared" ca="1" si="14"/>
        <v>2</v>
      </c>
      <c r="G114" s="304"/>
      <c r="H114" s="304">
        <f t="shared" ca="1" si="15"/>
        <v>4.125</v>
      </c>
      <c r="I114" s="404">
        <f t="shared" ca="1" si="16"/>
        <v>0</v>
      </c>
      <c r="J114" s="404">
        <f>INDEX(Capacity!$I$15:$T$15,,MATCH(MONTH(A114),Capacity!$I$6:$T$6,0))</f>
        <v>0</v>
      </c>
      <c r="K114" s="404">
        <f>INDEX(Capacity!$I$17:$T$17,,MATCH(MONTH(A114),Capacity!$I$6:$T$6,0))</f>
        <v>0</v>
      </c>
      <c r="L114" s="404" t="str">
        <f t="shared" ca="1" si="17"/>
        <v>Y</v>
      </c>
      <c r="M114" s="309" t="str">
        <f t="shared" ca="1" si="18"/>
        <v>Y</v>
      </c>
      <c r="N114" s="323"/>
    </row>
    <row r="115" spans="1:14" x14ac:dyDescent="0.2">
      <c r="A115" s="409">
        <v>43567</v>
      </c>
      <c r="B115" s="304">
        <v>102</v>
      </c>
      <c r="C115" s="304">
        <f t="shared" ca="1" si="14"/>
        <v>0.125</v>
      </c>
      <c r="D115" s="304">
        <f t="shared" ca="1" si="14"/>
        <v>0</v>
      </c>
      <c r="E115" s="304">
        <f t="shared" ca="1" si="14"/>
        <v>2</v>
      </c>
      <c r="F115" s="304">
        <f t="shared" ca="1" si="14"/>
        <v>2</v>
      </c>
      <c r="G115" s="304"/>
      <c r="H115" s="304">
        <f t="shared" ca="1" si="15"/>
        <v>4.125</v>
      </c>
      <c r="I115" s="404">
        <f t="shared" ca="1" si="16"/>
        <v>0</v>
      </c>
      <c r="J115" s="404">
        <f>INDEX(Capacity!$I$15:$T$15,,MATCH(MONTH(A115),Capacity!$I$6:$T$6,0))</f>
        <v>0</v>
      </c>
      <c r="K115" s="404">
        <f>INDEX(Capacity!$I$17:$T$17,,MATCH(MONTH(A115),Capacity!$I$6:$T$6,0))</f>
        <v>0</v>
      </c>
      <c r="L115" s="404" t="str">
        <f t="shared" ca="1" si="17"/>
        <v>Y</v>
      </c>
      <c r="M115" s="309" t="str">
        <f t="shared" ca="1" si="18"/>
        <v>Y</v>
      </c>
      <c r="N115" s="323"/>
    </row>
    <row r="116" spans="1:14" x14ac:dyDescent="0.2">
      <c r="A116" s="409">
        <v>43568</v>
      </c>
      <c r="B116" s="304">
        <v>103</v>
      </c>
      <c r="C116" s="304">
        <f t="shared" ca="1" si="14"/>
        <v>0.125</v>
      </c>
      <c r="D116" s="304">
        <f t="shared" ca="1" si="14"/>
        <v>0</v>
      </c>
      <c r="E116" s="304">
        <f t="shared" ca="1" si="14"/>
        <v>2</v>
      </c>
      <c r="F116" s="304">
        <f t="shared" ca="1" si="14"/>
        <v>2</v>
      </c>
      <c r="G116" s="304"/>
      <c r="H116" s="304">
        <f t="shared" ca="1" si="15"/>
        <v>4.125</v>
      </c>
      <c r="I116" s="404">
        <f t="shared" ca="1" si="16"/>
        <v>0</v>
      </c>
      <c r="J116" s="404">
        <f>INDEX(Capacity!$I$15:$T$15,,MATCH(MONTH(A116),Capacity!$I$6:$T$6,0))</f>
        <v>0</v>
      </c>
      <c r="K116" s="404">
        <f>INDEX(Capacity!$I$17:$T$17,,MATCH(MONTH(A116),Capacity!$I$6:$T$6,0))</f>
        <v>0</v>
      </c>
      <c r="L116" s="404" t="str">
        <f t="shared" ca="1" si="17"/>
        <v>Y</v>
      </c>
      <c r="M116" s="309" t="str">
        <f t="shared" ca="1" si="18"/>
        <v>Y</v>
      </c>
      <c r="N116" s="323"/>
    </row>
    <row r="117" spans="1:14" x14ac:dyDescent="0.2">
      <c r="A117" s="409">
        <v>43569</v>
      </c>
      <c r="B117" s="304">
        <v>104</v>
      </c>
      <c r="C117" s="304">
        <f t="shared" ca="1" si="14"/>
        <v>0.125</v>
      </c>
      <c r="D117" s="304">
        <f t="shared" ca="1" si="14"/>
        <v>0</v>
      </c>
      <c r="E117" s="304">
        <f t="shared" ca="1" si="14"/>
        <v>2</v>
      </c>
      <c r="F117" s="304">
        <f t="shared" ca="1" si="14"/>
        <v>2</v>
      </c>
      <c r="G117" s="304"/>
      <c r="H117" s="304">
        <f t="shared" ca="1" si="15"/>
        <v>4.125</v>
      </c>
      <c r="I117" s="404">
        <f t="shared" ca="1" si="16"/>
        <v>0</v>
      </c>
      <c r="J117" s="404">
        <f>INDEX(Capacity!$I$15:$T$15,,MATCH(MONTH(A117),Capacity!$I$6:$T$6,0))</f>
        <v>0</v>
      </c>
      <c r="K117" s="404">
        <f>INDEX(Capacity!$I$17:$T$17,,MATCH(MONTH(A117),Capacity!$I$6:$T$6,0))</f>
        <v>0</v>
      </c>
      <c r="L117" s="404" t="str">
        <f t="shared" ca="1" si="17"/>
        <v>Y</v>
      </c>
      <c r="M117" s="309" t="str">
        <f t="shared" ca="1" si="18"/>
        <v>Y</v>
      </c>
      <c r="N117" s="323"/>
    </row>
    <row r="118" spans="1:14" x14ac:dyDescent="0.2">
      <c r="A118" s="409">
        <v>43570</v>
      </c>
      <c r="B118" s="304">
        <v>105</v>
      </c>
      <c r="C118" s="304">
        <f t="shared" ca="1" si="14"/>
        <v>0.125</v>
      </c>
      <c r="D118" s="304">
        <f t="shared" ca="1" si="14"/>
        <v>0</v>
      </c>
      <c r="E118" s="304">
        <f t="shared" ca="1" si="14"/>
        <v>2</v>
      </c>
      <c r="F118" s="304">
        <f t="shared" ca="1" si="14"/>
        <v>2</v>
      </c>
      <c r="G118" s="304"/>
      <c r="H118" s="304">
        <f t="shared" ca="1" si="15"/>
        <v>4.125</v>
      </c>
      <c r="I118" s="404">
        <f t="shared" ca="1" si="16"/>
        <v>0</v>
      </c>
      <c r="J118" s="404">
        <f>INDEX(Capacity!$I$15:$T$15,,MATCH(MONTH(A118),Capacity!$I$6:$T$6,0))</f>
        <v>0</v>
      </c>
      <c r="K118" s="404">
        <f>INDEX(Capacity!$I$17:$T$17,,MATCH(MONTH(A118),Capacity!$I$6:$T$6,0))</f>
        <v>0</v>
      </c>
      <c r="L118" s="404" t="str">
        <f t="shared" ca="1" si="17"/>
        <v>Y</v>
      </c>
      <c r="M118" s="309" t="str">
        <f t="shared" ca="1" si="18"/>
        <v>Y</v>
      </c>
      <c r="N118" s="323"/>
    </row>
    <row r="119" spans="1:14" x14ac:dyDescent="0.2">
      <c r="A119" s="409">
        <v>43571</v>
      </c>
      <c r="B119" s="304">
        <v>106</v>
      </c>
      <c r="C119" s="304">
        <f t="shared" ca="1" si="14"/>
        <v>0.125</v>
      </c>
      <c r="D119" s="304">
        <f t="shared" ca="1" si="14"/>
        <v>0</v>
      </c>
      <c r="E119" s="304">
        <f t="shared" ca="1" si="14"/>
        <v>2</v>
      </c>
      <c r="F119" s="304">
        <f t="shared" ca="1" si="14"/>
        <v>2</v>
      </c>
      <c r="G119" s="304"/>
      <c r="H119" s="304">
        <f t="shared" ca="1" si="15"/>
        <v>4.125</v>
      </c>
      <c r="I119" s="404">
        <f t="shared" ca="1" si="16"/>
        <v>0</v>
      </c>
      <c r="J119" s="404">
        <f>INDEX(Capacity!$I$15:$T$15,,MATCH(MONTH(A119),Capacity!$I$6:$T$6,0))</f>
        <v>0</v>
      </c>
      <c r="K119" s="404">
        <f>INDEX(Capacity!$I$17:$T$17,,MATCH(MONTH(A119),Capacity!$I$6:$T$6,0))</f>
        <v>0</v>
      </c>
      <c r="L119" s="404" t="str">
        <f t="shared" ca="1" si="17"/>
        <v>Y</v>
      </c>
      <c r="M119" s="309" t="str">
        <f t="shared" ca="1" si="18"/>
        <v>Y</v>
      </c>
      <c r="N119" s="323"/>
    </row>
    <row r="120" spans="1:14" x14ac:dyDescent="0.2">
      <c r="A120" s="409">
        <v>43572</v>
      </c>
      <c r="B120" s="304">
        <v>107</v>
      </c>
      <c r="C120" s="304">
        <f t="shared" ca="1" si="14"/>
        <v>0.125</v>
      </c>
      <c r="D120" s="304">
        <f t="shared" ca="1" si="14"/>
        <v>0</v>
      </c>
      <c r="E120" s="304">
        <f t="shared" ca="1" si="14"/>
        <v>2</v>
      </c>
      <c r="F120" s="304">
        <f t="shared" ca="1" si="14"/>
        <v>2</v>
      </c>
      <c r="G120" s="304"/>
      <c r="H120" s="304">
        <f t="shared" ca="1" si="15"/>
        <v>4.125</v>
      </c>
      <c r="I120" s="404">
        <f t="shared" ca="1" si="16"/>
        <v>0</v>
      </c>
      <c r="J120" s="404">
        <f>INDEX(Capacity!$I$15:$T$15,,MATCH(MONTH(A120),Capacity!$I$6:$T$6,0))</f>
        <v>0</v>
      </c>
      <c r="K120" s="404">
        <f>INDEX(Capacity!$I$17:$T$17,,MATCH(MONTH(A120),Capacity!$I$6:$T$6,0))</f>
        <v>0</v>
      </c>
      <c r="L120" s="404" t="str">
        <f t="shared" ca="1" si="17"/>
        <v>Y</v>
      </c>
      <c r="M120" s="309" t="str">
        <f t="shared" ca="1" si="18"/>
        <v>Y</v>
      </c>
      <c r="N120" s="323"/>
    </row>
    <row r="121" spans="1:14" x14ac:dyDescent="0.2">
      <c r="A121" s="409">
        <v>43573</v>
      </c>
      <c r="B121" s="304">
        <v>108</v>
      </c>
      <c r="C121" s="304">
        <f t="shared" ca="1" si="14"/>
        <v>0.125</v>
      </c>
      <c r="D121" s="304">
        <f t="shared" ca="1" si="14"/>
        <v>0</v>
      </c>
      <c r="E121" s="304">
        <f t="shared" ca="1" si="14"/>
        <v>2</v>
      </c>
      <c r="F121" s="304">
        <f t="shared" ca="1" si="14"/>
        <v>2</v>
      </c>
      <c r="G121" s="304"/>
      <c r="H121" s="304">
        <f t="shared" ca="1" si="15"/>
        <v>4.125</v>
      </c>
      <c r="I121" s="404">
        <f t="shared" ca="1" si="16"/>
        <v>0</v>
      </c>
      <c r="J121" s="404">
        <f>INDEX(Capacity!$I$15:$T$15,,MATCH(MONTH(A121),Capacity!$I$6:$T$6,0))</f>
        <v>0</v>
      </c>
      <c r="K121" s="404">
        <f>INDEX(Capacity!$I$17:$T$17,,MATCH(MONTH(A121),Capacity!$I$6:$T$6,0))</f>
        <v>0</v>
      </c>
      <c r="L121" s="404" t="str">
        <f t="shared" ca="1" si="17"/>
        <v>Y</v>
      </c>
      <c r="M121" s="309" t="str">
        <f t="shared" ca="1" si="18"/>
        <v>Y</v>
      </c>
      <c r="N121" s="323"/>
    </row>
    <row r="122" spans="1:14" x14ac:dyDescent="0.2">
      <c r="A122" s="409">
        <v>43574</v>
      </c>
      <c r="B122" s="304">
        <v>109</v>
      </c>
      <c r="C122" s="304">
        <f t="shared" ca="1" si="14"/>
        <v>0.125</v>
      </c>
      <c r="D122" s="304">
        <f t="shared" ca="1" si="14"/>
        <v>0</v>
      </c>
      <c r="E122" s="304">
        <f t="shared" ca="1" si="14"/>
        <v>2</v>
      </c>
      <c r="F122" s="304">
        <f t="shared" ca="1" si="14"/>
        <v>2</v>
      </c>
      <c r="G122" s="304"/>
      <c r="H122" s="304">
        <f t="shared" ca="1" si="15"/>
        <v>4.125</v>
      </c>
      <c r="I122" s="404">
        <f t="shared" ca="1" si="16"/>
        <v>0</v>
      </c>
      <c r="J122" s="404">
        <f>INDEX(Capacity!$I$15:$T$15,,MATCH(MONTH(A122),Capacity!$I$6:$T$6,0))</f>
        <v>0</v>
      </c>
      <c r="K122" s="404">
        <f>INDEX(Capacity!$I$17:$T$17,,MATCH(MONTH(A122),Capacity!$I$6:$T$6,0))</f>
        <v>0</v>
      </c>
      <c r="L122" s="404" t="str">
        <f t="shared" ca="1" si="17"/>
        <v>Y</v>
      </c>
      <c r="M122" s="309" t="str">
        <f t="shared" ca="1" si="18"/>
        <v>Y</v>
      </c>
      <c r="N122" s="323"/>
    </row>
    <row r="123" spans="1:14" x14ac:dyDescent="0.2">
      <c r="A123" s="409">
        <v>43575</v>
      </c>
      <c r="B123" s="304">
        <v>110</v>
      </c>
      <c r="C123" s="304">
        <f t="shared" ca="1" si="14"/>
        <v>0.125</v>
      </c>
      <c r="D123" s="304">
        <f t="shared" ca="1" si="14"/>
        <v>0</v>
      </c>
      <c r="E123" s="304">
        <f t="shared" ca="1" si="14"/>
        <v>2</v>
      </c>
      <c r="F123" s="304">
        <f t="shared" ca="1" si="14"/>
        <v>2</v>
      </c>
      <c r="G123" s="304"/>
      <c r="H123" s="304">
        <f t="shared" ca="1" si="15"/>
        <v>4.125</v>
      </c>
      <c r="I123" s="404">
        <f t="shared" ca="1" si="16"/>
        <v>0</v>
      </c>
      <c r="J123" s="404">
        <f>INDEX(Capacity!$I$15:$T$15,,MATCH(MONTH(A123),Capacity!$I$6:$T$6,0))</f>
        <v>0</v>
      </c>
      <c r="K123" s="404">
        <f>INDEX(Capacity!$I$17:$T$17,,MATCH(MONTH(A123),Capacity!$I$6:$T$6,0))</f>
        <v>0</v>
      </c>
      <c r="L123" s="404" t="str">
        <f t="shared" ca="1" si="17"/>
        <v>Y</v>
      </c>
      <c r="M123" s="309" t="str">
        <f t="shared" ca="1" si="18"/>
        <v>Y</v>
      </c>
      <c r="N123" s="323"/>
    </row>
    <row r="124" spans="1:14" x14ac:dyDescent="0.2">
      <c r="A124" s="409">
        <v>43576</v>
      </c>
      <c r="B124" s="304">
        <v>111</v>
      </c>
      <c r="C124" s="304">
        <f t="shared" ca="1" si="14"/>
        <v>0.125</v>
      </c>
      <c r="D124" s="304">
        <f t="shared" ca="1" si="14"/>
        <v>0</v>
      </c>
      <c r="E124" s="304">
        <f t="shared" ca="1" si="14"/>
        <v>2</v>
      </c>
      <c r="F124" s="304">
        <f t="shared" ca="1" si="14"/>
        <v>2</v>
      </c>
      <c r="G124" s="304"/>
      <c r="H124" s="304">
        <f t="shared" ca="1" si="15"/>
        <v>4.125</v>
      </c>
      <c r="I124" s="404">
        <f t="shared" ca="1" si="16"/>
        <v>0</v>
      </c>
      <c r="J124" s="404">
        <f>INDEX(Capacity!$I$15:$T$15,,MATCH(MONTH(A124),Capacity!$I$6:$T$6,0))</f>
        <v>0</v>
      </c>
      <c r="K124" s="404">
        <f>INDEX(Capacity!$I$17:$T$17,,MATCH(MONTH(A124),Capacity!$I$6:$T$6,0))</f>
        <v>0</v>
      </c>
      <c r="L124" s="404" t="str">
        <f t="shared" ca="1" si="17"/>
        <v>Y</v>
      </c>
      <c r="M124" s="309" t="str">
        <f t="shared" ca="1" si="18"/>
        <v>Y</v>
      </c>
      <c r="N124" s="323"/>
    </row>
    <row r="125" spans="1:14" x14ac:dyDescent="0.2">
      <c r="A125" s="409">
        <v>43577</v>
      </c>
      <c r="B125" s="304">
        <v>112</v>
      </c>
      <c r="C125" s="304">
        <f t="shared" ca="1" si="14"/>
        <v>0.125</v>
      </c>
      <c r="D125" s="304">
        <f t="shared" ca="1" si="14"/>
        <v>0</v>
      </c>
      <c r="E125" s="304">
        <f t="shared" ca="1" si="14"/>
        <v>2</v>
      </c>
      <c r="F125" s="304">
        <f t="shared" ca="1" si="14"/>
        <v>2</v>
      </c>
      <c r="G125" s="304"/>
      <c r="H125" s="304">
        <f t="shared" ca="1" si="15"/>
        <v>4.125</v>
      </c>
      <c r="I125" s="404">
        <f t="shared" ca="1" si="16"/>
        <v>0</v>
      </c>
      <c r="J125" s="404">
        <f>INDEX(Capacity!$I$15:$T$15,,MATCH(MONTH(A125),Capacity!$I$6:$T$6,0))</f>
        <v>0</v>
      </c>
      <c r="K125" s="404">
        <f>INDEX(Capacity!$I$17:$T$17,,MATCH(MONTH(A125),Capacity!$I$6:$T$6,0))</f>
        <v>0</v>
      </c>
      <c r="L125" s="404" t="str">
        <f t="shared" ca="1" si="17"/>
        <v>Y</v>
      </c>
      <c r="M125" s="309" t="str">
        <f t="shared" ca="1" si="18"/>
        <v>Y</v>
      </c>
      <c r="N125" s="323"/>
    </row>
    <row r="126" spans="1:14" x14ac:dyDescent="0.2">
      <c r="A126" s="409">
        <v>43578</v>
      </c>
      <c r="B126" s="304">
        <v>113</v>
      </c>
      <c r="C126" s="304">
        <f t="shared" ca="1" si="14"/>
        <v>0.125</v>
      </c>
      <c r="D126" s="304">
        <f t="shared" ca="1" si="14"/>
        <v>0</v>
      </c>
      <c r="E126" s="304">
        <f t="shared" ca="1" si="14"/>
        <v>2</v>
      </c>
      <c r="F126" s="304">
        <f t="shared" ca="1" si="14"/>
        <v>2</v>
      </c>
      <c r="G126" s="304"/>
      <c r="H126" s="304">
        <f t="shared" ca="1" si="15"/>
        <v>4.125</v>
      </c>
      <c r="I126" s="404">
        <f t="shared" ca="1" si="16"/>
        <v>0</v>
      </c>
      <c r="J126" s="404">
        <f>INDEX(Capacity!$I$15:$T$15,,MATCH(MONTH(A126),Capacity!$I$6:$T$6,0))</f>
        <v>0</v>
      </c>
      <c r="K126" s="404">
        <f>INDEX(Capacity!$I$17:$T$17,,MATCH(MONTH(A126),Capacity!$I$6:$T$6,0))</f>
        <v>0</v>
      </c>
      <c r="L126" s="404" t="str">
        <f t="shared" ca="1" si="17"/>
        <v>Y</v>
      </c>
      <c r="M126" s="309" t="str">
        <f t="shared" ca="1" si="18"/>
        <v>Y</v>
      </c>
      <c r="N126" s="323"/>
    </row>
    <row r="127" spans="1:14" x14ac:dyDescent="0.2">
      <c r="A127" s="409">
        <v>43579</v>
      </c>
      <c r="B127" s="304">
        <v>114</v>
      </c>
      <c r="C127" s="304">
        <f t="shared" ca="1" si="14"/>
        <v>0.125</v>
      </c>
      <c r="D127" s="304">
        <f t="shared" ca="1" si="14"/>
        <v>0</v>
      </c>
      <c r="E127" s="304">
        <f t="shared" ca="1" si="14"/>
        <v>2</v>
      </c>
      <c r="F127" s="304">
        <f t="shared" ca="1" si="14"/>
        <v>2</v>
      </c>
      <c r="G127" s="304"/>
      <c r="H127" s="304">
        <f t="shared" ca="1" si="15"/>
        <v>4.125</v>
      </c>
      <c r="I127" s="404">
        <f t="shared" ca="1" si="16"/>
        <v>0</v>
      </c>
      <c r="J127" s="404">
        <f>INDEX(Capacity!$I$15:$T$15,,MATCH(MONTH(A127),Capacity!$I$6:$T$6,0))</f>
        <v>0</v>
      </c>
      <c r="K127" s="404">
        <f>INDEX(Capacity!$I$17:$T$17,,MATCH(MONTH(A127),Capacity!$I$6:$T$6,0))</f>
        <v>0</v>
      </c>
      <c r="L127" s="404" t="str">
        <f t="shared" ca="1" si="17"/>
        <v>Y</v>
      </c>
      <c r="M127" s="309" t="str">
        <f t="shared" ca="1" si="18"/>
        <v>Y</v>
      </c>
      <c r="N127" s="323"/>
    </row>
    <row r="128" spans="1:14" x14ac:dyDescent="0.2">
      <c r="A128" s="409">
        <v>43580</v>
      </c>
      <c r="B128" s="304">
        <v>115</v>
      </c>
      <c r="C128" s="304">
        <f t="shared" ca="1" si="14"/>
        <v>0.125</v>
      </c>
      <c r="D128" s="304">
        <f t="shared" ca="1" si="14"/>
        <v>0</v>
      </c>
      <c r="E128" s="304">
        <f t="shared" ca="1" si="14"/>
        <v>2</v>
      </c>
      <c r="F128" s="304">
        <f t="shared" ca="1" si="14"/>
        <v>2</v>
      </c>
      <c r="G128" s="304"/>
      <c r="H128" s="304">
        <f t="shared" ca="1" si="15"/>
        <v>4.125</v>
      </c>
      <c r="I128" s="404">
        <f t="shared" ca="1" si="16"/>
        <v>0</v>
      </c>
      <c r="J128" s="404">
        <f>INDEX(Capacity!$I$15:$T$15,,MATCH(MONTH(A128),Capacity!$I$6:$T$6,0))</f>
        <v>0</v>
      </c>
      <c r="K128" s="404">
        <f>INDEX(Capacity!$I$17:$T$17,,MATCH(MONTH(A128),Capacity!$I$6:$T$6,0))</f>
        <v>0</v>
      </c>
      <c r="L128" s="404" t="str">
        <f t="shared" ca="1" si="17"/>
        <v>Y</v>
      </c>
      <c r="M128" s="309" t="str">
        <f t="shared" ca="1" si="18"/>
        <v>Y</v>
      </c>
      <c r="N128" s="323"/>
    </row>
    <row r="129" spans="1:14" x14ac:dyDescent="0.2">
      <c r="A129" s="409">
        <v>43581</v>
      </c>
      <c r="B129" s="304">
        <v>116</v>
      </c>
      <c r="C129" s="304">
        <f t="shared" ref="C129:F179" ca="1" si="19">IFERROR(IF(C$9=365,1/C$6,IF(C$12="",IF(C$11&gt;=C$10,IF(AND($B129&gt;=C$10+C$6, $B129&lt;=C$11),1/C$6,0),IF(OR($B129&gt;=C$10+C$6, $B129&lt;=C$11),1/C$6,0)),IF(OR(C$11&gt;=C$10,C$13&gt;=C$12),IF(OR(AND($B129&gt;=C$10+C$6, $B129&lt;=C$11),AND($B129&gt;=C$12+C$6, $B129&lt;=C$13)),1/C$6,0),IF(OR($B129&gt;=C$10+C$6, $B129&lt;=C$11,$B129&gt;=C$12+C$6, $B129&lt;=C$13),1/C$6,0)))),"Unknown; user input required")</f>
        <v>0.125</v>
      </c>
      <c r="D129" s="304">
        <f t="shared" ca="1" si="19"/>
        <v>0</v>
      </c>
      <c r="E129" s="304">
        <f t="shared" ca="1" si="19"/>
        <v>2</v>
      </c>
      <c r="F129" s="304">
        <f t="shared" ca="1" si="19"/>
        <v>2</v>
      </c>
      <c r="G129" s="304"/>
      <c r="H129" s="304">
        <f t="shared" ca="1" si="15"/>
        <v>4.125</v>
      </c>
      <c r="I129" s="404">
        <f t="shared" ca="1" si="16"/>
        <v>0</v>
      </c>
      <c r="J129" s="404">
        <f>INDEX(Capacity!$I$15:$T$15,,MATCH(MONTH(A129),Capacity!$I$6:$T$6,0))</f>
        <v>0</v>
      </c>
      <c r="K129" s="404">
        <f>INDEX(Capacity!$I$17:$T$17,,MATCH(MONTH(A129),Capacity!$I$6:$T$6,0))</f>
        <v>0</v>
      </c>
      <c r="L129" s="404" t="str">
        <f t="shared" ca="1" si="17"/>
        <v>Y</v>
      </c>
      <c r="M129" s="309" t="str">
        <f t="shared" ca="1" si="18"/>
        <v>Y</v>
      </c>
      <c r="N129" s="323"/>
    </row>
    <row r="130" spans="1:14" x14ac:dyDescent="0.2">
      <c r="A130" s="409">
        <v>43582</v>
      </c>
      <c r="B130" s="304">
        <v>117</v>
      </c>
      <c r="C130" s="304">
        <f t="shared" ca="1" si="19"/>
        <v>0.125</v>
      </c>
      <c r="D130" s="304">
        <f t="shared" ca="1" si="19"/>
        <v>0</v>
      </c>
      <c r="E130" s="304">
        <f t="shared" ca="1" si="19"/>
        <v>2</v>
      </c>
      <c r="F130" s="304">
        <f t="shared" ca="1" si="19"/>
        <v>2</v>
      </c>
      <c r="G130" s="304"/>
      <c r="H130" s="304">
        <f t="shared" ca="1" si="15"/>
        <v>4.125</v>
      </c>
      <c r="I130" s="404">
        <f t="shared" ca="1" si="16"/>
        <v>0</v>
      </c>
      <c r="J130" s="404">
        <f>INDEX(Capacity!$I$15:$T$15,,MATCH(MONTH(A130),Capacity!$I$6:$T$6,0))</f>
        <v>0</v>
      </c>
      <c r="K130" s="404">
        <f>INDEX(Capacity!$I$17:$T$17,,MATCH(MONTH(A130),Capacity!$I$6:$T$6,0))</f>
        <v>0</v>
      </c>
      <c r="L130" s="404" t="str">
        <f t="shared" ca="1" si="17"/>
        <v>Y</v>
      </c>
      <c r="M130" s="309" t="str">
        <f t="shared" ca="1" si="18"/>
        <v>Y</v>
      </c>
      <c r="N130" s="323"/>
    </row>
    <row r="131" spans="1:14" x14ac:dyDescent="0.2">
      <c r="A131" s="409">
        <v>43583</v>
      </c>
      <c r="B131" s="304">
        <v>118</v>
      </c>
      <c r="C131" s="304">
        <f t="shared" ca="1" si="19"/>
        <v>0.125</v>
      </c>
      <c r="D131" s="304">
        <f t="shared" ca="1" si="19"/>
        <v>0</v>
      </c>
      <c r="E131" s="304">
        <f t="shared" ca="1" si="19"/>
        <v>2</v>
      </c>
      <c r="F131" s="304">
        <f t="shared" ca="1" si="19"/>
        <v>2</v>
      </c>
      <c r="G131" s="304"/>
      <c r="H131" s="304">
        <f t="shared" ca="1" si="15"/>
        <v>4.125</v>
      </c>
      <c r="I131" s="404">
        <f t="shared" ca="1" si="16"/>
        <v>0</v>
      </c>
      <c r="J131" s="404">
        <f>INDEX(Capacity!$I$15:$T$15,,MATCH(MONTH(A131),Capacity!$I$6:$T$6,0))</f>
        <v>0</v>
      </c>
      <c r="K131" s="404">
        <f>INDEX(Capacity!$I$17:$T$17,,MATCH(MONTH(A131),Capacity!$I$6:$T$6,0))</f>
        <v>0</v>
      </c>
      <c r="L131" s="404" t="str">
        <f t="shared" ca="1" si="17"/>
        <v>Y</v>
      </c>
      <c r="M131" s="309" t="str">
        <f t="shared" ca="1" si="18"/>
        <v>Y</v>
      </c>
      <c r="N131" s="323"/>
    </row>
    <row r="132" spans="1:14" x14ac:dyDescent="0.2">
      <c r="A132" s="409">
        <v>43584</v>
      </c>
      <c r="B132" s="304">
        <v>119</v>
      </c>
      <c r="C132" s="304">
        <f t="shared" ca="1" si="19"/>
        <v>0.125</v>
      </c>
      <c r="D132" s="304">
        <f t="shared" ca="1" si="19"/>
        <v>0</v>
      </c>
      <c r="E132" s="304">
        <f t="shared" ca="1" si="19"/>
        <v>2</v>
      </c>
      <c r="F132" s="304">
        <f t="shared" ca="1" si="19"/>
        <v>2</v>
      </c>
      <c r="G132" s="304"/>
      <c r="H132" s="304">
        <f t="shared" ca="1" si="15"/>
        <v>4.125</v>
      </c>
      <c r="I132" s="404">
        <f t="shared" ca="1" si="16"/>
        <v>0</v>
      </c>
      <c r="J132" s="404">
        <f>INDEX(Capacity!$I$15:$T$15,,MATCH(MONTH(A132),Capacity!$I$6:$T$6,0))</f>
        <v>0</v>
      </c>
      <c r="K132" s="404">
        <f>INDEX(Capacity!$I$17:$T$17,,MATCH(MONTH(A132),Capacity!$I$6:$T$6,0))</f>
        <v>0</v>
      </c>
      <c r="L132" s="404" t="str">
        <f t="shared" ca="1" si="17"/>
        <v>Y</v>
      </c>
      <c r="M132" s="309" t="str">
        <f t="shared" ca="1" si="18"/>
        <v>Y</v>
      </c>
      <c r="N132" s="323"/>
    </row>
    <row r="133" spans="1:14" x14ac:dyDescent="0.2">
      <c r="A133" s="409">
        <v>43585</v>
      </c>
      <c r="B133" s="304">
        <v>120</v>
      </c>
      <c r="C133" s="304">
        <f t="shared" ca="1" si="19"/>
        <v>0.125</v>
      </c>
      <c r="D133" s="304">
        <f t="shared" ca="1" si="19"/>
        <v>0</v>
      </c>
      <c r="E133" s="304">
        <f t="shared" ca="1" si="19"/>
        <v>2</v>
      </c>
      <c r="F133" s="304">
        <f t="shared" ca="1" si="19"/>
        <v>2</v>
      </c>
      <c r="G133" s="304"/>
      <c r="H133" s="304">
        <f t="shared" ca="1" si="15"/>
        <v>4.125</v>
      </c>
      <c r="I133" s="404">
        <f t="shared" ca="1" si="16"/>
        <v>0</v>
      </c>
      <c r="J133" s="404">
        <f>INDEX(Capacity!$I$15:$T$15,,MATCH(MONTH(A133),Capacity!$I$6:$T$6,0))</f>
        <v>0</v>
      </c>
      <c r="K133" s="404">
        <f>INDEX(Capacity!$I$17:$T$17,,MATCH(MONTH(A133),Capacity!$I$6:$T$6,0))</f>
        <v>0</v>
      </c>
      <c r="L133" s="404" t="str">
        <f t="shared" ca="1" si="17"/>
        <v>Y</v>
      </c>
      <c r="M133" s="309" t="str">
        <f t="shared" ca="1" si="18"/>
        <v>Y</v>
      </c>
      <c r="N133" s="323"/>
    </row>
    <row r="134" spans="1:14" x14ac:dyDescent="0.2">
      <c r="A134" s="409">
        <v>43586</v>
      </c>
      <c r="B134" s="304">
        <v>121</v>
      </c>
      <c r="C134" s="304">
        <f t="shared" ca="1" si="19"/>
        <v>0.125</v>
      </c>
      <c r="D134" s="304">
        <f t="shared" ca="1" si="19"/>
        <v>0</v>
      </c>
      <c r="E134" s="304">
        <f t="shared" ca="1" si="19"/>
        <v>2</v>
      </c>
      <c r="F134" s="304">
        <f t="shared" ca="1" si="19"/>
        <v>2</v>
      </c>
      <c r="G134" s="304"/>
      <c r="H134" s="304">
        <f t="shared" ca="1" si="15"/>
        <v>4.125</v>
      </c>
      <c r="I134" s="404">
        <f t="shared" ca="1" si="16"/>
        <v>0</v>
      </c>
      <c r="J134" s="404">
        <f>INDEX(Capacity!$I$15:$T$15,,MATCH(MONTH(A134),Capacity!$I$6:$T$6,0))</f>
        <v>0</v>
      </c>
      <c r="K134" s="404">
        <f>INDEX(Capacity!$I$17:$T$17,,MATCH(MONTH(A134),Capacity!$I$6:$T$6,0))</f>
        <v>0</v>
      </c>
      <c r="L134" s="404" t="str">
        <f t="shared" ca="1" si="17"/>
        <v>Y</v>
      </c>
      <c r="M134" s="309" t="str">
        <f t="shared" ca="1" si="18"/>
        <v>Y</v>
      </c>
      <c r="N134" s="323"/>
    </row>
    <row r="135" spans="1:14" x14ac:dyDescent="0.2">
      <c r="A135" s="409">
        <v>43587</v>
      </c>
      <c r="B135" s="304">
        <v>122</v>
      </c>
      <c r="C135" s="304">
        <f t="shared" ca="1" si="19"/>
        <v>0.125</v>
      </c>
      <c r="D135" s="304">
        <f t="shared" ca="1" si="19"/>
        <v>0</v>
      </c>
      <c r="E135" s="304">
        <f t="shared" ca="1" si="19"/>
        <v>2</v>
      </c>
      <c r="F135" s="304">
        <f t="shared" ca="1" si="19"/>
        <v>2</v>
      </c>
      <c r="G135" s="304"/>
      <c r="H135" s="304">
        <f t="shared" ca="1" si="15"/>
        <v>4.125</v>
      </c>
      <c r="I135" s="404">
        <f t="shared" ca="1" si="16"/>
        <v>0</v>
      </c>
      <c r="J135" s="404">
        <f>INDEX(Capacity!$I$15:$T$15,,MATCH(MONTH(A135),Capacity!$I$6:$T$6,0))</f>
        <v>0</v>
      </c>
      <c r="K135" s="404">
        <f>INDEX(Capacity!$I$17:$T$17,,MATCH(MONTH(A135),Capacity!$I$6:$T$6,0))</f>
        <v>0</v>
      </c>
      <c r="L135" s="404" t="str">
        <f t="shared" ca="1" si="17"/>
        <v>Y</v>
      </c>
      <c r="M135" s="309" t="str">
        <f t="shared" ca="1" si="18"/>
        <v>Y</v>
      </c>
      <c r="N135" s="323"/>
    </row>
    <row r="136" spans="1:14" x14ac:dyDescent="0.2">
      <c r="A136" s="409">
        <v>43588</v>
      </c>
      <c r="B136" s="304">
        <v>123</v>
      </c>
      <c r="C136" s="304">
        <f t="shared" ca="1" si="19"/>
        <v>0.125</v>
      </c>
      <c r="D136" s="304">
        <f t="shared" ca="1" si="19"/>
        <v>0</v>
      </c>
      <c r="E136" s="304">
        <f t="shared" ca="1" si="19"/>
        <v>2</v>
      </c>
      <c r="F136" s="304">
        <f t="shared" ca="1" si="19"/>
        <v>2</v>
      </c>
      <c r="G136" s="304"/>
      <c r="H136" s="304">
        <f t="shared" ca="1" si="15"/>
        <v>4.125</v>
      </c>
      <c r="I136" s="404">
        <f t="shared" ca="1" si="16"/>
        <v>0</v>
      </c>
      <c r="J136" s="404">
        <f>INDEX(Capacity!$I$15:$T$15,,MATCH(MONTH(A136),Capacity!$I$6:$T$6,0))</f>
        <v>0</v>
      </c>
      <c r="K136" s="404">
        <f>INDEX(Capacity!$I$17:$T$17,,MATCH(MONTH(A136),Capacity!$I$6:$T$6,0))</f>
        <v>0</v>
      </c>
      <c r="L136" s="404" t="str">
        <f t="shared" ca="1" si="17"/>
        <v>Y</v>
      </c>
      <c r="M136" s="309" t="str">
        <f t="shared" ca="1" si="18"/>
        <v>Y</v>
      </c>
      <c r="N136" s="323"/>
    </row>
    <row r="137" spans="1:14" x14ac:dyDescent="0.2">
      <c r="A137" s="409">
        <v>43589</v>
      </c>
      <c r="B137" s="304">
        <v>124</v>
      </c>
      <c r="C137" s="304">
        <f t="shared" ca="1" si="19"/>
        <v>0.125</v>
      </c>
      <c r="D137" s="304">
        <f t="shared" ca="1" si="19"/>
        <v>0</v>
      </c>
      <c r="E137" s="304">
        <f t="shared" ca="1" si="19"/>
        <v>2</v>
      </c>
      <c r="F137" s="304">
        <f t="shared" ca="1" si="19"/>
        <v>2</v>
      </c>
      <c r="G137" s="304"/>
      <c r="H137" s="304">
        <f t="shared" ca="1" si="15"/>
        <v>4.125</v>
      </c>
      <c r="I137" s="404">
        <f t="shared" ca="1" si="16"/>
        <v>0</v>
      </c>
      <c r="J137" s="404">
        <f>INDEX(Capacity!$I$15:$T$15,,MATCH(MONTH(A137),Capacity!$I$6:$T$6,0))</f>
        <v>0</v>
      </c>
      <c r="K137" s="404">
        <f>INDEX(Capacity!$I$17:$T$17,,MATCH(MONTH(A137),Capacity!$I$6:$T$6,0))</f>
        <v>0</v>
      </c>
      <c r="L137" s="404" t="str">
        <f t="shared" ca="1" si="17"/>
        <v>Y</v>
      </c>
      <c r="M137" s="309" t="str">
        <f t="shared" ca="1" si="18"/>
        <v>Y</v>
      </c>
      <c r="N137" s="323"/>
    </row>
    <row r="138" spans="1:14" x14ac:dyDescent="0.2">
      <c r="A138" s="409">
        <v>43590</v>
      </c>
      <c r="B138" s="304">
        <v>125</v>
      </c>
      <c r="C138" s="304">
        <f t="shared" ca="1" si="19"/>
        <v>0.125</v>
      </c>
      <c r="D138" s="304">
        <f t="shared" ca="1" si="19"/>
        <v>0</v>
      </c>
      <c r="E138" s="304">
        <f t="shared" ca="1" si="19"/>
        <v>2</v>
      </c>
      <c r="F138" s="304">
        <f t="shared" ca="1" si="19"/>
        <v>2</v>
      </c>
      <c r="G138" s="304"/>
      <c r="H138" s="304">
        <f t="shared" ca="1" si="15"/>
        <v>4.125</v>
      </c>
      <c r="I138" s="404">
        <f t="shared" ca="1" si="16"/>
        <v>0</v>
      </c>
      <c r="J138" s="404">
        <f>INDEX(Capacity!$I$15:$T$15,,MATCH(MONTH(A138),Capacity!$I$6:$T$6,0))</f>
        <v>0</v>
      </c>
      <c r="K138" s="404">
        <f>INDEX(Capacity!$I$17:$T$17,,MATCH(MONTH(A138),Capacity!$I$6:$T$6,0))</f>
        <v>0</v>
      </c>
      <c r="L138" s="404" t="str">
        <f t="shared" ca="1" si="17"/>
        <v>Y</v>
      </c>
      <c r="M138" s="309" t="str">
        <f t="shared" ca="1" si="18"/>
        <v>Y</v>
      </c>
      <c r="N138" s="323"/>
    </row>
    <row r="139" spans="1:14" x14ac:dyDescent="0.2">
      <c r="A139" s="409">
        <v>43591</v>
      </c>
      <c r="B139" s="304">
        <v>126</v>
      </c>
      <c r="C139" s="304">
        <f t="shared" ca="1" si="19"/>
        <v>0.125</v>
      </c>
      <c r="D139" s="304">
        <f t="shared" ca="1" si="19"/>
        <v>0</v>
      </c>
      <c r="E139" s="304">
        <f t="shared" ca="1" si="19"/>
        <v>2</v>
      </c>
      <c r="F139" s="304">
        <f t="shared" ca="1" si="19"/>
        <v>2</v>
      </c>
      <c r="G139" s="304"/>
      <c r="H139" s="304">
        <f t="shared" ca="1" si="15"/>
        <v>4.125</v>
      </c>
      <c r="I139" s="404">
        <f t="shared" ca="1" si="16"/>
        <v>0</v>
      </c>
      <c r="J139" s="404">
        <f>INDEX(Capacity!$I$15:$T$15,,MATCH(MONTH(A139),Capacity!$I$6:$T$6,0))</f>
        <v>0</v>
      </c>
      <c r="K139" s="404">
        <f>INDEX(Capacity!$I$17:$T$17,,MATCH(MONTH(A139),Capacity!$I$6:$T$6,0))</f>
        <v>0</v>
      </c>
      <c r="L139" s="404" t="str">
        <f t="shared" ca="1" si="17"/>
        <v>Y</v>
      </c>
      <c r="M139" s="309" t="str">
        <f t="shared" ca="1" si="18"/>
        <v>Y</v>
      </c>
      <c r="N139" s="323"/>
    </row>
    <row r="140" spans="1:14" x14ac:dyDescent="0.2">
      <c r="A140" s="409">
        <v>43592</v>
      </c>
      <c r="B140" s="304">
        <v>127</v>
      </c>
      <c r="C140" s="304">
        <f t="shared" ca="1" si="19"/>
        <v>0.125</v>
      </c>
      <c r="D140" s="304">
        <f t="shared" ca="1" si="19"/>
        <v>0</v>
      </c>
      <c r="E140" s="304">
        <f t="shared" ca="1" si="19"/>
        <v>2</v>
      </c>
      <c r="F140" s="304">
        <f t="shared" ca="1" si="19"/>
        <v>2</v>
      </c>
      <c r="G140" s="304"/>
      <c r="H140" s="304">
        <f t="shared" ca="1" si="15"/>
        <v>4.125</v>
      </c>
      <c r="I140" s="404">
        <f t="shared" ca="1" si="16"/>
        <v>0</v>
      </c>
      <c r="J140" s="404">
        <f>INDEX(Capacity!$I$15:$T$15,,MATCH(MONTH(A140),Capacity!$I$6:$T$6,0))</f>
        <v>0</v>
      </c>
      <c r="K140" s="404">
        <f>INDEX(Capacity!$I$17:$T$17,,MATCH(MONTH(A140),Capacity!$I$6:$T$6,0))</f>
        <v>0</v>
      </c>
      <c r="L140" s="404" t="str">
        <f t="shared" ca="1" si="17"/>
        <v>Y</v>
      </c>
      <c r="M140" s="309" t="str">
        <f t="shared" ca="1" si="18"/>
        <v>Y</v>
      </c>
      <c r="N140" s="323"/>
    </row>
    <row r="141" spans="1:14" x14ac:dyDescent="0.2">
      <c r="A141" s="409">
        <v>43593</v>
      </c>
      <c r="B141" s="304">
        <v>128</v>
      </c>
      <c r="C141" s="304">
        <f t="shared" ca="1" si="19"/>
        <v>0.125</v>
      </c>
      <c r="D141" s="304">
        <f t="shared" ca="1" si="19"/>
        <v>0</v>
      </c>
      <c r="E141" s="304">
        <f t="shared" ca="1" si="19"/>
        <v>2</v>
      </c>
      <c r="F141" s="304">
        <f t="shared" ca="1" si="19"/>
        <v>2</v>
      </c>
      <c r="G141" s="304"/>
      <c r="H141" s="304">
        <f t="shared" ca="1" si="15"/>
        <v>4.125</v>
      </c>
      <c r="I141" s="404">
        <f t="shared" ca="1" si="16"/>
        <v>0</v>
      </c>
      <c r="J141" s="404">
        <f>INDEX(Capacity!$I$15:$T$15,,MATCH(MONTH(A141),Capacity!$I$6:$T$6,0))</f>
        <v>0</v>
      </c>
      <c r="K141" s="404">
        <f>INDEX(Capacity!$I$17:$T$17,,MATCH(MONTH(A141),Capacity!$I$6:$T$6,0))</f>
        <v>0</v>
      </c>
      <c r="L141" s="404" t="str">
        <f t="shared" ca="1" si="17"/>
        <v>Y</v>
      </c>
      <c r="M141" s="309" t="str">
        <f t="shared" ca="1" si="18"/>
        <v>Y</v>
      </c>
      <c r="N141" s="323"/>
    </row>
    <row r="142" spans="1:14" x14ac:dyDescent="0.2">
      <c r="A142" s="409">
        <v>43594</v>
      </c>
      <c r="B142" s="304">
        <v>129</v>
      </c>
      <c r="C142" s="304">
        <f t="shared" ca="1" si="19"/>
        <v>0.125</v>
      </c>
      <c r="D142" s="304">
        <f t="shared" ca="1" si="19"/>
        <v>0</v>
      </c>
      <c r="E142" s="304">
        <f t="shared" ca="1" si="19"/>
        <v>2</v>
      </c>
      <c r="F142" s="304">
        <f t="shared" ca="1" si="19"/>
        <v>2</v>
      </c>
      <c r="G142" s="304"/>
      <c r="H142" s="304">
        <f t="shared" ref="H142:H205" ca="1" si="20">SUM(C142:G142)</f>
        <v>4.125</v>
      </c>
      <c r="I142" s="404">
        <f t="shared" ref="I142:I205" ca="1" si="21">SUMPRODUCT($C$8:$G$8,$C$7:$G$7,C142:G142)</f>
        <v>0</v>
      </c>
      <c r="J142" s="404">
        <f>INDEX(Capacity!$I$15:$T$15,,MATCH(MONTH(A142),Capacity!$I$6:$T$6,0))</f>
        <v>0</v>
      </c>
      <c r="K142" s="404">
        <f>INDEX(Capacity!$I$17:$T$17,,MATCH(MONTH(A142),Capacity!$I$6:$T$6,0))</f>
        <v>0</v>
      </c>
      <c r="L142" s="404" t="str">
        <f t="shared" ca="1" si="17"/>
        <v>Y</v>
      </c>
      <c r="M142" s="309" t="str">
        <f t="shared" ca="1" si="18"/>
        <v>Y</v>
      </c>
      <c r="N142" s="323"/>
    </row>
    <row r="143" spans="1:14" x14ac:dyDescent="0.2">
      <c r="A143" s="409">
        <v>43595</v>
      </c>
      <c r="B143" s="304">
        <v>130</v>
      </c>
      <c r="C143" s="304">
        <f t="shared" ca="1" si="19"/>
        <v>0.125</v>
      </c>
      <c r="D143" s="304">
        <f t="shared" ca="1" si="19"/>
        <v>0</v>
      </c>
      <c r="E143" s="304">
        <f t="shared" ca="1" si="19"/>
        <v>2</v>
      </c>
      <c r="F143" s="304">
        <f t="shared" ca="1" si="19"/>
        <v>2</v>
      </c>
      <c r="G143" s="304"/>
      <c r="H143" s="304">
        <f t="shared" ca="1" si="20"/>
        <v>4.125</v>
      </c>
      <c r="I143" s="404">
        <f t="shared" ca="1" si="21"/>
        <v>0</v>
      </c>
      <c r="J143" s="404">
        <f>INDEX(Capacity!$I$15:$T$15,,MATCH(MONTH(A143),Capacity!$I$6:$T$6,0))</f>
        <v>0</v>
      </c>
      <c r="K143" s="404">
        <f>INDEX(Capacity!$I$17:$T$17,,MATCH(MONTH(A143),Capacity!$I$6:$T$6,0))</f>
        <v>0</v>
      </c>
      <c r="L143" s="404" t="str">
        <f t="shared" ref="L143:L206" ca="1" si="22">IF(I143&lt;=J143,"Y","N")</f>
        <v>Y</v>
      </c>
      <c r="M143" s="309" t="str">
        <f t="shared" ref="M143:M206" ca="1" si="23">IF(I143&lt;=K143,"Y","N")</f>
        <v>Y</v>
      </c>
      <c r="N143" s="323"/>
    </row>
    <row r="144" spans="1:14" x14ac:dyDescent="0.2">
      <c r="A144" s="409">
        <v>43596</v>
      </c>
      <c r="B144" s="304">
        <v>131</v>
      </c>
      <c r="C144" s="304">
        <f t="shared" ca="1" si="19"/>
        <v>0.125</v>
      </c>
      <c r="D144" s="304">
        <f t="shared" ca="1" si="19"/>
        <v>0</v>
      </c>
      <c r="E144" s="304">
        <f t="shared" ca="1" si="19"/>
        <v>2</v>
      </c>
      <c r="F144" s="304">
        <f t="shared" ca="1" si="19"/>
        <v>2</v>
      </c>
      <c r="G144" s="304"/>
      <c r="H144" s="304">
        <f t="shared" ca="1" si="20"/>
        <v>4.125</v>
      </c>
      <c r="I144" s="404">
        <f t="shared" ca="1" si="21"/>
        <v>0</v>
      </c>
      <c r="J144" s="404">
        <f>INDEX(Capacity!$I$15:$T$15,,MATCH(MONTH(A144),Capacity!$I$6:$T$6,0))</f>
        <v>0</v>
      </c>
      <c r="K144" s="404">
        <f>INDEX(Capacity!$I$17:$T$17,,MATCH(MONTH(A144),Capacity!$I$6:$T$6,0))</f>
        <v>0</v>
      </c>
      <c r="L144" s="404" t="str">
        <f t="shared" ca="1" si="22"/>
        <v>Y</v>
      </c>
      <c r="M144" s="309" t="str">
        <f t="shared" ca="1" si="23"/>
        <v>Y</v>
      </c>
      <c r="N144" s="323"/>
    </row>
    <row r="145" spans="1:14" x14ac:dyDescent="0.2">
      <c r="A145" s="409">
        <v>43597</v>
      </c>
      <c r="B145" s="304">
        <v>132</v>
      </c>
      <c r="C145" s="304">
        <f t="shared" ca="1" si="19"/>
        <v>0.125</v>
      </c>
      <c r="D145" s="304">
        <f t="shared" ca="1" si="19"/>
        <v>0</v>
      </c>
      <c r="E145" s="304">
        <f t="shared" ca="1" si="19"/>
        <v>2</v>
      </c>
      <c r="F145" s="304">
        <f t="shared" ca="1" si="19"/>
        <v>2</v>
      </c>
      <c r="G145" s="304"/>
      <c r="H145" s="304">
        <f t="shared" ca="1" si="20"/>
        <v>4.125</v>
      </c>
      <c r="I145" s="404">
        <f t="shared" ca="1" si="21"/>
        <v>0</v>
      </c>
      <c r="J145" s="404">
        <f>INDEX(Capacity!$I$15:$T$15,,MATCH(MONTH(A145),Capacity!$I$6:$T$6,0))</f>
        <v>0</v>
      </c>
      <c r="K145" s="404">
        <f>INDEX(Capacity!$I$17:$T$17,,MATCH(MONTH(A145),Capacity!$I$6:$T$6,0))</f>
        <v>0</v>
      </c>
      <c r="L145" s="404" t="str">
        <f t="shared" ca="1" si="22"/>
        <v>Y</v>
      </c>
      <c r="M145" s="309" t="str">
        <f t="shared" ca="1" si="23"/>
        <v>Y</v>
      </c>
      <c r="N145" s="323"/>
    </row>
    <row r="146" spans="1:14" x14ac:dyDescent="0.2">
      <c r="A146" s="409">
        <v>43598</v>
      </c>
      <c r="B146" s="304">
        <v>133</v>
      </c>
      <c r="C146" s="304">
        <f t="shared" ca="1" si="19"/>
        <v>0.125</v>
      </c>
      <c r="D146" s="304">
        <f t="shared" ca="1" si="19"/>
        <v>0</v>
      </c>
      <c r="E146" s="304">
        <f t="shared" ca="1" si="19"/>
        <v>2</v>
      </c>
      <c r="F146" s="304">
        <f t="shared" ca="1" si="19"/>
        <v>2</v>
      </c>
      <c r="G146" s="304"/>
      <c r="H146" s="304">
        <f t="shared" ca="1" si="20"/>
        <v>4.125</v>
      </c>
      <c r="I146" s="404">
        <f t="shared" ca="1" si="21"/>
        <v>0</v>
      </c>
      <c r="J146" s="404">
        <f>INDEX(Capacity!$I$15:$T$15,,MATCH(MONTH(A146),Capacity!$I$6:$T$6,0))</f>
        <v>0</v>
      </c>
      <c r="K146" s="404">
        <f>INDEX(Capacity!$I$17:$T$17,,MATCH(MONTH(A146),Capacity!$I$6:$T$6,0))</f>
        <v>0</v>
      </c>
      <c r="L146" s="404" t="str">
        <f t="shared" ca="1" si="22"/>
        <v>Y</v>
      </c>
      <c r="M146" s="309" t="str">
        <f t="shared" ca="1" si="23"/>
        <v>Y</v>
      </c>
      <c r="N146" s="323"/>
    </row>
    <row r="147" spans="1:14" x14ac:dyDescent="0.2">
      <c r="A147" s="409">
        <v>43599</v>
      </c>
      <c r="B147" s="304">
        <v>134</v>
      </c>
      <c r="C147" s="304">
        <f t="shared" ca="1" si="19"/>
        <v>0.125</v>
      </c>
      <c r="D147" s="304">
        <f t="shared" ca="1" si="19"/>
        <v>0</v>
      </c>
      <c r="E147" s="304">
        <f t="shared" ca="1" si="19"/>
        <v>2</v>
      </c>
      <c r="F147" s="304">
        <f t="shared" ca="1" si="19"/>
        <v>2</v>
      </c>
      <c r="G147" s="304"/>
      <c r="H147" s="304">
        <f t="shared" ca="1" si="20"/>
        <v>4.125</v>
      </c>
      <c r="I147" s="404">
        <f t="shared" ca="1" si="21"/>
        <v>0</v>
      </c>
      <c r="J147" s="404">
        <f>INDEX(Capacity!$I$15:$T$15,,MATCH(MONTH(A147),Capacity!$I$6:$T$6,0))</f>
        <v>0</v>
      </c>
      <c r="K147" s="404">
        <f>INDEX(Capacity!$I$17:$T$17,,MATCH(MONTH(A147),Capacity!$I$6:$T$6,0))</f>
        <v>0</v>
      </c>
      <c r="L147" s="404" t="str">
        <f t="shared" ca="1" si="22"/>
        <v>Y</v>
      </c>
      <c r="M147" s="309" t="str">
        <f t="shared" ca="1" si="23"/>
        <v>Y</v>
      </c>
      <c r="N147" s="323"/>
    </row>
    <row r="148" spans="1:14" x14ac:dyDescent="0.2">
      <c r="A148" s="409">
        <v>43600</v>
      </c>
      <c r="B148" s="304">
        <v>135</v>
      </c>
      <c r="C148" s="304">
        <f t="shared" ca="1" si="19"/>
        <v>0.125</v>
      </c>
      <c r="D148" s="304">
        <f t="shared" ca="1" si="19"/>
        <v>0</v>
      </c>
      <c r="E148" s="304">
        <f t="shared" ca="1" si="19"/>
        <v>2</v>
      </c>
      <c r="F148" s="304">
        <f t="shared" ca="1" si="19"/>
        <v>2</v>
      </c>
      <c r="G148" s="304"/>
      <c r="H148" s="304">
        <f t="shared" ca="1" si="20"/>
        <v>4.125</v>
      </c>
      <c r="I148" s="404">
        <f t="shared" ca="1" si="21"/>
        <v>0</v>
      </c>
      <c r="J148" s="404">
        <f>INDEX(Capacity!$I$15:$T$15,,MATCH(MONTH(A148),Capacity!$I$6:$T$6,0))</f>
        <v>0</v>
      </c>
      <c r="K148" s="404">
        <f>INDEX(Capacity!$I$17:$T$17,,MATCH(MONTH(A148),Capacity!$I$6:$T$6,0))</f>
        <v>0</v>
      </c>
      <c r="L148" s="404" t="str">
        <f t="shared" ca="1" si="22"/>
        <v>Y</v>
      </c>
      <c r="M148" s="309" t="str">
        <f t="shared" ca="1" si="23"/>
        <v>Y</v>
      </c>
      <c r="N148" s="323"/>
    </row>
    <row r="149" spans="1:14" x14ac:dyDescent="0.2">
      <c r="A149" s="409">
        <v>43601</v>
      </c>
      <c r="B149" s="304">
        <v>136</v>
      </c>
      <c r="C149" s="304">
        <f t="shared" ca="1" si="19"/>
        <v>0.125</v>
      </c>
      <c r="D149" s="304">
        <f t="shared" ca="1" si="19"/>
        <v>0</v>
      </c>
      <c r="E149" s="304">
        <f t="shared" ca="1" si="19"/>
        <v>2</v>
      </c>
      <c r="F149" s="304">
        <f t="shared" ca="1" si="19"/>
        <v>2</v>
      </c>
      <c r="G149" s="304"/>
      <c r="H149" s="304">
        <f t="shared" ca="1" si="20"/>
        <v>4.125</v>
      </c>
      <c r="I149" s="404">
        <f t="shared" ca="1" si="21"/>
        <v>0</v>
      </c>
      <c r="J149" s="404">
        <f>INDEX(Capacity!$I$15:$T$15,,MATCH(MONTH(A149),Capacity!$I$6:$T$6,0))</f>
        <v>0</v>
      </c>
      <c r="K149" s="404">
        <f>INDEX(Capacity!$I$17:$T$17,,MATCH(MONTH(A149),Capacity!$I$6:$T$6,0))</f>
        <v>0</v>
      </c>
      <c r="L149" s="404" t="str">
        <f t="shared" ca="1" si="22"/>
        <v>Y</v>
      </c>
      <c r="M149" s="309" t="str">
        <f t="shared" ca="1" si="23"/>
        <v>Y</v>
      </c>
      <c r="N149" s="323"/>
    </row>
    <row r="150" spans="1:14" x14ac:dyDescent="0.2">
      <c r="A150" s="409">
        <v>43602</v>
      </c>
      <c r="B150" s="304">
        <v>137</v>
      </c>
      <c r="C150" s="304">
        <f t="shared" ca="1" si="19"/>
        <v>0.125</v>
      </c>
      <c r="D150" s="304">
        <f t="shared" ca="1" si="19"/>
        <v>0</v>
      </c>
      <c r="E150" s="304">
        <f t="shared" ca="1" si="19"/>
        <v>2</v>
      </c>
      <c r="F150" s="304">
        <f t="shared" ca="1" si="19"/>
        <v>2</v>
      </c>
      <c r="G150" s="304"/>
      <c r="H150" s="304">
        <f t="shared" ca="1" si="20"/>
        <v>4.125</v>
      </c>
      <c r="I150" s="404">
        <f t="shared" ca="1" si="21"/>
        <v>0</v>
      </c>
      <c r="J150" s="404">
        <f>INDEX(Capacity!$I$15:$T$15,,MATCH(MONTH(A150),Capacity!$I$6:$T$6,0))</f>
        <v>0</v>
      </c>
      <c r="K150" s="404">
        <f>INDEX(Capacity!$I$17:$T$17,,MATCH(MONTH(A150),Capacity!$I$6:$T$6,0))</f>
        <v>0</v>
      </c>
      <c r="L150" s="404" t="str">
        <f t="shared" ca="1" si="22"/>
        <v>Y</v>
      </c>
      <c r="M150" s="309" t="str">
        <f t="shared" ca="1" si="23"/>
        <v>Y</v>
      </c>
      <c r="N150" s="323"/>
    </row>
    <row r="151" spans="1:14" x14ac:dyDescent="0.2">
      <c r="A151" s="409">
        <v>43603</v>
      </c>
      <c r="B151" s="304">
        <v>138</v>
      </c>
      <c r="C151" s="304">
        <f t="shared" ca="1" si="19"/>
        <v>0.125</v>
      </c>
      <c r="D151" s="304">
        <f t="shared" ca="1" si="19"/>
        <v>0.5</v>
      </c>
      <c r="E151" s="304">
        <f t="shared" ca="1" si="19"/>
        <v>2</v>
      </c>
      <c r="F151" s="304">
        <f t="shared" ca="1" si="19"/>
        <v>2</v>
      </c>
      <c r="G151" s="304"/>
      <c r="H151" s="304">
        <f t="shared" ca="1" si="20"/>
        <v>4.625</v>
      </c>
      <c r="I151" s="404">
        <f t="shared" ca="1" si="21"/>
        <v>0</v>
      </c>
      <c r="J151" s="404">
        <f>INDEX(Capacity!$I$15:$T$15,,MATCH(MONTH(A151),Capacity!$I$6:$T$6,0))</f>
        <v>0</v>
      </c>
      <c r="K151" s="404">
        <f>INDEX(Capacity!$I$17:$T$17,,MATCH(MONTH(A151),Capacity!$I$6:$T$6,0))</f>
        <v>0</v>
      </c>
      <c r="L151" s="404" t="str">
        <f t="shared" ca="1" si="22"/>
        <v>Y</v>
      </c>
      <c r="M151" s="309" t="str">
        <f t="shared" ca="1" si="23"/>
        <v>Y</v>
      </c>
      <c r="N151" s="323"/>
    </row>
    <row r="152" spans="1:14" x14ac:dyDescent="0.2">
      <c r="A152" s="409">
        <v>43604</v>
      </c>
      <c r="B152" s="304">
        <v>139</v>
      </c>
      <c r="C152" s="304">
        <f t="shared" ca="1" si="19"/>
        <v>0.125</v>
      </c>
      <c r="D152" s="304">
        <f t="shared" ca="1" si="19"/>
        <v>0.5</v>
      </c>
      <c r="E152" s="304">
        <f t="shared" ca="1" si="19"/>
        <v>2</v>
      </c>
      <c r="F152" s="304">
        <f t="shared" ca="1" si="19"/>
        <v>2</v>
      </c>
      <c r="G152" s="304"/>
      <c r="H152" s="304">
        <f t="shared" ca="1" si="20"/>
        <v>4.625</v>
      </c>
      <c r="I152" s="404">
        <f t="shared" ca="1" si="21"/>
        <v>0</v>
      </c>
      <c r="J152" s="404">
        <f>INDEX(Capacity!$I$15:$T$15,,MATCH(MONTH(A152),Capacity!$I$6:$T$6,0))</f>
        <v>0</v>
      </c>
      <c r="K152" s="404">
        <f>INDEX(Capacity!$I$17:$T$17,,MATCH(MONTH(A152),Capacity!$I$6:$T$6,0))</f>
        <v>0</v>
      </c>
      <c r="L152" s="404" t="str">
        <f t="shared" ca="1" si="22"/>
        <v>Y</v>
      </c>
      <c r="M152" s="309" t="str">
        <f t="shared" ca="1" si="23"/>
        <v>Y</v>
      </c>
      <c r="N152" s="323"/>
    </row>
    <row r="153" spans="1:14" x14ac:dyDescent="0.2">
      <c r="A153" s="409">
        <v>43605</v>
      </c>
      <c r="B153" s="304">
        <v>140</v>
      </c>
      <c r="C153" s="304">
        <f t="shared" ca="1" si="19"/>
        <v>0.125</v>
      </c>
      <c r="D153" s="304">
        <f t="shared" ca="1" si="19"/>
        <v>0.5</v>
      </c>
      <c r="E153" s="304">
        <f t="shared" ca="1" si="19"/>
        <v>2</v>
      </c>
      <c r="F153" s="304">
        <f t="shared" ca="1" si="19"/>
        <v>2</v>
      </c>
      <c r="G153" s="304"/>
      <c r="H153" s="304">
        <f t="shared" ca="1" si="20"/>
        <v>4.625</v>
      </c>
      <c r="I153" s="404">
        <f t="shared" ca="1" si="21"/>
        <v>0</v>
      </c>
      <c r="J153" s="404">
        <f>INDEX(Capacity!$I$15:$T$15,,MATCH(MONTH(A153),Capacity!$I$6:$T$6,0))</f>
        <v>0</v>
      </c>
      <c r="K153" s="404">
        <f>INDEX(Capacity!$I$17:$T$17,,MATCH(MONTH(A153),Capacity!$I$6:$T$6,0))</f>
        <v>0</v>
      </c>
      <c r="L153" s="404" t="str">
        <f t="shared" ca="1" si="22"/>
        <v>Y</v>
      </c>
      <c r="M153" s="309" t="str">
        <f t="shared" ca="1" si="23"/>
        <v>Y</v>
      </c>
      <c r="N153" s="323"/>
    </row>
    <row r="154" spans="1:14" x14ac:dyDescent="0.2">
      <c r="A154" s="409">
        <v>43606</v>
      </c>
      <c r="B154" s="304">
        <v>141</v>
      </c>
      <c r="C154" s="304">
        <f t="shared" ca="1" si="19"/>
        <v>0.125</v>
      </c>
      <c r="D154" s="304">
        <f t="shared" ca="1" si="19"/>
        <v>0.5</v>
      </c>
      <c r="E154" s="304">
        <f t="shared" ca="1" si="19"/>
        <v>2</v>
      </c>
      <c r="F154" s="304">
        <f t="shared" ca="1" si="19"/>
        <v>2</v>
      </c>
      <c r="G154" s="304"/>
      <c r="H154" s="304">
        <f t="shared" ca="1" si="20"/>
        <v>4.625</v>
      </c>
      <c r="I154" s="404">
        <f t="shared" ca="1" si="21"/>
        <v>0</v>
      </c>
      <c r="J154" s="404">
        <f>INDEX(Capacity!$I$15:$T$15,,MATCH(MONTH(A154),Capacity!$I$6:$T$6,0))</f>
        <v>0</v>
      </c>
      <c r="K154" s="404">
        <f>INDEX(Capacity!$I$17:$T$17,,MATCH(MONTH(A154),Capacity!$I$6:$T$6,0))</f>
        <v>0</v>
      </c>
      <c r="L154" s="404" t="str">
        <f t="shared" ca="1" si="22"/>
        <v>Y</v>
      </c>
      <c r="M154" s="309" t="str">
        <f t="shared" ca="1" si="23"/>
        <v>Y</v>
      </c>
      <c r="N154" s="323"/>
    </row>
    <row r="155" spans="1:14" x14ac:dyDescent="0.2">
      <c r="A155" s="409">
        <v>43607</v>
      </c>
      <c r="B155" s="304">
        <v>142</v>
      </c>
      <c r="C155" s="304">
        <f t="shared" ca="1" si="19"/>
        <v>0.125</v>
      </c>
      <c r="D155" s="304">
        <f t="shared" ca="1" si="19"/>
        <v>0.5</v>
      </c>
      <c r="E155" s="304">
        <f t="shared" ca="1" si="19"/>
        <v>2</v>
      </c>
      <c r="F155" s="304">
        <f t="shared" ca="1" si="19"/>
        <v>2</v>
      </c>
      <c r="G155" s="304"/>
      <c r="H155" s="304">
        <f t="shared" ca="1" si="20"/>
        <v>4.625</v>
      </c>
      <c r="I155" s="404">
        <f t="shared" ca="1" si="21"/>
        <v>0</v>
      </c>
      <c r="J155" s="404">
        <f>INDEX(Capacity!$I$15:$T$15,,MATCH(MONTH(A155),Capacity!$I$6:$T$6,0))</f>
        <v>0</v>
      </c>
      <c r="K155" s="404">
        <f>INDEX(Capacity!$I$17:$T$17,,MATCH(MONTH(A155),Capacity!$I$6:$T$6,0))</f>
        <v>0</v>
      </c>
      <c r="L155" s="404" t="str">
        <f t="shared" ca="1" si="22"/>
        <v>Y</v>
      </c>
      <c r="M155" s="309" t="str">
        <f t="shared" ca="1" si="23"/>
        <v>Y</v>
      </c>
      <c r="N155" s="323"/>
    </row>
    <row r="156" spans="1:14" x14ac:dyDescent="0.2">
      <c r="A156" s="409">
        <v>43608</v>
      </c>
      <c r="B156" s="304">
        <v>143</v>
      </c>
      <c r="C156" s="304">
        <f t="shared" ca="1" si="19"/>
        <v>0.125</v>
      </c>
      <c r="D156" s="304">
        <f t="shared" ca="1" si="19"/>
        <v>0.5</v>
      </c>
      <c r="E156" s="304">
        <f t="shared" ca="1" si="19"/>
        <v>2</v>
      </c>
      <c r="F156" s="304">
        <f t="shared" ca="1" si="19"/>
        <v>2</v>
      </c>
      <c r="G156" s="304"/>
      <c r="H156" s="304">
        <f t="shared" ca="1" si="20"/>
        <v>4.625</v>
      </c>
      <c r="I156" s="404">
        <f t="shared" ca="1" si="21"/>
        <v>0</v>
      </c>
      <c r="J156" s="404">
        <f>INDEX(Capacity!$I$15:$T$15,,MATCH(MONTH(A156),Capacity!$I$6:$T$6,0))</f>
        <v>0</v>
      </c>
      <c r="K156" s="404">
        <f>INDEX(Capacity!$I$17:$T$17,,MATCH(MONTH(A156),Capacity!$I$6:$T$6,0))</f>
        <v>0</v>
      </c>
      <c r="L156" s="404" t="str">
        <f t="shared" ca="1" si="22"/>
        <v>Y</v>
      </c>
      <c r="M156" s="309" t="str">
        <f t="shared" ca="1" si="23"/>
        <v>Y</v>
      </c>
      <c r="N156" s="323"/>
    </row>
    <row r="157" spans="1:14" x14ac:dyDescent="0.2">
      <c r="A157" s="409">
        <v>43609</v>
      </c>
      <c r="B157" s="304">
        <v>144</v>
      </c>
      <c r="C157" s="304">
        <f t="shared" ca="1" si="19"/>
        <v>0.125</v>
      </c>
      <c r="D157" s="304">
        <f t="shared" ca="1" si="19"/>
        <v>0.5</v>
      </c>
      <c r="E157" s="304">
        <f t="shared" ca="1" si="19"/>
        <v>2</v>
      </c>
      <c r="F157" s="304">
        <f t="shared" ca="1" si="19"/>
        <v>2</v>
      </c>
      <c r="G157" s="304"/>
      <c r="H157" s="304">
        <f t="shared" ca="1" si="20"/>
        <v>4.625</v>
      </c>
      <c r="I157" s="404">
        <f t="shared" ca="1" si="21"/>
        <v>0</v>
      </c>
      <c r="J157" s="404">
        <f>INDEX(Capacity!$I$15:$T$15,,MATCH(MONTH(A157),Capacity!$I$6:$T$6,0))</f>
        <v>0</v>
      </c>
      <c r="K157" s="404">
        <f>INDEX(Capacity!$I$17:$T$17,,MATCH(MONTH(A157),Capacity!$I$6:$T$6,0))</f>
        <v>0</v>
      </c>
      <c r="L157" s="404" t="str">
        <f t="shared" ca="1" si="22"/>
        <v>Y</v>
      </c>
      <c r="M157" s="309" t="str">
        <f t="shared" ca="1" si="23"/>
        <v>Y</v>
      </c>
      <c r="N157" s="323"/>
    </row>
    <row r="158" spans="1:14" x14ac:dyDescent="0.2">
      <c r="A158" s="409">
        <v>43610</v>
      </c>
      <c r="B158" s="304">
        <v>145</v>
      </c>
      <c r="C158" s="304">
        <f t="shared" ca="1" si="19"/>
        <v>0.125</v>
      </c>
      <c r="D158" s="304">
        <f t="shared" ca="1" si="19"/>
        <v>0.5</v>
      </c>
      <c r="E158" s="304">
        <f t="shared" ca="1" si="19"/>
        <v>2</v>
      </c>
      <c r="F158" s="304">
        <f t="shared" ca="1" si="19"/>
        <v>2</v>
      </c>
      <c r="G158" s="304"/>
      <c r="H158" s="304">
        <f t="shared" ca="1" si="20"/>
        <v>4.625</v>
      </c>
      <c r="I158" s="404">
        <f t="shared" ca="1" si="21"/>
        <v>0</v>
      </c>
      <c r="J158" s="404">
        <f>INDEX(Capacity!$I$15:$T$15,,MATCH(MONTH(A158),Capacity!$I$6:$T$6,0))</f>
        <v>0</v>
      </c>
      <c r="K158" s="404">
        <f>INDEX(Capacity!$I$17:$T$17,,MATCH(MONTH(A158),Capacity!$I$6:$T$6,0))</f>
        <v>0</v>
      </c>
      <c r="L158" s="404" t="str">
        <f t="shared" ca="1" si="22"/>
        <v>Y</v>
      </c>
      <c r="M158" s="309" t="str">
        <f t="shared" ca="1" si="23"/>
        <v>Y</v>
      </c>
      <c r="N158" s="323"/>
    </row>
    <row r="159" spans="1:14" x14ac:dyDescent="0.2">
      <c r="A159" s="409">
        <v>43611</v>
      </c>
      <c r="B159" s="304">
        <v>146</v>
      </c>
      <c r="C159" s="304">
        <f t="shared" ca="1" si="19"/>
        <v>0.125</v>
      </c>
      <c r="D159" s="304">
        <f t="shared" ca="1" si="19"/>
        <v>0.5</v>
      </c>
      <c r="E159" s="304">
        <f t="shared" ca="1" si="19"/>
        <v>2</v>
      </c>
      <c r="F159" s="304">
        <f t="shared" ca="1" si="19"/>
        <v>2</v>
      </c>
      <c r="G159" s="304"/>
      <c r="H159" s="304">
        <f t="shared" ca="1" si="20"/>
        <v>4.625</v>
      </c>
      <c r="I159" s="404">
        <f t="shared" ca="1" si="21"/>
        <v>0</v>
      </c>
      <c r="J159" s="404">
        <f>INDEX(Capacity!$I$15:$T$15,,MATCH(MONTH(A159),Capacity!$I$6:$T$6,0))</f>
        <v>0</v>
      </c>
      <c r="K159" s="404">
        <f>INDEX(Capacity!$I$17:$T$17,,MATCH(MONTH(A159),Capacity!$I$6:$T$6,0))</f>
        <v>0</v>
      </c>
      <c r="L159" s="404" t="str">
        <f t="shared" ca="1" si="22"/>
        <v>Y</v>
      </c>
      <c r="M159" s="309" t="str">
        <f t="shared" ca="1" si="23"/>
        <v>Y</v>
      </c>
      <c r="N159" s="323"/>
    </row>
    <row r="160" spans="1:14" x14ac:dyDescent="0.2">
      <c r="A160" s="409">
        <v>43612</v>
      </c>
      <c r="B160" s="304">
        <v>147</v>
      </c>
      <c r="C160" s="304">
        <f t="shared" ca="1" si="19"/>
        <v>0.125</v>
      </c>
      <c r="D160" s="304">
        <f t="shared" ca="1" si="19"/>
        <v>0.5</v>
      </c>
      <c r="E160" s="304">
        <f t="shared" ca="1" si="19"/>
        <v>2</v>
      </c>
      <c r="F160" s="304">
        <f t="shared" ca="1" si="19"/>
        <v>2</v>
      </c>
      <c r="G160" s="304"/>
      <c r="H160" s="304">
        <f t="shared" ca="1" si="20"/>
        <v>4.625</v>
      </c>
      <c r="I160" s="404">
        <f t="shared" ca="1" si="21"/>
        <v>0</v>
      </c>
      <c r="J160" s="404">
        <f>INDEX(Capacity!$I$15:$T$15,,MATCH(MONTH(A160),Capacity!$I$6:$T$6,0))</f>
        <v>0</v>
      </c>
      <c r="K160" s="404">
        <f>INDEX(Capacity!$I$17:$T$17,,MATCH(MONTH(A160),Capacity!$I$6:$T$6,0))</f>
        <v>0</v>
      </c>
      <c r="L160" s="404" t="str">
        <f t="shared" ca="1" si="22"/>
        <v>Y</v>
      </c>
      <c r="M160" s="309" t="str">
        <f t="shared" ca="1" si="23"/>
        <v>Y</v>
      </c>
      <c r="N160" s="323"/>
    </row>
    <row r="161" spans="1:14" x14ac:dyDescent="0.2">
      <c r="A161" s="409">
        <v>43613</v>
      </c>
      <c r="B161" s="304">
        <v>148</v>
      </c>
      <c r="C161" s="304">
        <f t="shared" ca="1" si="19"/>
        <v>0.125</v>
      </c>
      <c r="D161" s="304">
        <f t="shared" ca="1" si="19"/>
        <v>0.5</v>
      </c>
      <c r="E161" s="304">
        <f t="shared" ca="1" si="19"/>
        <v>2</v>
      </c>
      <c r="F161" s="304">
        <f t="shared" ca="1" si="19"/>
        <v>2</v>
      </c>
      <c r="G161" s="304"/>
      <c r="H161" s="304">
        <f t="shared" ca="1" si="20"/>
        <v>4.625</v>
      </c>
      <c r="I161" s="404">
        <f t="shared" ca="1" si="21"/>
        <v>0</v>
      </c>
      <c r="J161" s="404">
        <f>INDEX(Capacity!$I$15:$T$15,,MATCH(MONTH(A161),Capacity!$I$6:$T$6,0))</f>
        <v>0</v>
      </c>
      <c r="K161" s="404">
        <f>INDEX(Capacity!$I$17:$T$17,,MATCH(MONTH(A161),Capacity!$I$6:$T$6,0))</f>
        <v>0</v>
      </c>
      <c r="L161" s="404" t="str">
        <f t="shared" ca="1" si="22"/>
        <v>Y</v>
      </c>
      <c r="M161" s="309" t="str">
        <f t="shared" ca="1" si="23"/>
        <v>Y</v>
      </c>
      <c r="N161" s="323"/>
    </row>
    <row r="162" spans="1:14" x14ac:dyDescent="0.2">
      <c r="A162" s="409">
        <v>43614</v>
      </c>
      <c r="B162" s="304">
        <v>149</v>
      </c>
      <c r="C162" s="304">
        <f t="shared" ca="1" si="19"/>
        <v>0.125</v>
      </c>
      <c r="D162" s="304">
        <f t="shared" ca="1" si="19"/>
        <v>0.5</v>
      </c>
      <c r="E162" s="304">
        <f t="shared" ca="1" si="19"/>
        <v>2</v>
      </c>
      <c r="F162" s="304">
        <f t="shared" ca="1" si="19"/>
        <v>2</v>
      </c>
      <c r="G162" s="304"/>
      <c r="H162" s="304">
        <f t="shared" ca="1" si="20"/>
        <v>4.625</v>
      </c>
      <c r="I162" s="404">
        <f t="shared" ca="1" si="21"/>
        <v>0</v>
      </c>
      <c r="J162" s="404">
        <f>INDEX(Capacity!$I$15:$T$15,,MATCH(MONTH(A162),Capacity!$I$6:$T$6,0))</f>
        <v>0</v>
      </c>
      <c r="K162" s="404">
        <f>INDEX(Capacity!$I$17:$T$17,,MATCH(MONTH(A162),Capacity!$I$6:$T$6,0))</f>
        <v>0</v>
      </c>
      <c r="L162" s="404" t="str">
        <f t="shared" ca="1" si="22"/>
        <v>Y</v>
      </c>
      <c r="M162" s="309" t="str">
        <f t="shared" ca="1" si="23"/>
        <v>Y</v>
      </c>
      <c r="N162" s="323"/>
    </row>
    <row r="163" spans="1:14" x14ac:dyDescent="0.2">
      <c r="A163" s="409">
        <v>43615</v>
      </c>
      <c r="B163" s="304">
        <v>150</v>
      </c>
      <c r="C163" s="304">
        <f t="shared" ca="1" si="19"/>
        <v>0.125</v>
      </c>
      <c r="D163" s="304">
        <f t="shared" ca="1" si="19"/>
        <v>0.5</v>
      </c>
      <c r="E163" s="304">
        <f t="shared" ca="1" si="19"/>
        <v>2</v>
      </c>
      <c r="F163" s="304">
        <f t="shared" ca="1" si="19"/>
        <v>2</v>
      </c>
      <c r="G163" s="304"/>
      <c r="H163" s="304">
        <f t="shared" ca="1" si="20"/>
        <v>4.625</v>
      </c>
      <c r="I163" s="404">
        <f t="shared" ca="1" si="21"/>
        <v>0</v>
      </c>
      <c r="J163" s="404">
        <f>INDEX(Capacity!$I$15:$T$15,,MATCH(MONTH(A163),Capacity!$I$6:$T$6,0))</f>
        <v>0</v>
      </c>
      <c r="K163" s="404">
        <f>INDEX(Capacity!$I$17:$T$17,,MATCH(MONTH(A163),Capacity!$I$6:$T$6,0))</f>
        <v>0</v>
      </c>
      <c r="L163" s="404" t="str">
        <f t="shared" ca="1" si="22"/>
        <v>Y</v>
      </c>
      <c r="M163" s="309" t="str">
        <f t="shared" ca="1" si="23"/>
        <v>Y</v>
      </c>
      <c r="N163" s="323"/>
    </row>
    <row r="164" spans="1:14" x14ac:dyDescent="0.2">
      <c r="A164" s="409">
        <v>43616</v>
      </c>
      <c r="B164" s="304">
        <v>151</v>
      </c>
      <c r="C164" s="304">
        <f t="shared" ca="1" si="19"/>
        <v>0.125</v>
      </c>
      <c r="D164" s="304">
        <f t="shared" ca="1" si="19"/>
        <v>0.5</v>
      </c>
      <c r="E164" s="304">
        <f t="shared" ca="1" si="19"/>
        <v>2</v>
      </c>
      <c r="F164" s="304">
        <f t="shared" ca="1" si="19"/>
        <v>2</v>
      </c>
      <c r="G164" s="304"/>
      <c r="H164" s="304">
        <f t="shared" ca="1" si="20"/>
        <v>4.625</v>
      </c>
      <c r="I164" s="404">
        <f t="shared" ca="1" si="21"/>
        <v>0</v>
      </c>
      <c r="J164" s="404">
        <f>INDEX(Capacity!$I$15:$T$15,,MATCH(MONTH(A164),Capacity!$I$6:$T$6,0))</f>
        <v>0</v>
      </c>
      <c r="K164" s="404">
        <f>INDEX(Capacity!$I$17:$T$17,,MATCH(MONTH(A164),Capacity!$I$6:$T$6,0))</f>
        <v>0</v>
      </c>
      <c r="L164" s="404" t="str">
        <f t="shared" ca="1" si="22"/>
        <v>Y</v>
      </c>
      <c r="M164" s="309" t="str">
        <f t="shared" ca="1" si="23"/>
        <v>Y</v>
      </c>
      <c r="N164" s="323"/>
    </row>
    <row r="165" spans="1:14" x14ac:dyDescent="0.2">
      <c r="A165" s="409">
        <v>43617</v>
      </c>
      <c r="B165" s="304">
        <v>152</v>
      </c>
      <c r="C165" s="304">
        <f t="shared" ca="1" si="19"/>
        <v>0.125</v>
      </c>
      <c r="D165" s="304">
        <f t="shared" ca="1" si="19"/>
        <v>0.5</v>
      </c>
      <c r="E165" s="304">
        <f t="shared" ca="1" si="19"/>
        <v>2</v>
      </c>
      <c r="F165" s="304">
        <f t="shared" ca="1" si="19"/>
        <v>2</v>
      </c>
      <c r="G165" s="304"/>
      <c r="H165" s="304">
        <f t="shared" ca="1" si="20"/>
        <v>4.625</v>
      </c>
      <c r="I165" s="404">
        <f t="shared" ca="1" si="21"/>
        <v>0</v>
      </c>
      <c r="J165" s="404">
        <f>INDEX(Capacity!$I$15:$T$15,,MATCH(MONTH(A165),Capacity!$I$6:$T$6,0))</f>
        <v>0</v>
      </c>
      <c r="K165" s="404">
        <f>INDEX(Capacity!$I$17:$T$17,,MATCH(MONTH(A165),Capacity!$I$6:$T$6,0))</f>
        <v>0</v>
      </c>
      <c r="L165" s="404" t="str">
        <f t="shared" ca="1" si="22"/>
        <v>Y</v>
      </c>
      <c r="M165" s="309" t="str">
        <f t="shared" ca="1" si="23"/>
        <v>Y</v>
      </c>
      <c r="N165" s="323"/>
    </row>
    <row r="166" spans="1:14" x14ac:dyDescent="0.2">
      <c r="A166" s="409">
        <v>43618</v>
      </c>
      <c r="B166" s="304">
        <v>153</v>
      </c>
      <c r="C166" s="304">
        <f t="shared" ca="1" si="19"/>
        <v>0.125</v>
      </c>
      <c r="D166" s="304">
        <f t="shared" ca="1" si="19"/>
        <v>0.5</v>
      </c>
      <c r="E166" s="304">
        <f t="shared" ca="1" si="19"/>
        <v>2</v>
      </c>
      <c r="F166" s="304">
        <f t="shared" ca="1" si="19"/>
        <v>2</v>
      </c>
      <c r="G166" s="304"/>
      <c r="H166" s="304">
        <f t="shared" ca="1" si="20"/>
        <v>4.625</v>
      </c>
      <c r="I166" s="404">
        <f t="shared" ca="1" si="21"/>
        <v>0</v>
      </c>
      <c r="J166" s="404">
        <f>INDEX(Capacity!$I$15:$T$15,,MATCH(MONTH(A166),Capacity!$I$6:$T$6,0))</f>
        <v>0</v>
      </c>
      <c r="K166" s="404">
        <f>INDEX(Capacity!$I$17:$T$17,,MATCH(MONTH(A166),Capacity!$I$6:$T$6,0))</f>
        <v>0</v>
      </c>
      <c r="L166" s="404" t="str">
        <f t="shared" ca="1" si="22"/>
        <v>Y</v>
      </c>
      <c r="M166" s="309" t="str">
        <f t="shared" ca="1" si="23"/>
        <v>Y</v>
      </c>
      <c r="N166" s="323"/>
    </row>
    <row r="167" spans="1:14" x14ac:dyDescent="0.2">
      <c r="A167" s="409">
        <v>43619</v>
      </c>
      <c r="B167" s="304">
        <v>154</v>
      </c>
      <c r="C167" s="304">
        <f t="shared" ca="1" si="19"/>
        <v>0.125</v>
      </c>
      <c r="D167" s="304">
        <f t="shared" ca="1" si="19"/>
        <v>0.5</v>
      </c>
      <c r="E167" s="304">
        <f t="shared" ca="1" si="19"/>
        <v>2</v>
      </c>
      <c r="F167" s="304">
        <f t="shared" ca="1" si="19"/>
        <v>2</v>
      </c>
      <c r="G167" s="304"/>
      <c r="H167" s="304">
        <f t="shared" ca="1" si="20"/>
        <v>4.625</v>
      </c>
      <c r="I167" s="404">
        <f t="shared" ca="1" si="21"/>
        <v>0</v>
      </c>
      <c r="J167" s="404">
        <f>INDEX(Capacity!$I$15:$T$15,,MATCH(MONTH(A167),Capacity!$I$6:$T$6,0))</f>
        <v>0</v>
      </c>
      <c r="K167" s="404">
        <f>INDEX(Capacity!$I$17:$T$17,,MATCH(MONTH(A167),Capacity!$I$6:$T$6,0))</f>
        <v>0</v>
      </c>
      <c r="L167" s="404" t="str">
        <f t="shared" ca="1" si="22"/>
        <v>Y</v>
      </c>
      <c r="M167" s="309" t="str">
        <f t="shared" ca="1" si="23"/>
        <v>Y</v>
      </c>
      <c r="N167" s="323"/>
    </row>
    <row r="168" spans="1:14" x14ac:dyDescent="0.2">
      <c r="A168" s="409">
        <v>43620</v>
      </c>
      <c r="B168" s="304">
        <v>155</v>
      </c>
      <c r="C168" s="304">
        <f t="shared" ca="1" si="19"/>
        <v>0.125</v>
      </c>
      <c r="D168" s="304">
        <f t="shared" ca="1" si="19"/>
        <v>0.5</v>
      </c>
      <c r="E168" s="304">
        <f t="shared" ca="1" si="19"/>
        <v>2</v>
      </c>
      <c r="F168" s="304">
        <f t="shared" ca="1" si="19"/>
        <v>2</v>
      </c>
      <c r="G168" s="304"/>
      <c r="H168" s="304">
        <f t="shared" ca="1" si="20"/>
        <v>4.625</v>
      </c>
      <c r="I168" s="404">
        <f t="shared" ca="1" si="21"/>
        <v>0</v>
      </c>
      <c r="J168" s="404">
        <f>INDEX(Capacity!$I$15:$T$15,,MATCH(MONTH(A168),Capacity!$I$6:$T$6,0))</f>
        <v>0</v>
      </c>
      <c r="K168" s="404">
        <f>INDEX(Capacity!$I$17:$T$17,,MATCH(MONTH(A168),Capacity!$I$6:$T$6,0))</f>
        <v>0</v>
      </c>
      <c r="L168" s="404" t="str">
        <f t="shared" ca="1" si="22"/>
        <v>Y</v>
      </c>
      <c r="M168" s="309" t="str">
        <f t="shared" ca="1" si="23"/>
        <v>Y</v>
      </c>
      <c r="N168" s="323"/>
    </row>
    <row r="169" spans="1:14" x14ac:dyDescent="0.2">
      <c r="A169" s="409">
        <v>43621</v>
      </c>
      <c r="B169" s="304">
        <v>156</v>
      </c>
      <c r="C169" s="304">
        <f t="shared" ca="1" si="19"/>
        <v>0.125</v>
      </c>
      <c r="D169" s="304">
        <f t="shared" ca="1" si="19"/>
        <v>0.5</v>
      </c>
      <c r="E169" s="304">
        <f t="shared" ca="1" si="19"/>
        <v>2</v>
      </c>
      <c r="F169" s="304">
        <f t="shared" ca="1" si="19"/>
        <v>2</v>
      </c>
      <c r="G169" s="304"/>
      <c r="H169" s="304">
        <f t="shared" ca="1" si="20"/>
        <v>4.625</v>
      </c>
      <c r="I169" s="404">
        <f t="shared" ca="1" si="21"/>
        <v>0</v>
      </c>
      <c r="J169" s="404">
        <f>INDEX(Capacity!$I$15:$T$15,,MATCH(MONTH(A169),Capacity!$I$6:$T$6,0))</f>
        <v>0</v>
      </c>
      <c r="K169" s="404">
        <f>INDEX(Capacity!$I$17:$T$17,,MATCH(MONTH(A169),Capacity!$I$6:$T$6,0))</f>
        <v>0</v>
      </c>
      <c r="L169" s="404" t="str">
        <f t="shared" ca="1" si="22"/>
        <v>Y</v>
      </c>
      <c r="M169" s="309" t="str">
        <f t="shared" ca="1" si="23"/>
        <v>Y</v>
      </c>
      <c r="N169" s="323"/>
    </row>
    <row r="170" spans="1:14" x14ac:dyDescent="0.2">
      <c r="A170" s="409">
        <v>43622</v>
      </c>
      <c r="B170" s="304">
        <v>157</v>
      </c>
      <c r="C170" s="304">
        <f t="shared" ca="1" si="19"/>
        <v>0.125</v>
      </c>
      <c r="D170" s="304">
        <f t="shared" ca="1" si="19"/>
        <v>0.5</v>
      </c>
      <c r="E170" s="304">
        <f t="shared" ca="1" si="19"/>
        <v>2</v>
      </c>
      <c r="F170" s="304">
        <f t="shared" ca="1" si="19"/>
        <v>2</v>
      </c>
      <c r="G170" s="304"/>
      <c r="H170" s="304">
        <f t="shared" ca="1" si="20"/>
        <v>4.625</v>
      </c>
      <c r="I170" s="404">
        <f t="shared" ca="1" si="21"/>
        <v>0</v>
      </c>
      <c r="J170" s="404">
        <f>INDEX(Capacity!$I$15:$T$15,,MATCH(MONTH(A170),Capacity!$I$6:$T$6,0))</f>
        <v>0</v>
      </c>
      <c r="K170" s="404">
        <f>INDEX(Capacity!$I$17:$T$17,,MATCH(MONTH(A170),Capacity!$I$6:$T$6,0))</f>
        <v>0</v>
      </c>
      <c r="L170" s="404" t="str">
        <f t="shared" ca="1" si="22"/>
        <v>Y</v>
      </c>
      <c r="M170" s="309" t="str">
        <f t="shared" ca="1" si="23"/>
        <v>Y</v>
      </c>
      <c r="N170" s="323"/>
    </row>
    <row r="171" spans="1:14" x14ac:dyDescent="0.2">
      <c r="A171" s="409">
        <v>43623</v>
      </c>
      <c r="B171" s="304">
        <v>158</v>
      </c>
      <c r="C171" s="304">
        <f t="shared" ca="1" si="19"/>
        <v>0.125</v>
      </c>
      <c r="D171" s="304">
        <f t="shared" ca="1" si="19"/>
        <v>0.5</v>
      </c>
      <c r="E171" s="304">
        <f t="shared" ca="1" si="19"/>
        <v>2</v>
      </c>
      <c r="F171" s="304">
        <f t="shared" ca="1" si="19"/>
        <v>2</v>
      </c>
      <c r="G171" s="304"/>
      <c r="H171" s="304">
        <f t="shared" ca="1" si="20"/>
        <v>4.625</v>
      </c>
      <c r="I171" s="404">
        <f t="shared" ca="1" si="21"/>
        <v>0</v>
      </c>
      <c r="J171" s="404">
        <f>INDEX(Capacity!$I$15:$T$15,,MATCH(MONTH(A171),Capacity!$I$6:$T$6,0))</f>
        <v>0</v>
      </c>
      <c r="K171" s="404">
        <f>INDEX(Capacity!$I$17:$T$17,,MATCH(MONTH(A171),Capacity!$I$6:$T$6,0))</f>
        <v>0</v>
      </c>
      <c r="L171" s="404" t="str">
        <f t="shared" ca="1" si="22"/>
        <v>Y</v>
      </c>
      <c r="M171" s="309" t="str">
        <f t="shared" ca="1" si="23"/>
        <v>Y</v>
      </c>
      <c r="N171" s="323"/>
    </row>
    <row r="172" spans="1:14" x14ac:dyDescent="0.2">
      <c r="A172" s="409">
        <v>43624</v>
      </c>
      <c r="B172" s="304">
        <v>159</v>
      </c>
      <c r="C172" s="304">
        <f t="shared" ca="1" si="19"/>
        <v>0.125</v>
      </c>
      <c r="D172" s="304">
        <f t="shared" ca="1" si="19"/>
        <v>0.5</v>
      </c>
      <c r="E172" s="304">
        <f t="shared" ca="1" si="19"/>
        <v>2</v>
      </c>
      <c r="F172" s="304">
        <f t="shared" ca="1" si="19"/>
        <v>2</v>
      </c>
      <c r="G172" s="304"/>
      <c r="H172" s="304">
        <f t="shared" ca="1" si="20"/>
        <v>4.625</v>
      </c>
      <c r="I172" s="404">
        <f t="shared" ca="1" si="21"/>
        <v>0</v>
      </c>
      <c r="J172" s="404">
        <f>INDEX(Capacity!$I$15:$T$15,,MATCH(MONTH(A172),Capacity!$I$6:$T$6,0))</f>
        <v>0</v>
      </c>
      <c r="K172" s="404">
        <f>INDEX(Capacity!$I$17:$T$17,,MATCH(MONTH(A172),Capacity!$I$6:$T$6,0))</f>
        <v>0</v>
      </c>
      <c r="L172" s="404" t="str">
        <f t="shared" ca="1" si="22"/>
        <v>Y</v>
      </c>
      <c r="M172" s="309" t="str">
        <f t="shared" ca="1" si="23"/>
        <v>Y</v>
      </c>
      <c r="N172" s="323"/>
    </row>
    <row r="173" spans="1:14" x14ac:dyDescent="0.2">
      <c r="A173" s="409">
        <v>43625</v>
      </c>
      <c r="B173" s="304">
        <v>160</v>
      </c>
      <c r="C173" s="304">
        <f t="shared" ca="1" si="19"/>
        <v>0.125</v>
      </c>
      <c r="D173" s="304">
        <f t="shared" ca="1" si="19"/>
        <v>0.5</v>
      </c>
      <c r="E173" s="304">
        <f t="shared" ca="1" si="19"/>
        <v>2</v>
      </c>
      <c r="F173" s="304">
        <f t="shared" ca="1" si="19"/>
        <v>2</v>
      </c>
      <c r="G173" s="304"/>
      <c r="H173" s="304">
        <f t="shared" ca="1" si="20"/>
        <v>4.625</v>
      </c>
      <c r="I173" s="404">
        <f t="shared" ca="1" si="21"/>
        <v>0</v>
      </c>
      <c r="J173" s="404">
        <f>INDEX(Capacity!$I$15:$T$15,,MATCH(MONTH(A173),Capacity!$I$6:$T$6,0))</f>
        <v>0</v>
      </c>
      <c r="K173" s="404">
        <f>INDEX(Capacity!$I$17:$T$17,,MATCH(MONTH(A173),Capacity!$I$6:$T$6,0))</f>
        <v>0</v>
      </c>
      <c r="L173" s="404" t="str">
        <f t="shared" ca="1" si="22"/>
        <v>Y</v>
      </c>
      <c r="M173" s="309" t="str">
        <f t="shared" ca="1" si="23"/>
        <v>Y</v>
      </c>
      <c r="N173" s="323"/>
    </row>
    <row r="174" spans="1:14" x14ac:dyDescent="0.2">
      <c r="A174" s="409">
        <v>43626</v>
      </c>
      <c r="B174" s="304">
        <v>161</v>
      </c>
      <c r="C174" s="304">
        <f t="shared" ca="1" si="19"/>
        <v>0.125</v>
      </c>
      <c r="D174" s="304">
        <f t="shared" ca="1" si="19"/>
        <v>0.5</v>
      </c>
      <c r="E174" s="304">
        <f t="shared" ca="1" si="19"/>
        <v>2</v>
      </c>
      <c r="F174" s="304">
        <f t="shared" ca="1" si="19"/>
        <v>2</v>
      </c>
      <c r="G174" s="304"/>
      <c r="H174" s="304">
        <f t="shared" ca="1" si="20"/>
        <v>4.625</v>
      </c>
      <c r="I174" s="404">
        <f t="shared" ca="1" si="21"/>
        <v>0</v>
      </c>
      <c r="J174" s="404">
        <f>INDEX(Capacity!$I$15:$T$15,,MATCH(MONTH(A174),Capacity!$I$6:$T$6,0))</f>
        <v>0</v>
      </c>
      <c r="K174" s="404">
        <f>INDEX(Capacity!$I$17:$T$17,,MATCH(MONTH(A174),Capacity!$I$6:$T$6,0))</f>
        <v>0</v>
      </c>
      <c r="L174" s="404" t="str">
        <f t="shared" ca="1" si="22"/>
        <v>Y</v>
      </c>
      <c r="M174" s="309" t="str">
        <f t="shared" ca="1" si="23"/>
        <v>Y</v>
      </c>
      <c r="N174" s="323"/>
    </row>
    <row r="175" spans="1:14" x14ac:dyDescent="0.2">
      <c r="A175" s="409">
        <v>43627</v>
      </c>
      <c r="B175" s="304">
        <v>162</v>
      </c>
      <c r="C175" s="304">
        <f t="shared" ca="1" si="19"/>
        <v>0.125</v>
      </c>
      <c r="D175" s="304">
        <f t="shared" ca="1" si="19"/>
        <v>0.5</v>
      </c>
      <c r="E175" s="304">
        <f t="shared" ca="1" si="19"/>
        <v>2</v>
      </c>
      <c r="F175" s="304">
        <f t="shared" ca="1" si="19"/>
        <v>2</v>
      </c>
      <c r="G175" s="304"/>
      <c r="H175" s="304">
        <f t="shared" ca="1" si="20"/>
        <v>4.625</v>
      </c>
      <c r="I175" s="404">
        <f t="shared" ca="1" si="21"/>
        <v>0</v>
      </c>
      <c r="J175" s="404">
        <f>INDEX(Capacity!$I$15:$T$15,,MATCH(MONTH(A175),Capacity!$I$6:$T$6,0))</f>
        <v>0</v>
      </c>
      <c r="K175" s="404">
        <f>INDEX(Capacity!$I$17:$T$17,,MATCH(MONTH(A175),Capacity!$I$6:$T$6,0))</f>
        <v>0</v>
      </c>
      <c r="L175" s="404" t="str">
        <f t="shared" ca="1" si="22"/>
        <v>Y</v>
      </c>
      <c r="M175" s="309" t="str">
        <f t="shared" ca="1" si="23"/>
        <v>Y</v>
      </c>
      <c r="N175" s="323"/>
    </row>
    <row r="176" spans="1:14" x14ac:dyDescent="0.2">
      <c r="A176" s="409">
        <v>43628</v>
      </c>
      <c r="B176" s="304">
        <v>163</v>
      </c>
      <c r="C176" s="304">
        <f t="shared" ca="1" si="19"/>
        <v>0.125</v>
      </c>
      <c r="D176" s="304">
        <f t="shared" ca="1" si="19"/>
        <v>0.5</v>
      </c>
      <c r="E176" s="304">
        <f t="shared" ca="1" si="19"/>
        <v>2</v>
      </c>
      <c r="F176" s="304">
        <f t="shared" ca="1" si="19"/>
        <v>2</v>
      </c>
      <c r="G176" s="304"/>
      <c r="H176" s="304">
        <f t="shared" ca="1" si="20"/>
        <v>4.625</v>
      </c>
      <c r="I176" s="404">
        <f t="shared" ca="1" si="21"/>
        <v>0</v>
      </c>
      <c r="J176" s="404">
        <f>INDEX(Capacity!$I$15:$T$15,,MATCH(MONTH(A176),Capacity!$I$6:$T$6,0))</f>
        <v>0</v>
      </c>
      <c r="K176" s="404">
        <f>INDEX(Capacity!$I$17:$T$17,,MATCH(MONTH(A176),Capacity!$I$6:$T$6,0))</f>
        <v>0</v>
      </c>
      <c r="L176" s="404" t="str">
        <f t="shared" ca="1" si="22"/>
        <v>Y</v>
      </c>
      <c r="M176" s="309" t="str">
        <f t="shared" ca="1" si="23"/>
        <v>Y</v>
      </c>
      <c r="N176" s="323"/>
    </row>
    <row r="177" spans="1:14" x14ac:dyDescent="0.2">
      <c r="A177" s="409">
        <v>43629</v>
      </c>
      <c r="B177" s="304">
        <v>164</v>
      </c>
      <c r="C177" s="304">
        <f t="shared" ca="1" si="19"/>
        <v>0.125</v>
      </c>
      <c r="D177" s="304">
        <f t="shared" ca="1" si="19"/>
        <v>0.5</v>
      </c>
      <c r="E177" s="304">
        <f t="shared" ca="1" si="19"/>
        <v>2</v>
      </c>
      <c r="F177" s="304">
        <f t="shared" ca="1" si="19"/>
        <v>2</v>
      </c>
      <c r="G177" s="304"/>
      <c r="H177" s="304">
        <f t="shared" ca="1" si="20"/>
        <v>4.625</v>
      </c>
      <c r="I177" s="404">
        <f t="shared" ca="1" si="21"/>
        <v>0</v>
      </c>
      <c r="J177" s="404">
        <f>INDEX(Capacity!$I$15:$T$15,,MATCH(MONTH(A177),Capacity!$I$6:$T$6,0))</f>
        <v>0</v>
      </c>
      <c r="K177" s="404">
        <f>INDEX(Capacity!$I$17:$T$17,,MATCH(MONTH(A177),Capacity!$I$6:$T$6,0))</f>
        <v>0</v>
      </c>
      <c r="L177" s="404" t="str">
        <f t="shared" ca="1" si="22"/>
        <v>Y</v>
      </c>
      <c r="M177" s="309" t="str">
        <f t="shared" ca="1" si="23"/>
        <v>Y</v>
      </c>
      <c r="N177" s="323"/>
    </row>
    <row r="178" spans="1:14" x14ac:dyDescent="0.2">
      <c r="A178" s="409">
        <v>43630</v>
      </c>
      <c r="B178" s="304">
        <v>165</v>
      </c>
      <c r="C178" s="304">
        <f t="shared" ca="1" si="19"/>
        <v>0.125</v>
      </c>
      <c r="D178" s="304">
        <f t="shared" ca="1" si="19"/>
        <v>0.5</v>
      </c>
      <c r="E178" s="304">
        <f t="shared" ca="1" si="19"/>
        <v>2</v>
      </c>
      <c r="F178" s="304">
        <f t="shared" ca="1" si="19"/>
        <v>2</v>
      </c>
      <c r="G178" s="304"/>
      <c r="H178" s="304">
        <f t="shared" ca="1" si="20"/>
        <v>4.625</v>
      </c>
      <c r="I178" s="404">
        <f t="shared" ca="1" si="21"/>
        <v>0</v>
      </c>
      <c r="J178" s="404">
        <f>INDEX(Capacity!$I$15:$T$15,,MATCH(MONTH(A178),Capacity!$I$6:$T$6,0))</f>
        <v>0</v>
      </c>
      <c r="K178" s="404">
        <f>INDEX(Capacity!$I$17:$T$17,,MATCH(MONTH(A178),Capacity!$I$6:$T$6,0))</f>
        <v>0</v>
      </c>
      <c r="L178" s="404" t="str">
        <f t="shared" ca="1" si="22"/>
        <v>Y</v>
      </c>
      <c r="M178" s="309" t="str">
        <f t="shared" ca="1" si="23"/>
        <v>Y</v>
      </c>
      <c r="N178" s="323"/>
    </row>
    <row r="179" spans="1:14" x14ac:dyDescent="0.2">
      <c r="A179" s="409">
        <v>43631</v>
      </c>
      <c r="B179" s="304">
        <v>166</v>
      </c>
      <c r="C179" s="304">
        <f t="shared" ca="1" si="19"/>
        <v>0.125</v>
      </c>
      <c r="D179" s="304">
        <f t="shared" ca="1" si="19"/>
        <v>0.5</v>
      </c>
      <c r="E179" s="304">
        <f t="shared" ca="1" si="19"/>
        <v>2</v>
      </c>
      <c r="F179" s="304">
        <f t="shared" ca="1" si="19"/>
        <v>2</v>
      </c>
      <c r="G179" s="304"/>
      <c r="H179" s="304">
        <f t="shared" ca="1" si="20"/>
        <v>4.625</v>
      </c>
      <c r="I179" s="404">
        <f t="shared" ca="1" si="21"/>
        <v>0</v>
      </c>
      <c r="J179" s="404">
        <f>INDEX(Capacity!$I$15:$T$15,,MATCH(MONTH(A179),Capacity!$I$6:$T$6,0))</f>
        <v>0</v>
      </c>
      <c r="K179" s="404">
        <f>INDEX(Capacity!$I$17:$T$17,,MATCH(MONTH(A179),Capacity!$I$6:$T$6,0))</f>
        <v>0</v>
      </c>
      <c r="L179" s="404" t="str">
        <f t="shared" ca="1" si="22"/>
        <v>Y</v>
      </c>
      <c r="M179" s="309" t="str">
        <f t="shared" ca="1" si="23"/>
        <v>Y</v>
      </c>
      <c r="N179" s="323"/>
    </row>
    <row r="180" spans="1:14" x14ac:dyDescent="0.2">
      <c r="A180" s="409">
        <v>43632</v>
      </c>
      <c r="B180" s="304">
        <v>167</v>
      </c>
      <c r="C180" s="304">
        <f t="shared" ref="C180:F211" ca="1" si="24">IFERROR(IF(C$9=365,1/C$6,IF(C$12="",IF(C$11&gt;=C$10,IF(AND($B180&gt;=C$10+C$6, $B180&lt;=C$11),1/C$6,0),IF(OR($B180&gt;=C$10+C$6, $B180&lt;=C$11),1/C$6,0)),IF(OR(C$11&gt;=C$10,C$13&gt;=C$12),IF(OR(AND($B180&gt;=C$10+C$6, $B180&lt;=C$11),AND($B180&gt;=C$12+C$6, $B180&lt;=C$13)),1/C$6,0),IF(OR($B180&gt;=C$10+C$6, $B180&lt;=C$11,$B180&gt;=C$12+C$6, $B180&lt;=C$13),1/C$6,0)))),"Unknown; user input required")</f>
        <v>0.125</v>
      </c>
      <c r="D180" s="304">
        <f t="shared" ca="1" si="24"/>
        <v>0.5</v>
      </c>
      <c r="E180" s="304">
        <f t="shared" ca="1" si="24"/>
        <v>2</v>
      </c>
      <c r="F180" s="304">
        <f t="shared" ca="1" si="24"/>
        <v>2</v>
      </c>
      <c r="G180" s="304"/>
      <c r="H180" s="304">
        <f t="shared" ca="1" si="20"/>
        <v>4.625</v>
      </c>
      <c r="I180" s="404">
        <f t="shared" ca="1" si="21"/>
        <v>0</v>
      </c>
      <c r="J180" s="404">
        <f>INDEX(Capacity!$I$15:$T$15,,MATCH(MONTH(A180),Capacity!$I$6:$T$6,0))</f>
        <v>0</v>
      </c>
      <c r="K180" s="404">
        <f>INDEX(Capacity!$I$17:$T$17,,MATCH(MONTH(A180),Capacity!$I$6:$T$6,0))</f>
        <v>0</v>
      </c>
      <c r="L180" s="404" t="str">
        <f t="shared" ca="1" si="22"/>
        <v>Y</v>
      </c>
      <c r="M180" s="309" t="str">
        <f t="shared" ca="1" si="23"/>
        <v>Y</v>
      </c>
      <c r="N180" s="323"/>
    </row>
    <row r="181" spans="1:14" x14ac:dyDescent="0.2">
      <c r="A181" s="409">
        <v>43633</v>
      </c>
      <c r="B181" s="304">
        <v>168</v>
      </c>
      <c r="C181" s="304">
        <f t="shared" ca="1" si="24"/>
        <v>0.125</v>
      </c>
      <c r="D181" s="304">
        <f t="shared" ca="1" si="24"/>
        <v>0.5</v>
      </c>
      <c r="E181" s="304">
        <f t="shared" ca="1" si="24"/>
        <v>2</v>
      </c>
      <c r="F181" s="304">
        <f t="shared" ca="1" si="24"/>
        <v>2</v>
      </c>
      <c r="G181" s="304"/>
      <c r="H181" s="304">
        <f t="shared" ca="1" si="20"/>
        <v>4.625</v>
      </c>
      <c r="I181" s="404">
        <f t="shared" ca="1" si="21"/>
        <v>0</v>
      </c>
      <c r="J181" s="404">
        <f>INDEX(Capacity!$I$15:$T$15,,MATCH(MONTH(A181),Capacity!$I$6:$T$6,0))</f>
        <v>0</v>
      </c>
      <c r="K181" s="404">
        <f>INDEX(Capacity!$I$17:$T$17,,MATCH(MONTH(A181),Capacity!$I$6:$T$6,0))</f>
        <v>0</v>
      </c>
      <c r="L181" s="404" t="str">
        <f t="shared" ca="1" si="22"/>
        <v>Y</v>
      </c>
      <c r="M181" s="309" t="str">
        <f t="shared" ca="1" si="23"/>
        <v>Y</v>
      </c>
      <c r="N181" s="323"/>
    </row>
    <row r="182" spans="1:14" x14ac:dyDescent="0.2">
      <c r="A182" s="409">
        <v>43634</v>
      </c>
      <c r="B182" s="304">
        <v>169</v>
      </c>
      <c r="C182" s="304">
        <f t="shared" ca="1" si="24"/>
        <v>0.125</v>
      </c>
      <c r="D182" s="304">
        <f t="shared" ca="1" si="24"/>
        <v>0.5</v>
      </c>
      <c r="E182" s="304">
        <f t="shared" ca="1" si="24"/>
        <v>2</v>
      </c>
      <c r="F182" s="304">
        <f t="shared" ca="1" si="24"/>
        <v>2</v>
      </c>
      <c r="G182" s="304"/>
      <c r="H182" s="304">
        <f t="shared" ca="1" si="20"/>
        <v>4.625</v>
      </c>
      <c r="I182" s="404">
        <f t="shared" ca="1" si="21"/>
        <v>0</v>
      </c>
      <c r="J182" s="404">
        <f>INDEX(Capacity!$I$15:$T$15,,MATCH(MONTH(A182),Capacity!$I$6:$T$6,0))</f>
        <v>0</v>
      </c>
      <c r="K182" s="404">
        <f>INDEX(Capacity!$I$17:$T$17,,MATCH(MONTH(A182),Capacity!$I$6:$T$6,0))</f>
        <v>0</v>
      </c>
      <c r="L182" s="404" t="str">
        <f t="shared" ca="1" si="22"/>
        <v>Y</v>
      </c>
      <c r="M182" s="309" t="str">
        <f t="shared" ca="1" si="23"/>
        <v>Y</v>
      </c>
      <c r="N182" s="323"/>
    </row>
    <row r="183" spans="1:14" x14ac:dyDescent="0.2">
      <c r="A183" s="409">
        <v>43635</v>
      </c>
      <c r="B183" s="304">
        <v>170</v>
      </c>
      <c r="C183" s="304">
        <f t="shared" ca="1" si="24"/>
        <v>0.125</v>
      </c>
      <c r="D183" s="304">
        <f t="shared" ca="1" si="24"/>
        <v>0.5</v>
      </c>
      <c r="E183" s="304">
        <f t="shared" ca="1" si="24"/>
        <v>2</v>
      </c>
      <c r="F183" s="304">
        <f t="shared" ca="1" si="24"/>
        <v>2</v>
      </c>
      <c r="G183" s="304"/>
      <c r="H183" s="304">
        <f t="shared" ca="1" si="20"/>
        <v>4.625</v>
      </c>
      <c r="I183" s="404">
        <f t="shared" ca="1" si="21"/>
        <v>0</v>
      </c>
      <c r="J183" s="404">
        <f>INDEX(Capacity!$I$15:$T$15,,MATCH(MONTH(A183),Capacity!$I$6:$T$6,0))</f>
        <v>0</v>
      </c>
      <c r="K183" s="404">
        <f>INDEX(Capacity!$I$17:$T$17,,MATCH(MONTH(A183),Capacity!$I$6:$T$6,0))</f>
        <v>0</v>
      </c>
      <c r="L183" s="404" t="str">
        <f t="shared" ca="1" si="22"/>
        <v>Y</v>
      </c>
      <c r="M183" s="309" t="str">
        <f t="shared" ca="1" si="23"/>
        <v>Y</v>
      </c>
      <c r="N183" s="323"/>
    </row>
    <row r="184" spans="1:14" x14ac:dyDescent="0.2">
      <c r="A184" s="409">
        <v>43636</v>
      </c>
      <c r="B184" s="304">
        <v>171</v>
      </c>
      <c r="C184" s="304">
        <f t="shared" ca="1" si="24"/>
        <v>0.125</v>
      </c>
      <c r="D184" s="304">
        <f t="shared" ca="1" si="24"/>
        <v>0.5</v>
      </c>
      <c r="E184" s="304">
        <f t="shared" ca="1" si="24"/>
        <v>2</v>
      </c>
      <c r="F184" s="304">
        <f t="shared" ca="1" si="24"/>
        <v>2</v>
      </c>
      <c r="G184" s="304"/>
      <c r="H184" s="304">
        <f t="shared" ca="1" si="20"/>
        <v>4.625</v>
      </c>
      <c r="I184" s="404">
        <f t="shared" ca="1" si="21"/>
        <v>0</v>
      </c>
      <c r="J184" s="404">
        <f>INDEX(Capacity!$I$15:$T$15,,MATCH(MONTH(A184),Capacity!$I$6:$T$6,0))</f>
        <v>0</v>
      </c>
      <c r="K184" s="404">
        <f>INDEX(Capacity!$I$17:$T$17,,MATCH(MONTH(A184),Capacity!$I$6:$T$6,0))</f>
        <v>0</v>
      </c>
      <c r="L184" s="404" t="str">
        <f t="shared" ca="1" si="22"/>
        <v>Y</v>
      </c>
      <c r="M184" s="309" t="str">
        <f t="shared" ca="1" si="23"/>
        <v>Y</v>
      </c>
      <c r="N184" s="323"/>
    </row>
    <row r="185" spans="1:14" x14ac:dyDescent="0.2">
      <c r="A185" s="409">
        <v>43637</v>
      </c>
      <c r="B185" s="304">
        <v>172</v>
      </c>
      <c r="C185" s="304">
        <f t="shared" ca="1" si="24"/>
        <v>0.125</v>
      </c>
      <c r="D185" s="304">
        <f t="shared" ca="1" si="24"/>
        <v>0.5</v>
      </c>
      <c r="E185" s="304">
        <f t="shared" ca="1" si="24"/>
        <v>2</v>
      </c>
      <c r="F185" s="304">
        <f t="shared" ca="1" si="24"/>
        <v>2</v>
      </c>
      <c r="G185" s="304"/>
      <c r="H185" s="304">
        <f t="shared" ca="1" si="20"/>
        <v>4.625</v>
      </c>
      <c r="I185" s="404">
        <f t="shared" ca="1" si="21"/>
        <v>0</v>
      </c>
      <c r="J185" s="404">
        <f>INDEX(Capacity!$I$15:$T$15,,MATCH(MONTH(A185),Capacity!$I$6:$T$6,0))</f>
        <v>0</v>
      </c>
      <c r="K185" s="404">
        <f>INDEX(Capacity!$I$17:$T$17,,MATCH(MONTH(A185),Capacity!$I$6:$T$6,0))</f>
        <v>0</v>
      </c>
      <c r="L185" s="404" t="str">
        <f t="shared" ca="1" si="22"/>
        <v>Y</v>
      </c>
      <c r="M185" s="309" t="str">
        <f t="shared" ca="1" si="23"/>
        <v>Y</v>
      </c>
      <c r="N185" s="323"/>
    </row>
    <row r="186" spans="1:14" x14ac:dyDescent="0.2">
      <c r="A186" s="409">
        <v>43638</v>
      </c>
      <c r="B186" s="304">
        <v>173</v>
      </c>
      <c r="C186" s="304">
        <f t="shared" ca="1" si="24"/>
        <v>0.125</v>
      </c>
      <c r="D186" s="304">
        <f t="shared" ca="1" si="24"/>
        <v>0.5</v>
      </c>
      <c r="E186" s="304">
        <f t="shared" ca="1" si="24"/>
        <v>2</v>
      </c>
      <c r="F186" s="304">
        <f t="shared" ca="1" si="24"/>
        <v>2</v>
      </c>
      <c r="G186" s="304"/>
      <c r="H186" s="304">
        <f t="shared" ca="1" si="20"/>
        <v>4.625</v>
      </c>
      <c r="I186" s="404">
        <f t="shared" ca="1" si="21"/>
        <v>0</v>
      </c>
      <c r="J186" s="404">
        <f>INDEX(Capacity!$I$15:$T$15,,MATCH(MONTH(A186),Capacity!$I$6:$T$6,0))</f>
        <v>0</v>
      </c>
      <c r="K186" s="404">
        <f>INDEX(Capacity!$I$17:$T$17,,MATCH(MONTH(A186),Capacity!$I$6:$T$6,0))</f>
        <v>0</v>
      </c>
      <c r="L186" s="404" t="str">
        <f t="shared" ca="1" si="22"/>
        <v>Y</v>
      </c>
      <c r="M186" s="309" t="str">
        <f t="shared" ca="1" si="23"/>
        <v>Y</v>
      </c>
      <c r="N186" s="323"/>
    </row>
    <row r="187" spans="1:14" x14ac:dyDescent="0.2">
      <c r="A187" s="409">
        <v>43639</v>
      </c>
      <c r="B187" s="304">
        <v>174</v>
      </c>
      <c r="C187" s="304">
        <f t="shared" ca="1" si="24"/>
        <v>0.125</v>
      </c>
      <c r="D187" s="304">
        <f t="shared" ca="1" si="24"/>
        <v>0.5</v>
      </c>
      <c r="E187" s="304">
        <f t="shared" ca="1" si="24"/>
        <v>2</v>
      </c>
      <c r="F187" s="304">
        <f t="shared" ca="1" si="24"/>
        <v>2</v>
      </c>
      <c r="G187" s="304"/>
      <c r="H187" s="304">
        <f t="shared" ca="1" si="20"/>
        <v>4.625</v>
      </c>
      <c r="I187" s="404">
        <f t="shared" ca="1" si="21"/>
        <v>0</v>
      </c>
      <c r="J187" s="404">
        <f>INDEX(Capacity!$I$15:$T$15,,MATCH(MONTH(A187),Capacity!$I$6:$T$6,0))</f>
        <v>0</v>
      </c>
      <c r="K187" s="404">
        <f>INDEX(Capacity!$I$17:$T$17,,MATCH(MONTH(A187),Capacity!$I$6:$T$6,0))</f>
        <v>0</v>
      </c>
      <c r="L187" s="404" t="str">
        <f t="shared" ca="1" si="22"/>
        <v>Y</v>
      </c>
      <c r="M187" s="309" t="str">
        <f t="shared" ca="1" si="23"/>
        <v>Y</v>
      </c>
      <c r="N187" s="323"/>
    </row>
    <row r="188" spans="1:14" x14ac:dyDescent="0.2">
      <c r="A188" s="409">
        <v>43640</v>
      </c>
      <c r="B188" s="304">
        <v>175</v>
      </c>
      <c r="C188" s="304">
        <f t="shared" ca="1" si="24"/>
        <v>0.125</v>
      </c>
      <c r="D188" s="304">
        <f t="shared" ca="1" si="24"/>
        <v>0.5</v>
      </c>
      <c r="E188" s="304">
        <f t="shared" ca="1" si="24"/>
        <v>2</v>
      </c>
      <c r="F188" s="304">
        <f t="shared" ca="1" si="24"/>
        <v>2</v>
      </c>
      <c r="G188" s="304"/>
      <c r="H188" s="304">
        <f t="shared" ca="1" si="20"/>
        <v>4.625</v>
      </c>
      <c r="I188" s="404">
        <f t="shared" ca="1" si="21"/>
        <v>0</v>
      </c>
      <c r="J188" s="404">
        <f>INDEX(Capacity!$I$15:$T$15,,MATCH(MONTH(A188),Capacity!$I$6:$T$6,0))</f>
        <v>0</v>
      </c>
      <c r="K188" s="404">
        <f>INDEX(Capacity!$I$17:$T$17,,MATCH(MONTH(A188),Capacity!$I$6:$T$6,0))</f>
        <v>0</v>
      </c>
      <c r="L188" s="404" t="str">
        <f t="shared" ca="1" si="22"/>
        <v>Y</v>
      </c>
      <c r="M188" s="309" t="str">
        <f t="shared" ca="1" si="23"/>
        <v>Y</v>
      </c>
      <c r="N188" s="323"/>
    </row>
    <row r="189" spans="1:14" x14ac:dyDescent="0.2">
      <c r="A189" s="409">
        <v>43641</v>
      </c>
      <c r="B189" s="304">
        <v>176</v>
      </c>
      <c r="C189" s="304">
        <f t="shared" ca="1" si="24"/>
        <v>0.125</v>
      </c>
      <c r="D189" s="304">
        <f t="shared" ca="1" si="24"/>
        <v>0.5</v>
      </c>
      <c r="E189" s="304">
        <f t="shared" ca="1" si="24"/>
        <v>2</v>
      </c>
      <c r="F189" s="304">
        <f t="shared" ca="1" si="24"/>
        <v>2</v>
      </c>
      <c r="G189" s="304"/>
      <c r="H189" s="304">
        <f t="shared" ca="1" si="20"/>
        <v>4.625</v>
      </c>
      <c r="I189" s="404">
        <f t="shared" ca="1" si="21"/>
        <v>0</v>
      </c>
      <c r="J189" s="404">
        <f>INDEX(Capacity!$I$15:$T$15,,MATCH(MONTH(A189),Capacity!$I$6:$T$6,0))</f>
        <v>0</v>
      </c>
      <c r="K189" s="404">
        <f>INDEX(Capacity!$I$17:$T$17,,MATCH(MONTH(A189),Capacity!$I$6:$T$6,0))</f>
        <v>0</v>
      </c>
      <c r="L189" s="404" t="str">
        <f t="shared" ca="1" si="22"/>
        <v>Y</v>
      </c>
      <c r="M189" s="309" t="str">
        <f t="shared" ca="1" si="23"/>
        <v>Y</v>
      </c>
      <c r="N189" s="323"/>
    </row>
    <row r="190" spans="1:14" x14ac:dyDescent="0.2">
      <c r="A190" s="409">
        <v>43642</v>
      </c>
      <c r="B190" s="304">
        <v>177</v>
      </c>
      <c r="C190" s="304">
        <f t="shared" ca="1" si="24"/>
        <v>0.125</v>
      </c>
      <c r="D190" s="304">
        <f t="shared" ca="1" si="24"/>
        <v>0.5</v>
      </c>
      <c r="E190" s="304">
        <f t="shared" ca="1" si="24"/>
        <v>2</v>
      </c>
      <c r="F190" s="304">
        <f t="shared" ca="1" si="24"/>
        <v>2</v>
      </c>
      <c r="G190" s="304"/>
      <c r="H190" s="304">
        <f t="shared" ca="1" si="20"/>
        <v>4.625</v>
      </c>
      <c r="I190" s="404">
        <f t="shared" ca="1" si="21"/>
        <v>0</v>
      </c>
      <c r="J190" s="404">
        <f>INDEX(Capacity!$I$15:$T$15,,MATCH(MONTH(A190),Capacity!$I$6:$T$6,0))</f>
        <v>0</v>
      </c>
      <c r="K190" s="404">
        <f>INDEX(Capacity!$I$17:$T$17,,MATCH(MONTH(A190),Capacity!$I$6:$T$6,0))</f>
        <v>0</v>
      </c>
      <c r="L190" s="404" t="str">
        <f t="shared" ca="1" si="22"/>
        <v>Y</v>
      </c>
      <c r="M190" s="309" t="str">
        <f t="shared" ca="1" si="23"/>
        <v>Y</v>
      </c>
      <c r="N190" s="323"/>
    </row>
    <row r="191" spans="1:14" x14ac:dyDescent="0.2">
      <c r="A191" s="409">
        <v>43643</v>
      </c>
      <c r="B191" s="304">
        <v>178</v>
      </c>
      <c r="C191" s="304">
        <f t="shared" ca="1" si="24"/>
        <v>0.125</v>
      </c>
      <c r="D191" s="304">
        <f t="shared" ca="1" si="24"/>
        <v>0.5</v>
      </c>
      <c r="E191" s="304">
        <f t="shared" ca="1" si="24"/>
        <v>2</v>
      </c>
      <c r="F191" s="304">
        <f t="shared" ca="1" si="24"/>
        <v>2</v>
      </c>
      <c r="G191" s="304"/>
      <c r="H191" s="304">
        <f t="shared" ca="1" si="20"/>
        <v>4.625</v>
      </c>
      <c r="I191" s="404">
        <f t="shared" ca="1" si="21"/>
        <v>0</v>
      </c>
      <c r="J191" s="404">
        <f>INDEX(Capacity!$I$15:$T$15,,MATCH(MONTH(A191),Capacity!$I$6:$T$6,0))</f>
        <v>0</v>
      </c>
      <c r="K191" s="404">
        <f>INDEX(Capacity!$I$17:$T$17,,MATCH(MONTH(A191),Capacity!$I$6:$T$6,0))</f>
        <v>0</v>
      </c>
      <c r="L191" s="404" t="str">
        <f t="shared" ca="1" si="22"/>
        <v>Y</v>
      </c>
      <c r="M191" s="309" t="str">
        <f t="shared" ca="1" si="23"/>
        <v>Y</v>
      </c>
      <c r="N191" s="323"/>
    </row>
    <row r="192" spans="1:14" x14ac:dyDescent="0.2">
      <c r="A192" s="409">
        <v>43644</v>
      </c>
      <c r="B192" s="304">
        <v>179</v>
      </c>
      <c r="C192" s="304">
        <f t="shared" ca="1" si="24"/>
        <v>0.125</v>
      </c>
      <c r="D192" s="304">
        <f t="shared" ca="1" si="24"/>
        <v>0.5</v>
      </c>
      <c r="E192" s="304">
        <f t="shared" ca="1" si="24"/>
        <v>2</v>
      </c>
      <c r="F192" s="304">
        <f t="shared" ca="1" si="24"/>
        <v>2</v>
      </c>
      <c r="G192" s="304"/>
      <c r="H192" s="304">
        <f t="shared" ca="1" si="20"/>
        <v>4.625</v>
      </c>
      <c r="I192" s="404">
        <f t="shared" ca="1" si="21"/>
        <v>0</v>
      </c>
      <c r="J192" s="404">
        <f>INDEX(Capacity!$I$15:$T$15,,MATCH(MONTH(A192),Capacity!$I$6:$T$6,0))</f>
        <v>0</v>
      </c>
      <c r="K192" s="404">
        <f>INDEX(Capacity!$I$17:$T$17,,MATCH(MONTH(A192),Capacity!$I$6:$T$6,0))</f>
        <v>0</v>
      </c>
      <c r="L192" s="404" t="str">
        <f t="shared" ca="1" si="22"/>
        <v>Y</v>
      </c>
      <c r="M192" s="309" t="str">
        <f t="shared" ca="1" si="23"/>
        <v>Y</v>
      </c>
      <c r="N192" s="323"/>
    </row>
    <row r="193" spans="1:14" x14ac:dyDescent="0.2">
      <c r="A193" s="409">
        <v>43645</v>
      </c>
      <c r="B193" s="304">
        <v>180</v>
      </c>
      <c r="C193" s="304">
        <f t="shared" ca="1" si="24"/>
        <v>0.125</v>
      </c>
      <c r="D193" s="304">
        <f t="shared" ca="1" si="24"/>
        <v>0.5</v>
      </c>
      <c r="E193" s="304">
        <f t="shared" ca="1" si="24"/>
        <v>2</v>
      </c>
      <c r="F193" s="304">
        <f t="shared" ca="1" si="24"/>
        <v>2</v>
      </c>
      <c r="G193" s="304"/>
      <c r="H193" s="304">
        <f t="shared" ca="1" si="20"/>
        <v>4.625</v>
      </c>
      <c r="I193" s="404">
        <f t="shared" ca="1" si="21"/>
        <v>0</v>
      </c>
      <c r="J193" s="404">
        <f>INDEX(Capacity!$I$15:$T$15,,MATCH(MONTH(A193),Capacity!$I$6:$T$6,0))</f>
        <v>0</v>
      </c>
      <c r="K193" s="404">
        <f>INDEX(Capacity!$I$17:$T$17,,MATCH(MONTH(A193),Capacity!$I$6:$T$6,0))</f>
        <v>0</v>
      </c>
      <c r="L193" s="404" t="str">
        <f t="shared" ca="1" si="22"/>
        <v>Y</v>
      </c>
      <c r="M193" s="309" t="str">
        <f t="shared" ca="1" si="23"/>
        <v>Y</v>
      </c>
      <c r="N193" s="323"/>
    </row>
    <row r="194" spans="1:14" x14ac:dyDescent="0.2">
      <c r="A194" s="409">
        <v>43646</v>
      </c>
      <c r="B194" s="304">
        <v>181</v>
      </c>
      <c r="C194" s="304">
        <f t="shared" ca="1" si="24"/>
        <v>0.125</v>
      </c>
      <c r="D194" s="304">
        <f t="shared" ca="1" si="24"/>
        <v>0.5</v>
      </c>
      <c r="E194" s="304">
        <f t="shared" ca="1" si="24"/>
        <v>2</v>
      </c>
      <c r="F194" s="304">
        <f t="shared" ca="1" si="24"/>
        <v>2</v>
      </c>
      <c r="G194" s="304"/>
      <c r="H194" s="304">
        <f t="shared" ca="1" si="20"/>
        <v>4.625</v>
      </c>
      <c r="I194" s="404">
        <f t="shared" ca="1" si="21"/>
        <v>0</v>
      </c>
      <c r="J194" s="404">
        <f>INDEX(Capacity!$I$15:$T$15,,MATCH(MONTH(A194),Capacity!$I$6:$T$6,0))</f>
        <v>0</v>
      </c>
      <c r="K194" s="404">
        <f>INDEX(Capacity!$I$17:$T$17,,MATCH(MONTH(A194),Capacity!$I$6:$T$6,0))</f>
        <v>0</v>
      </c>
      <c r="L194" s="404" t="str">
        <f t="shared" ca="1" si="22"/>
        <v>Y</v>
      </c>
      <c r="M194" s="309" t="str">
        <f t="shared" ca="1" si="23"/>
        <v>Y</v>
      </c>
      <c r="N194" s="323"/>
    </row>
    <row r="195" spans="1:14" x14ac:dyDescent="0.2">
      <c r="A195" s="409">
        <v>43647</v>
      </c>
      <c r="B195" s="304">
        <v>182</v>
      </c>
      <c r="C195" s="304">
        <f t="shared" ca="1" si="24"/>
        <v>0.125</v>
      </c>
      <c r="D195" s="304">
        <f t="shared" ca="1" si="24"/>
        <v>0.5</v>
      </c>
      <c r="E195" s="304">
        <f t="shared" ca="1" si="24"/>
        <v>2</v>
      </c>
      <c r="F195" s="304">
        <f t="shared" ca="1" si="24"/>
        <v>2</v>
      </c>
      <c r="G195" s="304"/>
      <c r="H195" s="304">
        <f t="shared" ca="1" si="20"/>
        <v>4.625</v>
      </c>
      <c r="I195" s="404">
        <f t="shared" ca="1" si="21"/>
        <v>0</v>
      </c>
      <c r="J195" s="404">
        <f>INDEX(Capacity!$I$15:$T$15,,MATCH(MONTH(A195),Capacity!$I$6:$T$6,0))</f>
        <v>0</v>
      </c>
      <c r="K195" s="404">
        <f>INDEX(Capacity!$I$17:$T$17,,MATCH(MONTH(A195),Capacity!$I$6:$T$6,0))</f>
        <v>0</v>
      </c>
      <c r="L195" s="404" t="str">
        <f t="shared" ca="1" si="22"/>
        <v>Y</v>
      </c>
      <c r="M195" s="309" t="str">
        <f t="shared" ca="1" si="23"/>
        <v>Y</v>
      </c>
      <c r="N195" s="323"/>
    </row>
    <row r="196" spans="1:14" x14ac:dyDescent="0.2">
      <c r="A196" s="38">
        <v>43648</v>
      </c>
      <c r="B196" s="39">
        <v>183</v>
      </c>
      <c r="C196" s="304">
        <f t="shared" ca="1" si="24"/>
        <v>0.125</v>
      </c>
      <c r="D196" s="304">
        <f t="shared" ca="1" si="24"/>
        <v>0.5</v>
      </c>
      <c r="E196" s="304">
        <f t="shared" ca="1" si="24"/>
        <v>2</v>
      </c>
      <c r="F196" s="304">
        <f t="shared" ca="1" si="24"/>
        <v>2</v>
      </c>
      <c r="G196" s="304"/>
      <c r="H196" s="304">
        <f t="shared" ca="1" si="20"/>
        <v>4.625</v>
      </c>
      <c r="I196" s="404">
        <f t="shared" ca="1" si="21"/>
        <v>0</v>
      </c>
      <c r="J196" s="404">
        <f>INDEX(Capacity!$I$15:$T$15,,MATCH(MONTH(A196),Capacity!$I$6:$T$6,0))</f>
        <v>0</v>
      </c>
      <c r="K196" s="404">
        <f>INDEX(Capacity!$I$17:$T$17,,MATCH(MONTH(A196),Capacity!$I$6:$T$6,0))</f>
        <v>0</v>
      </c>
      <c r="L196" s="404" t="str">
        <f t="shared" ca="1" si="22"/>
        <v>Y</v>
      </c>
      <c r="M196" s="309" t="str">
        <f t="shared" ca="1" si="23"/>
        <v>Y</v>
      </c>
      <c r="N196" s="323"/>
    </row>
    <row r="197" spans="1:14" x14ac:dyDescent="0.2">
      <c r="A197" s="409">
        <v>43649</v>
      </c>
      <c r="B197" s="304">
        <v>184</v>
      </c>
      <c r="C197" s="304">
        <f t="shared" ca="1" si="24"/>
        <v>0.125</v>
      </c>
      <c r="D197" s="304">
        <f t="shared" ca="1" si="24"/>
        <v>0.5</v>
      </c>
      <c r="E197" s="304">
        <f t="shared" ca="1" si="24"/>
        <v>2</v>
      </c>
      <c r="F197" s="304">
        <f t="shared" ca="1" si="24"/>
        <v>2</v>
      </c>
      <c r="G197" s="304"/>
      <c r="H197" s="304">
        <f t="shared" ca="1" si="20"/>
        <v>4.625</v>
      </c>
      <c r="I197" s="404">
        <f t="shared" ca="1" si="21"/>
        <v>0</v>
      </c>
      <c r="J197" s="404">
        <f>INDEX(Capacity!$I$15:$T$15,,MATCH(MONTH(A197),Capacity!$I$6:$T$6,0))</f>
        <v>0</v>
      </c>
      <c r="K197" s="404">
        <f>INDEX(Capacity!$I$17:$T$17,,MATCH(MONTH(A197),Capacity!$I$6:$T$6,0))</f>
        <v>0</v>
      </c>
      <c r="L197" s="404" t="str">
        <f t="shared" ca="1" si="22"/>
        <v>Y</v>
      </c>
      <c r="M197" s="309" t="str">
        <f t="shared" ca="1" si="23"/>
        <v>Y</v>
      </c>
      <c r="N197" s="323"/>
    </row>
    <row r="198" spans="1:14" x14ac:dyDescent="0.2">
      <c r="A198" s="409">
        <v>43650</v>
      </c>
      <c r="B198" s="304">
        <v>185</v>
      </c>
      <c r="C198" s="304">
        <f t="shared" ca="1" si="24"/>
        <v>0.125</v>
      </c>
      <c r="D198" s="304">
        <f t="shared" ca="1" si="24"/>
        <v>0.5</v>
      </c>
      <c r="E198" s="304">
        <f t="shared" ca="1" si="24"/>
        <v>2</v>
      </c>
      <c r="F198" s="304">
        <f t="shared" ca="1" si="24"/>
        <v>2</v>
      </c>
      <c r="G198" s="304"/>
      <c r="H198" s="304">
        <f t="shared" ca="1" si="20"/>
        <v>4.625</v>
      </c>
      <c r="I198" s="404">
        <f t="shared" ca="1" si="21"/>
        <v>0</v>
      </c>
      <c r="J198" s="404">
        <f>INDEX(Capacity!$I$15:$T$15,,MATCH(MONTH(A198),Capacity!$I$6:$T$6,0))</f>
        <v>0</v>
      </c>
      <c r="K198" s="404">
        <f>INDEX(Capacity!$I$17:$T$17,,MATCH(MONTH(A198),Capacity!$I$6:$T$6,0))</f>
        <v>0</v>
      </c>
      <c r="L198" s="404" t="str">
        <f t="shared" ca="1" si="22"/>
        <v>Y</v>
      </c>
      <c r="M198" s="309" t="str">
        <f t="shared" ca="1" si="23"/>
        <v>Y</v>
      </c>
      <c r="N198" s="323"/>
    </row>
    <row r="199" spans="1:14" x14ac:dyDescent="0.2">
      <c r="A199" s="409">
        <v>43651</v>
      </c>
      <c r="B199" s="304">
        <v>186</v>
      </c>
      <c r="C199" s="304">
        <f t="shared" ca="1" si="24"/>
        <v>0.125</v>
      </c>
      <c r="D199" s="304">
        <f t="shared" ca="1" si="24"/>
        <v>0.5</v>
      </c>
      <c r="E199" s="304">
        <f t="shared" ca="1" si="24"/>
        <v>2</v>
      </c>
      <c r="F199" s="304">
        <f t="shared" ca="1" si="24"/>
        <v>2</v>
      </c>
      <c r="G199" s="304"/>
      <c r="H199" s="304">
        <f t="shared" ca="1" si="20"/>
        <v>4.625</v>
      </c>
      <c r="I199" s="404">
        <f t="shared" ca="1" si="21"/>
        <v>0</v>
      </c>
      <c r="J199" s="404">
        <f>INDEX(Capacity!$I$15:$T$15,,MATCH(MONTH(A199),Capacity!$I$6:$T$6,0))</f>
        <v>0</v>
      </c>
      <c r="K199" s="404">
        <f>INDEX(Capacity!$I$17:$T$17,,MATCH(MONTH(A199),Capacity!$I$6:$T$6,0))</f>
        <v>0</v>
      </c>
      <c r="L199" s="404" t="str">
        <f t="shared" ca="1" si="22"/>
        <v>Y</v>
      </c>
      <c r="M199" s="309" t="str">
        <f t="shared" ca="1" si="23"/>
        <v>Y</v>
      </c>
      <c r="N199" s="323"/>
    </row>
    <row r="200" spans="1:14" x14ac:dyDescent="0.2">
      <c r="A200" s="409">
        <v>43652</v>
      </c>
      <c r="B200" s="304">
        <v>187</v>
      </c>
      <c r="C200" s="304">
        <f t="shared" ca="1" si="24"/>
        <v>0.125</v>
      </c>
      <c r="D200" s="304">
        <f t="shared" ca="1" si="24"/>
        <v>0.5</v>
      </c>
      <c r="E200" s="304">
        <f t="shared" ca="1" si="24"/>
        <v>2</v>
      </c>
      <c r="F200" s="304">
        <f t="shared" ca="1" si="24"/>
        <v>2</v>
      </c>
      <c r="G200" s="304"/>
      <c r="H200" s="304">
        <f t="shared" ca="1" si="20"/>
        <v>4.625</v>
      </c>
      <c r="I200" s="404">
        <f t="shared" ca="1" si="21"/>
        <v>0</v>
      </c>
      <c r="J200" s="404">
        <f>INDEX(Capacity!$I$15:$T$15,,MATCH(MONTH(A200),Capacity!$I$6:$T$6,0))</f>
        <v>0</v>
      </c>
      <c r="K200" s="404">
        <f>INDEX(Capacity!$I$17:$T$17,,MATCH(MONTH(A200),Capacity!$I$6:$T$6,0))</f>
        <v>0</v>
      </c>
      <c r="L200" s="404" t="str">
        <f t="shared" ca="1" si="22"/>
        <v>Y</v>
      </c>
      <c r="M200" s="309" t="str">
        <f t="shared" ca="1" si="23"/>
        <v>Y</v>
      </c>
      <c r="N200" s="323"/>
    </row>
    <row r="201" spans="1:14" x14ac:dyDescent="0.2">
      <c r="A201" s="409">
        <v>43653</v>
      </c>
      <c r="B201" s="304">
        <v>188</v>
      </c>
      <c r="C201" s="304">
        <f t="shared" ca="1" si="24"/>
        <v>0.125</v>
      </c>
      <c r="D201" s="304">
        <f t="shared" ca="1" si="24"/>
        <v>0.5</v>
      </c>
      <c r="E201" s="304">
        <f t="shared" ca="1" si="24"/>
        <v>2</v>
      </c>
      <c r="F201" s="304">
        <f t="shared" ca="1" si="24"/>
        <v>2</v>
      </c>
      <c r="G201" s="304"/>
      <c r="H201" s="304">
        <f t="shared" ca="1" si="20"/>
        <v>4.625</v>
      </c>
      <c r="I201" s="404">
        <f t="shared" ca="1" si="21"/>
        <v>0</v>
      </c>
      <c r="J201" s="404">
        <f>INDEX(Capacity!$I$15:$T$15,,MATCH(MONTH(A201),Capacity!$I$6:$T$6,0))</f>
        <v>0</v>
      </c>
      <c r="K201" s="404">
        <f>INDEX(Capacity!$I$17:$T$17,,MATCH(MONTH(A201),Capacity!$I$6:$T$6,0))</f>
        <v>0</v>
      </c>
      <c r="L201" s="404" t="str">
        <f t="shared" ca="1" si="22"/>
        <v>Y</v>
      </c>
      <c r="M201" s="309" t="str">
        <f t="shared" ca="1" si="23"/>
        <v>Y</v>
      </c>
      <c r="N201" s="323"/>
    </row>
    <row r="202" spans="1:14" x14ac:dyDescent="0.2">
      <c r="A202" s="409">
        <v>43654</v>
      </c>
      <c r="B202" s="304">
        <v>189</v>
      </c>
      <c r="C202" s="304">
        <f t="shared" ca="1" si="24"/>
        <v>0.125</v>
      </c>
      <c r="D202" s="304">
        <f t="shared" ca="1" si="24"/>
        <v>0.5</v>
      </c>
      <c r="E202" s="304">
        <f t="shared" ca="1" si="24"/>
        <v>2</v>
      </c>
      <c r="F202" s="304">
        <f t="shared" ca="1" si="24"/>
        <v>2</v>
      </c>
      <c r="G202" s="304"/>
      <c r="H202" s="304">
        <f t="shared" ca="1" si="20"/>
        <v>4.625</v>
      </c>
      <c r="I202" s="404">
        <f t="shared" ca="1" si="21"/>
        <v>0</v>
      </c>
      <c r="J202" s="404">
        <f>INDEX(Capacity!$I$15:$T$15,,MATCH(MONTH(A202),Capacity!$I$6:$T$6,0))</f>
        <v>0</v>
      </c>
      <c r="K202" s="404">
        <f>INDEX(Capacity!$I$17:$T$17,,MATCH(MONTH(A202),Capacity!$I$6:$T$6,0))</f>
        <v>0</v>
      </c>
      <c r="L202" s="404" t="str">
        <f t="shared" ca="1" si="22"/>
        <v>Y</v>
      </c>
      <c r="M202" s="309" t="str">
        <f t="shared" ca="1" si="23"/>
        <v>Y</v>
      </c>
      <c r="N202" s="323"/>
    </row>
    <row r="203" spans="1:14" x14ac:dyDescent="0.2">
      <c r="A203" s="409">
        <v>43655</v>
      </c>
      <c r="B203" s="304">
        <v>190</v>
      </c>
      <c r="C203" s="304">
        <f t="shared" ca="1" si="24"/>
        <v>0.125</v>
      </c>
      <c r="D203" s="304">
        <f t="shared" ca="1" si="24"/>
        <v>0.5</v>
      </c>
      <c r="E203" s="304">
        <f t="shared" ca="1" si="24"/>
        <v>2</v>
      </c>
      <c r="F203" s="304">
        <f t="shared" ca="1" si="24"/>
        <v>2</v>
      </c>
      <c r="G203" s="304"/>
      <c r="H203" s="304">
        <f t="shared" ca="1" si="20"/>
        <v>4.625</v>
      </c>
      <c r="I203" s="404">
        <f t="shared" ca="1" si="21"/>
        <v>0</v>
      </c>
      <c r="J203" s="404">
        <f>INDEX(Capacity!$I$15:$T$15,,MATCH(MONTH(A203),Capacity!$I$6:$T$6,0))</f>
        <v>0</v>
      </c>
      <c r="K203" s="404">
        <f>INDEX(Capacity!$I$17:$T$17,,MATCH(MONTH(A203),Capacity!$I$6:$T$6,0))</f>
        <v>0</v>
      </c>
      <c r="L203" s="404" t="str">
        <f t="shared" ca="1" si="22"/>
        <v>Y</v>
      </c>
      <c r="M203" s="309" t="str">
        <f t="shared" ca="1" si="23"/>
        <v>Y</v>
      </c>
      <c r="N203" s="323"/>
    </row>
    <row r="204" spans="1:14" x14ac:dyDescent="0.2">
      <c r="A204" s="409">
        <v>43656</v>
      </c>
      <c r="B204" s="304">
        <v>191</v>
      </c>
      <c r="C204" s="304">
        <f t="shared" ca="1" si="24"/>
        <v>0.125</v>
      </c>
      <c r="D204" s="304">
        <f t="shared" ca="1" si="24"/>
        <v>0.5</v>
      </c>
      <c r="E204" s="304">
        <f t="shared" ca="1" si="24"/>
        <v>2</v>
      </c>
      <c r="F204" s="304">
        <f t="shared" ca="1" si="24"/>
        <v>2</v>
      </c>
      <c r="G204" s="304"/>
      <c r="H204" s="304">
        <f t="shared" ca="1" si="20"/>
        <v>4.625</v>
      </c>
      <c r="I204" s="404">
        <f t="shared" ca="1" si="21"/>
        <v>0</v>
      </c>
      <c r="J204" s="404">
        <f>INDEX(Capacity!$I$15:$T$15,,MATCH(MONTH(A204),Capacity!$I$6:$T$6,0))</f>
        <v>0</v>
      </c>
      <c r="K204" s="404">
        <f>INDEX(Capacity!$I$17:$T$17,,MATCH(MONTH(A204),Capacity!$I$6:$T$6,0))</f>
        <v>0</v>
      </c>
      <c r="L204" s="404" t="str">
        <f t="shared" ca="1" si="22"/>
        <v>Y</v>
      </c>
      <c r="M204" s="309" t="str">
        <f t="shared" ca="1" si="23"/>
        <v>Y</v>
      </c>
      <c r="N204" s="323"/>
    </row>
    <row r="205" spans="1:14" x14ac:dyDescent="0.2">
      <c r="A205" s="409">
        <v>43657</v>
      </c>
      <c r="B205" s="304">
        <v>192</v>
      </c>
      <c r="C205" s="304">
        <f t="shared" ca="1" si="24"/>
        <v>0.125</v>
      </c>
      <c r="D205" s="304">
        <f t="shared" ca="1" si="24"/>
        <v>0.5</v>
      </c>
      <c r="E205" s="304">
        <f t="shared" ca="1" si="24"/>
        <v>2</v>
      </c>
      <c r="F205" s="304">
        <f t="shared" ca="1" si="24"/>
        <v>2</v>
      </c>
      <c r="G205" s="304"/>
      <c r="H205" s="304">
        <f t="shared" ca="1" si="20"/>
        <v>4.625</v>
      </c>
      <c r="I205" s="404">
        <f t="shared" ca="1" si="21"/>
        <v>0</v>
      </c>
      <c r="J205" s="404">
        <f>INDEX(Capacity!$I$15:$T$15,,MATCH(MONTH(A205),Capacity!$I$6:$T$6,0))</f>
        <v>0</v>
      </c>
      <c r="K205" s="404">
        <f>INDEX(Capacity!$I$17:$T$17,,MATCH(MONTH(A205),Capacity!$I$6:$T$6,0))</f>
        <v>0</v>
      </c>
      <c r="L205" s="404" t="str">
        <f t="shared" ca="1" si="22"/>
        <v>Y</v>
      </c>
      <c r="M205" s="309" t="str">
        <f t="shared" ca="1" si="23"/>
        <v>Y</v>
      </c>
      <c r="N205" s="323"/>
    </row>
    <row r="206" spans="1:14" x14ac:dyDescent="0.2">
      <c r="A206" s="409">
        <v>43658</v>
      </c>
      <c r="B206" s="304">
        <v>193</v>
      </c>
      <c r="C206" s="304">
        <f t="shared" ca="1" si="24"/>
        <v>0.125</v>
      </c>
      <c r="D206" s="304">
        <f t="shared" ca="1" si="24"/>
        <v>0.5</v>
      </c>
      <c r="E206" s="304">
        <f t="shared" ca="1" si="24"/>
        <v>2</v>
      </c>
      <c r="F206" s="304">
        <f t="shared" ca="1" si="24"/>
        <v>2</v>
      </c>
      <c r="G206" s="304"/>
      <c r="H206" s="304">
        <f t="shared" ref="H206:H269" ca="1" si="25">SUM(C206:G206)</f>
        <v>4.625</v>
      </c>
      <c r="I206" s="404">
        <f t="shared" ref="I206:I269" ca="1" si="26">SUMPRODUCT($C$8:$G$8,$C$7:$G$7,C206:G206)</f>
        <v>0</v>
      </c>
      <c r="J206" s="404">
        <f>INDEX(Capacity!$I$15:$T$15,,MATCH(MONTH(A206),Capacity!$I$6:$T$6,0))</f>
        <v>0</v>
      </c>
      <c r="K206" s="404">
        <f>INDEX(Capacity!$I$17:$T$17,,MATCH(MONTH(A206),Capacity!$I$6:$T$6,0))</f>
        <v>0</v>
      </c>
      <c r="L206" s="404" t="str">
        <f t="shared" ca="1" si="22"/>
        <v>Y</v>
      </c>
      <c r="M206" s="309" t="str">
        <f t="shared" ca="1" si="23"/>
        <v>Y</v>
      </c>
      <c r="N206" s="323"/>
    </row>
    <row r="207" spans="1:14" x14ac:dyDescent="0.2">
      <c r="A207" s="409">
        <v>43659</v>
      </c>
      <c r="B207" s="304">
        <v>194</v>
      </c>
      <c r="C207" s="304">
        <f t="shared" ca="1" si="24"/>
        <v>0.125</v>
      </c>
      <c r="D207" s="304">
        <f t="shared" ca="1" si="24"/>
        <v>0.5</v>
      </c>
      <c r="E207" s="304">
        <f t="shared" ca="1" si="24"/>
        <v>2</v>
      </c>
      <c r="F207" s="304">
        <f t="shared" ca="1" si="24"/>
        <v>2</v>
      </c>
      <c r="G207" s="304"/>
      <c r="H207" s="304">
        <f t="shared" ca="1" si="25"/>
        <v>4.625</v>
      </c>
      <c r="I207" s="404">
        <f t="shared" ca="1" si="26"/>
        <v>0</v>
      </c>
      <c r="J207" s="404">
        <f>INDEX(Capacity!$I$15:$T$15,,MATCH(MONTH(A207),Capacity!$I$6:$T$6,0))</f>
        <v>0</v>
      </c>
      <c r="K207" s="404">
        <f>INDEX(Capacity!$I$17:$T$17,,MATCH(MONTH(A207),Capacity!$I$6:$T$6,0))</f>
        <v>0</v>
      </c>
      <c r="L207" s="404" t="str">
        <f t="shared" ref="L207:L270" ca="1" si="27">IF(I207&lt;=J207,"Y","N")</f>
        <v>Y</v>
      </c>
      <c r="M207" s="309" t="str">
        <f t="shared" ref="M207:M270" ca="1" si="28">IF(I207&lt;=K207,"Y","N")</f>
        <v>Y</v>
      </c>
      <c r="N207" s="323"/>
    </row>
    <row r="208" spans="1:14" x14ac:dyDescent="0.2">
      <c r="A208" s="409">
        <v>43660</v>
      </c>
      <c r="B208" s="304">
        <v>195</v>
      </c>
      <c r="C208" s="304">
        <f t="shared" ca="1" si="24"/>
        <v>0.125</v>
      </c>
      <c r="D208" s="304">
        <f t="shared" ca="1" si="24"/>
        <v>0.5</v>
      </c>
      <c r="E208" s="304">
        <f t="shared" ca="1" si="24"/>
        <v>2</v>
      </c>
      <c r="F208" s="304">
        <f t="shared" ca="1" si="24"/>
        <v>2</v>
      </c>
      <c r="G208" s="304"/>
      <c r="H208" s="304">
        <f t="shared" ca="1" si="25"/>
        <v>4.625</v>
      </c>
      <c r="I208" s="404">
        <f t="shared" ca="1" si="26"/>
        <v>0</v>
      </c>
      <c r="J208" s="404">
        <f>INDEX(Capacity!$I$15:$T$15,,MATCH(MONTH(A208),Capacity!$I$6:$T$6,0))</f>
        <v>0</v>
      </c>
      <c r="K208" s="404">
        <f>INDEX(Capacity!$I$17:$T$17,,MATCH(MONTH(A208),Capacity!$I$6:$T$6,0))</f>
        <v>0</v>
      </c>
      <c r="L208" s="404" t="str">
        <f t="shared" ca="1" si="27"/>
        <v>Y</v>
      </c>
      <c r="M208" s="309" t="str">
        <f t="shared" ca="1" si="28"/>
        <v>Y</v>
      </c>
      <c r="N208" s="323"/>
    </row>
    <row r="209" spans="1:14" x14ac:dyDescent="0.2">
      <c r="A209" s="409">
        <v>43661</v>
      </c>
      <c r="B209" s="304">
        <v>196</v>
      </c>
      <c r="C209" s="304">
        <f t="shared" ca="1" si="24"/>
        <v>0.125</v>
      </c>
      <c r="D209" s="304">
        <f t="shared" ca="1" si="24"/>
        <v>0.5</v>
      </c>
      <c r="E209" s="304">
        <f t="shared" ca="1" si="24"/>
        <v>2</v>
      </c>
      <c r="F209" s="304">
        <f t="shared" ca="1" si="24"/>
        <v>2</v>
      </c>
      <c r="G209" s="304"/>
      <c r="H209" s="304">
        <f t="shared" ca="1" si="25"/>
        <v>4.625</v>
      </c>
      <c r="I209" s="404">
        <f t="shared" ca="1" si="26"/>
        <v>0</v>
      </c>
      <c r="J209" s="404">
        <f>INDEX(Capacity!$I$15:$T$15,,MATCH(MONTH(A209),Capacity!$I$6:$T$6,0))</f>
        <v>0</v>
      </c>
      <c r="K209" s="404">
        <f>INDEX(Capacity!$I$17:$T$17,,MATCH(MONTH(A209),Capacity!$I$6:$T$6,0))</f>
        <v>0</v>
      </c>
      <c r="L209" s="404" t="str">
        <f t="shared" ca="1" si="27"/>
        <v>Y</v>
      </c>
      <c r="M209" s="309" t="str">
        <f t="shared" ca="1" si="28"/>
        <v>Y</v>
      </c>
      <c r="N209" s="323"/>
    </row>
    <row r="210" spans="1:14" x14ac:dyDescent="0.2">
      <c r="A210" s="409">
        <v>43662</v>
      </c>
      <c r="B210" s="304">
        <v>197</v>
      </c>
      <c r="C210" s="304">
        <f t="shared" ca="1" si="24"/>
        <v>0.125</v>
      </c>
      <c r="D210" s="304">
        <f t="shared" ca="1" si="24"/>
        <v>0.5</v>
      </c>
      <c r="E210" s="304">
        <f t="shared" ca="1" si="24"/>
        <v>2</v>
      </c>
      <c r="F210" s="304">
        <f t="shared" ca="1" si="24"/>
        <v>2</v>
      </c>
      <c r="G210" s="304"/>
      <c r="H210" s="304">
        <f t="shared" ca="1" si="25"/>
        <v>4.625</v>
      </c>
      <c r="I210" s="404">
        <f t="shared" ca="1" si="26"/>
        <v>0</v>
      </c>
      <c r="J210" s="404">
        <f>INDEX(Capacity!$I$15:$T$15,,MATCH(MONTH(A210),Capacity!$I$6:$T$6,0))</f>
        <v>0</v>
      </c>
      <c r="K210" s="404">
        <f>INDEX(Capacity!$I$17:$T$17,,MATCH(MONTH(A210),Capacity!$I$6:$T$6,0))</f>
        <v>0</v>
      </c>
      <c r="L210" s="404" t="str">
        <f t="shared" ca="1" si="27"/>
        <v>Y</v>
      </c>
      <c r="M210" s="309" t="str">
        <f t="shared" ca="1" si="28"/>
        <v>Y</v>
      </c>
      <c r="N210" s="323"/>
    </row>
    <row r="211" spans="1:14" x14ac:dyDescent="0.2">
      <c r="A211" s="409">
        <v>43663</v>
      </c>
      <c r="B211" s="304">
        <v>198</v>
      </c>
      <c r="C211" s="304">
        <f t="shared" ca="1" si="24"/>
        <v>0.125</v>
      </c>
      <c r="D211" s="304">
        <f t="shared" ca="1" si="24"/>
        <v>0.5</v>
      </c>
      <c r="E211" s="304">
        <f t="shared" ca="1" si="24"/>
        <v>2</v>
      </c>
      <c r="F211" s="304">
        <f t="shared" ca="1" si="24"/>
        <v>2</v>
      </c>
      <c r="G211" s="304"/>
      <c r="H211" s="304">
        <f t="shared" ca="1" si="25"/>
        <v>4.625</v>
      </c>
      <c r="I211" s="404">
        <f t="shared" ca="1" si="26"/>
        <v>0</v>
      </c>
      <c r="J211" s="404">
        <f>INDEX(Capacity!$I$15:$T$15,,MATCH(MONTH(A211),Capacity!$I$6:$T$6,0))</f>
        <v>0</v>
      </c>
      <c r="K211" s="404">
        <f>INDEX(Capacity!$I$17:$T$17,,MATCH(MONTH(A211),Capacity!$I$6:$T$6,0))</f>
        <v>0</v>
      </c>
      <c r="L211" s="404" t="str">
        <f t="shared" ca="1" si="27"/>
        <v>Y</v>
      </c>
      <c r="M211" s="309" t="str">
        <f t="shared" ca="1" si="28"/>
        <v>Y</v>
      </c>
      <c r="N211" s="323"/>
    </row>
    <row r="212" spans="1:14" x14ac:dyDescent="0.2">
      <c r="A212" s="409">
        <v>43664</v>
      </c>
      <c r="B212" s="304">
        <v>199</v>
      </c>
      <c r="C212" s="304">
        <f t="shared" ref="C212:F243" ca="1" si="29">IFERROR(IF(C$9=365,1/C$6,IF(C$12="",IF(C$11&gt;=C$10,IF(AND($B212&gt;=C$10+C$6, $B212&lt;=C$11),1/C$6,0),IF(OR($B212&gt;=C$10+C$6, $B212&lt;=C$11),1/C$6,0)),IF(OR(C$11&gt;=C$10,C$13&gt;=C$12),IF(OR(AND($B212&gt;=C$10+C$6, $B212&lt;=C$11),AND($B212&gt;=C$12+C$6, $B212&lt;=C$13)),1/C$6,0),IF(OR($B212&gt;=C$10+C$6, $B212&lt;=C$11,$B212&gt;=C$12+C$6, $B212&lt;=C$13),1/C$6,0)))),"Unknown; user input required")</f>
        <v>0.125</v>
      </c>
      <c r="D212" s="304">
        <f t="shared" ca="1" si="29"/>
        <v>0.5</v>
      </c>
      <c r="E212" s="304">
        <f t="shared" ca="1" si="29"/>
        <v>2</v>
      </c>
      <c r="F212" s="304">
        <f t="shared" ca="1" si="29"/>
        <v>2</v>
      </c>
      <c r="G212" s="304"/>
      <c r="H212" s="304">
        <f t="shared" ca="1" si="25"/>
        <v>4.625</v>
      </c>
      <c r="I212" s="404">
        <f t="shared" ca="1" si="26"/>
        <v>0</v>
      </c>
      <c r="J212" s="404">
        <f>INDEX(Capacity!$I$15:$T$15,,MATCH(MONTH(A212),Capacity!$I$6:$T$6,0))</f>
        <v>0</v>
      </c>
      <c r="K212" s="404">
        <f>INDEX(Capacity!$I$17:$T$17,,MATCH(MONTH(A212),Capacity!$I$6:$T$6,0))</f>
        <v>0</v>
      </c>
      <c r="L212" s="404" t="str">
        <f t="shared" ca="1" si="27"/>
        <v>Y</v>
      </c>
      <c r="M212" s="309" t="str">
        <f t="shared" ca="1" si="28"/>
        <v>Y</v>
      </c>
      <c r="N212" s="323"/>
    </row>
    <row r="213" spans="1:14" x14ac:dyDescent="0.2">
      <c r="A213" s="409">
        <v>43665</v>
      </c>
      <c r="B213" s="304">
        <v>200</v>
      </c>
      <c r="C213" s="304">
        <f t="shared" ca="1" si="29"/>
        <v>0.125</v>
      </c>
      <c r="D213" s="304">
        <f t="shared" ca="1" si="29"/>
        <v>0.5</v>
      </c>
      <c r="E213" s="304">
        <f t="shared" ca="1" si="29"/>
        <v>2</v>
      </c>
      <c r="F213" s="304">
        <f t="shared" ca="1" si="29"/>
        <v>2</v>
      </c>
      <c r="G213" s="304"/>
      <c r="H213" s="304">
        <f t="shared" ca="1" si="25"/>
        <v>4.625</v>
      </c>
      <c r="I213" s="404">
        <f t="shared" ca="1" si="26"/>
        <v>0</v>
      </c>
      <c r="J213" s="404">
        <f>INDEX(Capacity!$I$15:$T$15,,MATCH(MONTH(A213),Capacity!$I$6:$T$6,0))</f>
        <v>0</v>
      </c>
      <c r="K213" s="404">
        <f>INDEX(Capacity!$I$17:$T$17,,MATCH(MONTH(A213),Capacity!$I$6:$T$6,0))</f>
        <v>0</v>
      </c>
      <c r="L213" s="404" t="str">
        <f t="shared" ca="1" si="27"/>
        <v>Y</v>
      </c>
      <c r="M213" s="309" t="str">
        <f t="shared" ca="1" si="28"/>
        <v>Y</v>
      </c>
      <c r="N213" s="323"/>
    </row>
    <row r="214" spans="1:14" x14ac:dyDescent="0.2">
      <c r="A214" s="409">
        <v>43666</v>
      </c>
      <c r="B214" s="304">
        <v>201</v>
      </c>
      <c r="C214" s="304">
        <f t="shared" ca="1" si="29"/>
        <v>0.125</v>
      </c>
      <c r="D214" s="304">
        <f t="shared" ca="1" si="29"/>
        <v>0.5</v>
      </c>
      <c r="E214" s="304">
        <f t="shared" ca="1" si="29"/>
        <v>2</v>
      </c>
      <c r="F214" s="304">
        <f t="shared" ca="1" si="29"/>
        <v>2</v>
      </c>
      <c r="G214" s="304"/>
      <c r="H214" s="304">
        <f t="shared" ca="1" si="25"/>
        <v>4.625</v>
      </c>
      <c r="I214" s="404">
        <f t="shared" ca="1" si="26"/>
        <v>0</v>
      </c>
      <c r="J214" s="404">
        <f>INDEX(Capacity!$I$15:$T$15,,MATCH(MONTH(A214),Capacity!$I$6:$T$6,0))</f>
        <v>0</v>
      </c>
      <c r="K214" s="404">
        <f>INDEX(Capacity!$I$17:$T$17,,MATCH(MONTH(A214),Capacity!$I$6:$T$6,0))</f>
        <v>0</v>
      </c>
      <c r="L214" s="404" t="str">
        <f t="shared" ca="1" si="27"/>
        <v>Y</v>
      </c>
      <c r="M214" s="309" t="str">
        <f t="shared" ca="1" si="28"/>
        <v>Y</v>
      </c>
      <c r="N214" s="323"/>
    </row>
    <row r="215" spans="1:14" x14ac:dyDescent="0.2">
      <c r="A215" s="409">
        <v>43667</v>
      </c>
      <c r="B215" s="304">
        <v>202</v>
      </c>
      <c r="C215" s="304">
        <f t="shared" ca="1" si="29"/>
        <v>0.125</v>
      </c>
      <c r="D215" s="304">
        <f t="shared" ca="1" si="29"/>
        <v>0.5</v>
      </c>
      <c r="E215" s="304">
        <f t="shared" ca="1" si="29"/>
        <v>2</v>
      </c>
      <c r="F215" s="304">
        <f t="shared" ca="1" si="29"/>
        <v>2</v>
      </c>
      <c r="G215" s="304"/>
      <c r="H215" s="304">
        <f t="shared" ca="1" si="25"/>
        <v>4.625</v>
      </c>
      <c r="I215" s="404">
        <f t="shared" ca="1" si="26"/>
        <v>0</v>
      </c>
      <c r="J215" s="404">
        <f>INDEX(Capacity!$I$15:$T$15,,MATCH(MONTH(A215),Capacity!$I$6:$T$6,0))</f>
        <v>0</v>
      </c>
      <c r="K215" s="404">
        <f>INDEX(Capacity!$I$17:$T$17,,MATCH(MONTH(A215),Capacity!$I$6:$T$6,0))</f>
        <v>0</v>
      </c>
      <c r="L215" s="404" t="str">
        <f t="shared" ca="1" si="27"/>
        <v>Y</v>
      </c>
      <c r="M215" s="309" t="str">
        <f t="shared" ca="1" si="28"/>
        <v>Y</v>
      </c>
      <c r="N215" s="323"/>
    </row>
    <row r="216" spans="1:14" x14ac:dyDescent="0.2">
      <c r="A216" s="409">
        <v>43668</v>
      </c>
      <c r="B216" s="304">
        <v>203</v>
      </c>
      <c r="C216" s="304">
        <f t="shared" ca="1" si="29"/>
        <v>0.125</v>
      </c>
      <c r="D216" s="304">
        <f t="shared" ca="1" si="29"/>
        <v>0.5</v>
      </c>
      <c r="E216" s="304">
        <f t="shared" ca="1" si="29"/>
        <v>2</v>
      </c>
      <c r="F216" s="304">
        <f t="shared" ca="1" si="29"/>
        <v>2</v>
      </c>
      <c r="G216" s="304"/>
      <c r="H216" s="304">
        <f t="shared" ca="1" si="25"/>
        <v>4.625</v>
      </c>
      <c r="I216" s="404">
        <f t="shared" ca="1" si="26"/>
        <v>0</v>
      </c>
      <c r="J216" s="404">
        <f>INDEX(Capacity!$I$15:$T$15,,MATCH(MONTH(A216),Capacity!$I$6:$T$6,0))</f>
        <v>0</v>
      </c>
      <c r="K216" s="404">
        <f>INDEX(Capacity!$I$17:$T$17,,MATCH(MONTH(A216),Capacity!$I$6:$T$6,0))</f>
        <v>0</v>
      </c>
      <c r="L216" s="404" t="str">
        <f t="shared" ca="1" si="27"/>
        <v>Y</v>
      </c>
      <c r="M216" s="309" t="str">
        <f t="shared" ca="1" si="28"/>
        <v>Y</v>
      </c>
      <c r="N216" s="323"/>
    </row>
    <row r="217" spans="1:14" x14ac:dyDescent="0.2">
      <c r="A217" s="409">
        <v>43669</v>
      </c>
      <c r="B217" s="304">
        <v>204</v>
      </c>
      <c r="C217" s="304">
        <f t="shared" ca="1" si="29"/>
        <v>0.125</v>
      </c>
      <c r="D217" s="304">
        <f t="shared" ca="1" si="29"/>
        <v>0.5</v>
      </c>
      <c r="E217" s="304">
        <f t="shared" ca="1" si="29"/>
        <v>2</v>
      </c>
      <c r="F217" s="304">
        <f t="shared" ca="1" si="29"/>
        <v>2</v>
      </c>
      <c r="G217" s="304"/>
      <c r="H217" s="304">
        <f t="shared" ca="1" si="25"/>
        <v>4.625</v>
      </c>
      <c r="I217" s="404">
        <f t="shared" ca="1" si="26"/>
        <v>0</v>
      </c>
      <c r="J217" s="404">
        <f>INDEX(Capacity!$I$15:$T$15,,MATCH(MONTH(A217),Capacity!$I$6:$T$6,0))</f>
        <v>0</v>
      </c>
      <c r="K217" s="404">
        <f>INDEX(Capacity!$I$17:$T$17,,MATCH(MONTH(A217),Capacity!$I$6:$T$6,0))</f>
        <v>0</v>
      </c>
      <c r="L217" s="404" t="str">
        <f t="shared" ca="1" si="27"/>
        <v>Y</v>
      </c>
      <c r="M217" s="309" t="str">
        <f t="shared" ca="1" si="28"/>
        <v>Y</v>
      </c>
      <c r="N217" s="323"/>
    </row>
    <row r="218" spans="1:14" x14ac:dyDescent="0.2">
      <c r="A218" s="409">
        <v>43670</v>
      </c>
      <c r="B218" s="304">
        <v>205</v>
      </c>
      <c r="C218" s="304">
        <f t="shared" ca="1" si="29"/>
        <v>0.125</v>
      </c>
      <c r="D218" s="304">
        <f t="shared" ca="1" si="29"/>
        <v>0.5</v>
      </c>
      <c r="E218" s="304">
        <f t="shared" ca="1" si="29"/>
        <v>2</v>
      </c>
      <c r="F218" s="304">
        <f t="shared" ca="1" si="29"/>
        <v>2</v>
      </c>
      <c r="G218" s="304"/>
      <c r="H218" s="304">
        <f t="shared" ca="1" si="25"/>
        <v>4.625</v>
      </c>
      <c r="I218" s="404">
        <f t="shared" ca="1" si="26"/>
        <v>0</v>
      </c>
      <c r="J218" s="404">
        <f>INDEX(Capacity!$I$15:$T$15,,MATCH(MONTH(A218),Capacity!$I$6:$T$6,0))</f>
        <v>0</v>
      </c>
      <c r="K218" s="404">
        <f>INDEX(Capacity!$I$17:$T$17,,MATCH(MONTH(A218),Capacity!$I$6:$T$6,0))</f>
        <v>0</v>
      </c>
      <c r="L218" s="404" t="str">
        <f t="shared" ca="1" si="27"/>
        <v>Y</v>
      </c>
      <c r="M218" s="309" t="str">
        <f t="shared" ca="1" si="28"/>
        <v>Y</v>
      </c>
      <c r="N218" s="323"/>
    </row>
    <row r="219" spans="1:14" x14ac:dyDescent="0.2">
      <c r="A219" s="409">
        <v>43671</v>
      </c>
      <c r="B219" s="304">
        <v>206</v>
      </c>
      <c r="C219" s="304">
        <f t="shared" ca="1" si="29"/>
        <v>0.125</v>
      </c>
      <c r="D219" s="304">
        <f t="shared" ca="1" si="29"/>
        <v>0.5</v>
      </c>
      <c r="E219" s="304">
        <f t="shared" ca="1" si="29"/>
        <v>2</v>
      </c>
      <c r="F219" s="304">
        <f t="shared" ca="1" si="29"/>
        <v>2</v>
      </c>
      <c r="G219" s="304"/>
      <c r="H219" s="304">
        <f t="shared" ca="1" si="25"/>
        <v>4.625</v>
      </c>
      <c r="I219" s="404">
        <f t="shared" ca="1" si="26"/>
        <v>0</v>
      </c>
      <c r="J219" s="404">
        <f>INDEX(Capacity!$I$15:$T$15,,MATCH(MONTH(A219),Capacity!$I$6:$T$6,0))</f>
        <v>0</v>
      </c>
      <c r="K219" s="404">
        <f>INDEX(Capacity!$I$17:$T$17,,MATCH(MONTH(A219),Capacity!$I$6:$T$6,0))</f>
        <v>0</v>
      </c>
      <c r="L219" s="404" t="str">
        <f t="shared" ca="1" si="27"/>
        <v>Y</v>
      </c>
      <c r="M219" s="309" t="str">
        <f t="shared" ca="1" si="28"/>
        <v>Y</v>
      </c>
      <c r="N219" s="323"/>
    </row>
    <row r="220" spans="1:14" x14ac:dyDescent="0.2">
      <c r="A220" s="409">
        <v>43672</v>
      </c>
      <c r="B220" s="304">
        <v>207</v>
      </c>
      <c r="C220" s="304">
        <f t="shared" ca="1" si="29"/>
        <v>0.125</v>
      </c>
      <c r="D220" s="304">
        <f t="shared" ca="1" si="29"/>
        <v>0.5</v>
      </c>
      <c r="E220" s="304">
        <f t="shared" ca="1" si="29"/>
        <v>2</v>
      </c>
      <c r="F220" s="304">
        <f t="shared" ca="1" si="29"/>
        <v>2</v>
      </c>
      <c r="G220" s="304"/>
      <c r="H220" s="304">
        <f t="shared" ca="1" si="25"/>
        <v>4.625</v>
      </c>
      <c r="I220" s="404">
        <f t="shared" ca="1" si="26"/>
        <v>0</v>
      </c>
      <c r="J220" s="404">
        <f>INDEX(Capacity!$I$15:$T$15,,MATCH(MONTH(A220),Capacity!$I$6:$T$6,0))</f>
        <v>0</v>
      </c>
      <c r="K220" s="404">
        <f>INDEX(Capacity!$I$17:$T$17,,MATCH(MONTH(A220),Capacity!$I$6:$T$6,0))</f>
        <v>0</v>
      </c>
      <c r="L220" s="404" t="str">
        <f t="shared" ca="1" si="27"/>
        <v>Y</v>
      </c>
      <c r="M220" s="309" t="str">
        <f t="shared" ca="1" si="28"/>
        <v>Y</v>
      </c>
      <c r="N220" s="323"/>
    </row>
    <row r="221" spans="1:14" x14ac:dyDescent="0.2">
      <c r="A221" s="409">
        <v>43673</v>
      </c>
      <c r="B221" s="304">
        <v>208</v>
      </c>
      <c r="C221" s="304">
        <f t="shared" ca="1" si="29"/>
        <v>0.125</v>
      </c>
      <c r="D221" s="304">
        <f t="shared" ca="1" si="29"/>
        <v>0.5</v>
      </c>
      <c r="E221" s="304">
        <f t="shared" ca="1" si="29"/>
        <v>2</v>
      </c>
      <c r="F221" s="304">
        <f t="shared" ca="1" si="29"/>
        <v>2</v>
      </c>
      <c r="G221" s="304"/>
      <c r="H221" s="304">
        <f t="shared" ca="1" si="25"/>
        <v>4.625</v>
      </c>
      <c r="I221" s="404">
        <f t="shared" ca="1" si="26"/>
        <v>0</v>
      </c>
      <c r="J221" s="404">
        <f>INDEX(Capacity!$I$15:$T$15,,MATCH(MONTH(A221),Capacity!$I$6:$T$6,0))</f>
        <v>0</v>
      </c>
      <c r="K221" s="404">
        <f>INDEX(Capacity!$I$17:$T$17,,MATCH(MONTH(A221),Capacity!$I$6:$T$6,0))</f>
        <v>0</v>
      </c>
      <c r="L221" s="404" t="str">
        <f t="shared" ca="1" si="27"/>
        <v>Y</v>
      </c>
      <c r="M221" s="309" t="str">
        <f t="shared" ca="1" si="28"/>
        <v>Y</v>
      </c>
      <c r="N221" s="323"/>
    </row>
    <row r="222" spans="1:14" x14ac:dyDescent="0.2">
      <c r="A222" s="409">
        <v>43674</v>
      </c>
      <c r="B222" s="304">
        <v>209</v>
      </c>
      <c r="C222" s="304">
        <f t="shared" ca="1" si="29"/>
        <v>0.125</v>
      </c>
      <c r="D222" s="304">
        <f t="shared" ca="1" si="29"/>
        <v>0.5</v>
      </c>
      <c r="E222" s="304">
        <f t="shared" ca="1" si="29"/>
        <v>2</v>
      </c>
      <c r="F222" s="304">
        <f t="shared" ca="1" si="29"/>
        <v>2</v>
      </c>
      <c r="G222" s="304"/>
      <c r="H222" s="304">
        <f t="shared" ca="1" si="25"/>
        <v>4.625</v>
      </c>
      <c r="I222" s="404">
        <f t="shared" ca="1" si="26"/>
        <v>0</v>
      </c>
      <c r="J222" s="404">
        <f>INDEX(Capacity!$I$15:$T$15,,MATCH(MONTH(A222),Capacity!$I$6:$T$6,0))</f>
        <v>0</v>
      </c>
      <c r="K222" s="404">
        <f>INDEX(Capacity!$I$17:$T$17,,MATCH(MONTH(A222),Capacity!$I$6:$T$6,0))</f>
        <v>0</v>
      </c>
      <c r="L222" s="404" t="str">
        <f t="shared" ca="1" si="27"/>
        <v>Y</v>
      </c>
      <c r="M222" s="309" t="str">
        <f t="shared" ca="1" si="28"/>
        <v>Y</v>
      </c>
      <c r="N222" s="323"/>
    </row>
    <row r="223" spans="1:14" x14ac:dyDescent="0.2">
      <c r="A223" s="409">
        <v>43675</v>
      </c>
      <c r="B223" s="304">
        <v>210</v>
      </c>
      <c r="C223" s="304">
        <f t="shared" ca="1" si="29"/>
        <v>0.125</v>
      </c>
      <c r="D223" s="304">
        <f t="shared" ca="1" si="29"/>
        <v>0.5</v>
      </c>
      <c r="E223" s="304">
        <f t="shared" ca="1" si="29"/>
        <v>2</v>
      </c>
      <c r="F223" s="304">
        <f t="shared" ca="1" si="29"/>
        <v>2</v>
      </c>
      <c r="G223" s="304"/>
      <c r="H223" s="304">
        <f t="shared" ca="1" si="25"/>
        <v>4.625</v>
      </c>
      <c r="I223" s="404">
        <f t="shared" ca="1" si="26"/>
        <v>0</v>
      </c>
      <c r="J223" s="404">
        <f>INDEX(Capacity!$I$15:$T$15,,MATCH(MONTH(A223),Capacity!$I$6:$T$6,0))</f>
        <v>0</v>
      </c>
      <c r="K223" s="404">
        <f>INDEX(Capacity!$I$17:$T$17,,MATCH(MONTH(A223),Capacity!$I$6:$T$6,0))</f>
        <v>0</v>
      </c>
      <c r="L223" s="404" t="str">
        <f t="shared" ca="1" si="27"/>
        <v>Y</v>
      </c>
      <c r="M223" s="309" t="str">
        <f t="shared" ca="1" si="28"/>
        <v>Y</v>
      </c>
      <c r="N223" s="323"/>
    </row>
    <row r="224" spans="1:14" x14ac:dyDescent="0.2">
      <c r="A224" s="409">
        <v>43676</v>
      </c>
      <c r="B224" s="304">
        <v>211</v>
      </c>
      <c r="C224" s="304">
        <f t="shared" ca="1" si="29"/>
        <v>0.125</v>
      </c>
      <c r="D224" s="304">
        <f t="shared" ca="1" si="29"/>
        <v>0.5</v>
      </c>
      <c r="E224" s="304">
        <f t="shared" ca="1" si="29"/>
        <v>2</v>
      </c>
      <c r="F224" s="304">
        <f t="shared" ca="1" si="29"/>
        <v>2</v>
      </c>
      <c r="G224" s="304"/>
      <c r="H224" s="304">
        <f t="shared" ca="1" si="25"/>
        <v>4.625</v>
      </c>
      <c r="I224" s="404">
        <f t="shared" ca="1" si="26"/>
        <v>0</v>
      </c>
      <c r="J224" s="404">
        <f>INDEX(Capacity!$I$15:$T$15,,MATCH(MONTH(A224),Capacity!$I$6:$T$6,0))</f>
        <v>0</v>
      </c>
      <c r="K224" s="404">
        <f>INDEX(Capacity!$I$17:$T$17,,MATCH(MONTH(A224),Capacity!$I$6:$T$6,0))</f>
        <v>0</v>
      </c>
      <c r="L224" s="404" t="str">
        <f t="shared" ca="1" si="27"/>
        <v>Y</v>
      </c>
      <c r="M224" s="309" t="str">
        <f t="shared" ca="1" si="28"/>
        <v>Y</v>
      </c>
      <c r="N224" s="323"/>
    </row>
    <row r="225" spans="1:14" x14ac:dyDescent="0.2">
      <c r="A225" s="409">
        <v>43677</v>
      </c>
      <c r="B225" s="304">
        <v>212</v>
      </c>
      <c r="C225" s="304">
        <f t="shared" ca="1" si="29"/>
        <v>0.125</v>
      </c>
      <c r="D225" s="304">
        <f t="shared" ca="1" si="29"/>
        <v>0.5</v>
      </c>
      <c r="E225" s="304">
        <f t="shared" ca="1" si="29"/>
        <v>2</v>
      </c>
      <c r="F225" s="304">
        <f t="shared" ca="1" si="29"/>
        <v>2</v>
      </c>
      <c r="G225" s="304"/>
      <c r="H225" s="304">
        <f t="shared" ca="1" si="25"/>
        <v>4.625</v>
      </c>
      <c r="I225" s="404">
        <f t="shared" ca="1" si="26"/>
        <v>0</v>
      </c>
      <c r="J225" s="404">
        <f>INDEX(Capacity!$I$15:$T$15,,MATCH(MONTH(A225),Capacity!$I$6:$T$6,0))</f>
        <v>0</v>
      </c>
      <c r="K225" s="404">
        <f>INDEX(Capacity!$I$17:$T$17,,MATCH(MONTH(A225),Capacity!$I$6:$T$6,0))</f>
        <v>0</v>
      </c>
      <c r="L225" s="404" t="str">
        <f t="shared" ca="1" si="27"/>
        <v>Y</v>
      </c>
      <c r="M225" s="309" t="str">
        <f t="shared" ca="1" si="28"/>
        <v>Y</v>
      </c>
      <c r="N225" s="323"/>
    </row>
    <row r="226" spans="1:14" x14ac:dyDescent="0.2">
      <c r="A226" s="409">
        <v>43678</v>
      </c>
      <c r="B226" s="304">
        <v>213</v>
      </c>
      <c r="C226" s="304">
        <f t="shared" ca="1" si="29"/>
        <v>0.125</v>
      </c>
      <c r="D226" s="304">
        <f t="shared" ca="1" si="29"/>
        <v>0.5</v>
      </c>
      <c r="E226" s="304">
        <f t="shared" ca="1" si="29"/>
        <v>2</v>
      </c>
      <c r="F226" s="304">
        <f t="shared" ca="1" si="29"/>
        <v>2</v>
      </c>
      <c r="G226" s="304"/>
      <c r="H226" s="304">
        <f t="shared" ca="1" si="25"/>
        <v>4.625</v>
      </c>
      <c r="I226" s="404">
        <f t="shared" ca="1" si="26"/>
        <v>0</v>
      </c>
      <c r="J226" s="404">
        <f>INDEX(Capacity!$I$15:$T$15,,MATCH(MONTH(A226),Capacity!$I$6:$T$6,0))</f>
        <v>0</v>
      </c>
      <c r="K226" s="404">
        <f>INDEX(Capacity!$I$17:$T$17,,MATCH(MONTH(A226),Capacity!$I$6:$T$6,0))</f>
        <v>0</v>
      </c>
      <c r="L226" s="404" t="str">
        <f t="shared" ca="1" si="27"/>
        <v>Y</v>
      </c>
      <c r="M226" s="309" t="str">
        <f t="shared" ca="1" si="28"/>
        <v>Y</v>
      </c>
      <c r="N226" s="323"/>
    </row>
    <row r="227" spans="1:14" x14ac:dyDescent="0.2">
      <c r="A227" s="409">
        <v>43679</v>
      </c>
      <c r="B227" s="304">
        <v>214</v>
      </c>
      <c r="C227" s="304">
        <f t="shared" ca="1" si="29"/>
        <v>0.125</v>
      </c>
      <c r="D227" s="304">
        <f t="shared" ca="1" si="29"/>
        <v>0.5</v>
      </c>
      <c r="E227" s="304">
        <f t="shared" ca="1" si="29"/>
        <v>2</v>
      </c>
      <c r="F227" s="304">
        <f t="shared" ca="1" si="29"/>
        <v>2</v>
      </c>
      <c r="G227" s="304"/>
      <c r="H227" s="304">
        <f t="shared" ca="1" si="25"/>
        <v>4.625</v>
      </c>
      <c r="I227" s="404">
        <f t="shared" ca="1" si="26"/>
        <v>0</v>
      </c>
      <c r="J227" s="404">
        <f>INDEX(Capacity!$I$15:$T$15,,MATCH(MONTH(A227),Capacity!$I$6:$T$6,0))</f>
        <v>0</v>
      </c>
      <c r="K227" s="404">
        <f>INDEX(Capacity!$I$17:$T$17,,MATCH(MONTH(A227),Capacity!$I$6:$T$6,0))</f>
        <v>0</v>
      </c>
      <c r="L227" s="404" t="str">
        <f t="shared" ca="1" si="27"/>
        <v>Y</v>
      </c>
      <c r="M227" s="309" t="str">
        <f t="shared" ca="1" si="28"/>
        <v>Y</v>
      </c>
      <c r="N227" s="323"/>
    </row>
    <row r="228" spans="1:14" x14ac:dyDescent="0.2">
      <c r="A228" s="409">
        <v>43680</v>
      </c>
      <c r="B228" s="304">
        <v>215</v>
      </c>
      <c r="C228" s="304">
        <f t="shared" ca="1" si="29"/>
        <v>0.125</v>
      </c>
      <c r="D228" s="304">
        <f t="shared" ca="1" si="29"/>
        <v>0.5</v>
      </c>
      <c r="E228" s="304">
        <f t="shared" ca="1" si="29"/>
        <v>2</v>
      </c>
      <c r="F228" s="304">
        <f t="shared" ca="1" si="29"/>
        <v>2</v>
      </c>
      <c r="G228" s="304"/>
      <c r="H228" s="304">
        <f t="shared" ca="1" si="25"/>
        <v>4.625</v>
      </c>
      <c r="I228" s="404">
        <f t="shared" ca="1" si="26"/>
        <v>0</v>
      </c>
      <c r="J228" s="404">
        <f>INDEX(Capacity!$I$15:$T$15,,MATCH(MONTH(A228),Capacity!$I$6:$T$6,0))</f>
        <v>0</v>
      </c>
      <c r="K228" s="404">
        <f>INDEX(Capacity!$I$17:$T$17,,MATCH(MONTH(A228),Capacity!$I$6:$T$6,0))</f>
        <v>0</v>
      </c>
      <c r="L228" s="404" t="str">
        <f t="shared" ca="1" si="27"/>
        <v>Y</v>
      </c>
      <c r="M228" s="309" t="str">
        <f t="shared" ca="1" si="28"/>
        <v>Y</v>
      </c>
      <c r="N228" s="323"/>
    </row>
    <row r="229" spans="1:14" x14ac:dyDescent="0.2">
      <c r="A229" s="409">
        <v>43681</v>
      </c>
      <c r="B229" s="304">
        <v>216</v>
      </c>
      <c r="C229" s="304">
        <f t="shared" ca="1" si="29"/>
        <v>0.125</v>
      </c>
      <c r="D229" s="304">
        <f t="shared" ca="1" si="29"/>
        <v>0.5</v>
      </c>
      <c r="E229" s="304">
        <f t="shared" ca="1" si="29"/>
        <v>2</v>
      </c>
      <c r="F229" s="304">
        <f t="shared" ca="1" si="29"/>
        <v>2</v>
      </c>
      <c r="G229" s="304"/>
      <c r="H229" s="304">
        <f t="shared" ca="1" si="25"/>
        <v>4.625</v>
      </c>
      <c r="I229" s="404">
        <f t="shared" ca="1" si="26"/>
        <v>0</v>
      </c>
      <c r="J229" s="404">
        <f>INDEX(Capacity!$I$15:$T$15,,MATCH(MONTH(A229),Capacity!$I$6:$T$6,0))</f>
        <v>0</v>
      </c>
      <c r="K229" s="404">
        <f>INDEX(Capacity!$I$17:$T$17,,MATCH(MONTH(A229),Capacity!$I$6:$T$6,0))</f>
        <v>0</v>
      </c>
      <c r="L229" s="404" t="str">
        <f t="shared" ca="1" si="27"/>
        <v>Y</v>
      </c>
      <c r="M229" s="309" t="str">
        <f t="shared" ca="1" si="28"/>
        <v>Y</v>
      </c>
      <c r="N229" s="323"/>
    </row>
    <row r="230" spans="1:14" x14ac:dyDescent="0.2">
      <c r="A230" s="409">
        <v>43682</v>
      </c>
      <c r="B230" s="304">
        <v>217</v>
      </c>
      <c r="C230" s="304">
        <f t="shared" ca="1" si="29"/>
        <v>0.125</v>
      </c>
      <c r="D230" s="304">
        <f t="shared" ca="1" si="29"/>
        <v>0.5</v>
      </c>
      <c r="E230" s="304">
        <f t="shared" ca="1" si="29"/>
        <v>2</v>
      </c>
      <c r="F230" s="304">
        <f t="shared" ca="1" si="29"/>
        <v>2</v>
      </c>
      <c r="G230" s="304"/>
      <c r="H230" s="304">
        <f t="shared" ca="1" si="25"/>
        <v>4.625</v>
      </c>
      <c r="I230" s="404">
        <f t="shared" ca="1" si="26"/>
        <v>0</v>
      </c>
      <c r="J230" s="404">
        <f>INDEX(Capacity!$I$15:$T$15,,MATCH(MONTH(A230),Capacity!$I$6:$T$6,0))</f>
        <v>0</v>
      </c>
      <c r="K230" s="404">
        <f>INDEX(Capacity!$I$17:$T$17,,MATCH(MONTH(A230),Capacity!$I$6:$T$6,0))</f>
        <v>0</v>
      </c>
      <c r="L230" s="404" t="str">
        <f t="shared" ca="1" si="27"/>
        <v>Y</v>
      </c>
      <c r="M230" s="309" t="str">
        <f t="shared" ca="1" si="28"/>
        <v>Y</v>
      </c>
      <c r="N230" s="323"/>
    </row>
    <row r="231" spans="1:14" x14ac:dyDescent="0.2">
      <c r="A231" s="409">
        <v>43683</v>
      </c>
      <c r="B231" s="304">
        <v>218</v>
      </c>
      <c r="C231" s="304">
        <f t="shared" ca="1" si="29"/>
        <v>0.125</v>
      </c>
      <c r="D231" s="304">
        <f t="shared" ca="1" si="29"/>
        <v>0.5</v>
      </c>
      <c r="E231" s="304">
        <f t="shared" ca="1" si="29"/>
        <v>2</v>
      </c>
      <c r="F231" s="304">
        <f t="shared" ca="1" si="29"/>
        <v>2</v>
      </c>
      <c r="G231" s="304"/>
      <c r="H231" s="304">
        <f t="shared" ca="1" si="25"/>
        <v>4.625</v>
      </c>
      <c r="I231" s="404">
        <f t="shared" ca="1" si="26"/>
        <v>0</v>
      </c>
      <c r="J231" s="404">
        <f>INDEX(Capacity!$I$15:$T$15,,MATCH(MONTH(A231),Capacity!$I$6:$T$6,0))</f>
        <v>0</v>
      </c>
      <c r="K231" s="404">
        <f>INDEX(Capacity!$I$17:$T$17,,MATCH(MONTH(A231),Capacity!$I$6:$T$6,0))</f>
        <v>0</v>
      </c>
      <c r="L231" s="404" t="str">
        <f t="shared" ca="1" si="27"/>
        <v>Y</v>
      </c>
      <c r="M231" s="309" t="str">
        <f t="shared" ca="1" si="28"/>
        <v>Y</v>
      </c>
      <c r="N231" s="323"/>
    </row>
    <row r="232" spans="1:14" x14ac:dyDescent="0.2">
      <c r="A232" s="409">
        <v>43684</v>
      </c>
      <c r="B232" s="304">
        <v>219</v>
      </c>
      <c r="C232" s="304">
        <f t="shared" ca="1" si="29"/>
        <v>0.125</v>
      </c>
      <c r="D232" s="304">
        <f t="shared" ca="1" si="29"/>
        <v>0.5</v>
      </c>
      <c r="E232" s="304">
        <f t="shared" ca="1" si="29"/>
        <v>2</v>
      </c>
      <c r="F232" s="304">
        <f t="shared" ca="1" si="29"/>
        <v>2</v>
      </c>
      <c r="G232" s="304"/>
      <c r="H232" s="304">
        <f t="shared" ca="1" si="25"/>
        <v>4.625</v>
      </c>
      <c r="I232" s="404">
        <f t="shared" ca="1" si="26"/>
        <v>0</v>
      </c>
      <c r="J232" s="404">
        <f>INDEX(Capacity!$I$15:$T$15,,MATCH(MONTH(A232),Capacity!$I$6:$T$6,0))</f>
        <v>0</v>
      </c>
      <c r="K232" s="404">
        <f>INDEX(Capacity!$I$17:$T$17,,MATCH(MONTH(A232),Capacity!$I$6:$T$6,0))</f>
        <v>0</v>
      </c>
      <c r="L232" s="404" t="str">
        <f t="shared" ca="1" si="27"/>
        <v>Y</v>
      </c>
      <c r="M232" s="309" t="str">
        <f t="shared" ca="1" si="28"/>
        <v>Y</v>
      </c>
      <c r="N232" s="323"/>
    </row>
    <row r="233" spans="1:14" x14ac:dyDescent="0.2">
      <c r="A233" s="409">
        <v>43685</v>
      </c>
      <c r="B233" s="304">
        <v>220</v>
      </c>
      <c r="C233" s="304">
        <f t="shared" ca="1" si="29"/>
        <v>0.125</v>
      </c>
      <c r="D233" s="304">
        <f t="shared" ca="1" si="29"/>
        <v>0.5</v>
      </c>
      <c r="E233" s="304">
        <f t="shared" ca="1" si="29"/>
        <v>2</v>
      </c>
      <c r="F233" s="304">
        <f t="shared" ca="1" si="29"/>
        <v>2</v>
      </c>
      <c r="G233" s="304"/>
      <c r="H233" s="304">
        <f t="shared" ca="1" si="25"/>
        <v>4.625</v>
      </c>
      <c r="I233" s="404">
        <f t="shared" ca="1" si="26"/>
        <v>0</v>
      </c>
      <c r="J233" s="404">
        <f>INDEX(Capacity!$I$15:$T$15,,MATCH(MONTH(A233),Capacity!$I$6:$T$6,0))</f>
        <v>0</v>
      </c>
      <c r="K233" s="404">
        <f>INDEX(Capacity!$I$17:$T$17,,MATCH(MONTH(A233),Capacity!$I$6:$T$6,0))</f>
        <v>0</v>
      </c>
      <c r="L233" s="404" t="str">
        <f t="shared" ca="1" si="27"/>
        <v>Y</v>
      </c>
      <c r="M233" s="309" t="str">
        <f t="shared" ca="1" si="28"/>
        <v>Y</v>
      </c>
      <c r="N233" s="323"/>
    </row>
    <row r="234" spans="1:14" x14ac:dyDescent="0.2">
      <c r="A234" s="409">
        <v>43686</v>
      </c>
      <c r="B234" s="304">
        <v>221</v>
      </c>
      <c r="C234" s="304">
        <f t="shared" ca="1" si="29"/>
        <v>0.125</v>
      </c>
      <c r="D234" s="304">
        <f t="shared" ca="1" si="29"/>
        <v>0.5</v>
      </c>
      <c r="E234" s="304">
        <f t="shared" ca="1" si="29"/>
        <v>2</v>
      </c>
      <c r="F234" s="304">
        <f t="shared" ca="1" si="29"/>
        <v>2</v>
      </c>
      <c r="G234" s="304"/>
      <c r="H234" s="304">
        <f t="shared" ca="1" si="25"/>
        <v>4.625</v>
      </c>
      <c r="I234" s="404">
        <f t="shared" ca="1" si="26"/>
        <v>0</v>
      </c>
      <c r="J234" s="404">
        <f>INDEX(Capacity!$I$15:$T$15,,MATCH(MONTH(A234),Capacity!$I$6:$T$6,0))</f>
        <v>0</v>
      </c>
      <c r="K234" s="404">
        <f>INDEX(Capacity!$I$17:$T$17,,MATCH(MONTH(A234),Capacity!$I$6:$T$6,0))</f>
        <v>0</v>
      </c>
      <c r="L234" s="404" t="str">
        <f t="shared" ca="1" si="27"/>
        <v>Y</v>
      </c>
      <c r="M234" s="309" t="str">
        <f t="shared" ca="1" si="28"/>
        <v>Y</v>
      </c>
      <c r="N234" s="323"/>
    </row>
    <row r="235" spans="1:14" x14ac:dyDescent="0.2">
      <c r="A235" s="409">
        <v>43687</v>
      </c>
      <c r="B235" s="304">
        <v>222</v>
      </c>
      <c r="C235" s="304">
        <f t="shared" ca="1" si="29"/>
        <v>0.125</v>
      </c>
      <c r="D235" s="304">
        <f t="shared" ca="1" si="29"/>
        <v>0.5</v>
      </c>
      <c r="E235" s="304">
        <f t="shared" ca="1" si="29"/>
        <v>2</v>
      </c>
      <c r="F235" s="304">
        <f t="shared" ca="1" si="29"/>
        <v>2</v>
      </c>
      <c r="G235" s="304"/>
      <c r="H235" s="304">
        <f t="shared" ca="1" si="25"/>
        <v>4.625</v>
      </c>
      <c r="I235" s="404">
        <f t="shared" ca="1" si="26"/>
        <v>0</v>
      </c>
      <c r="J235" s="404">
        <f>INDEX(Capacity!$I$15:$T$15,,MATCH(MONTH(A235),Capacity!$I$6:$T$6,0))</f>
        <v>0</v>
      </c>
      <c r="K235" s="404">
        <f>INDEX(Capacity!$I$17:$T$17,,MATCH(MONTH(A235),Capacity!$I$6:$T$6,0))</f>
        <v>0</v>
      </c>
      <c r="L235" s="404" t="str">
        <f t="shared" ca="1" si="27"/>
        <v>Y</v>
      </c>
      <c r="M235" s="309" t="str">
        <f t="shared" ca="1" si="28"/>
        <v>Y</v>
      </c>
      <c r="N235" s="323"/>
    </row>
    <row r="236" spans="1:14" x14ac:dyDescent="0.2">
      <c r="A236" s="409">
        <v>43688</v>
      </c>
      <c r="B236" s="304">
        <v>223</v>
      </c>
      <c r="C236" s="304">
        <f t="shared" ca="1" si="29"/>
        <v>0.125</v>
      </c>
      <c r="D236" s="304">
        <f t="shared" ca="1" si="29"/>
        <v>0.5</v>
      </c>
      <c r="E236" s="304">
        <f t="shared" ca="1" si="29"/>
        <v>2</v>
      </c>
      <c r="F236" s="304">
        <f t="shared" ca="1" si="29"/>
        <v>2</v>
      </c>
      <c r="G236" s="304"/>
      <c r="H236" s="304">
        <f t="shared" ca="1" si="25"/>
        <v>4.625</v>
      </c>
      <c r="I236" s="404">
        <f t="shared" ca="1" si="26"/>
        <v>0</v>
      </c>
      <c r="J236" s="404">
        <f>INDEX(Capacity!$I$15:$T$15,,MATCH(MONTH(A236),Capacity!$I$6:$T$6,0))</f>
        <v>0</v>
      </c>
      <c r="K236" s="404">
        <f>INDEX(Capacity!$I$17:$T$17,,MATCH(MONTH(A236),Capacity!$I$6:$T$6,0))</f>
        <v>0</v>
      </c>
      <c r="L236" s="404" t="str">
        <f t="shared" ca="1" si="27"/>
        <v>Y</v>
      </c>
      <c r="M236" s="309" t="str">
        <f t="shared" ca="1" si="28"/>
        <v>Y</v>
      </c>
      <c r="N236" s="323"/>
    </row>
    <row r="237" spans="1:14" x14ac:dyDescent="0.2">
      <c r="A237" s="409">
        <v>43689</v>
      </c>
      <c r="B237" s="304">
        <v>224</v>
      </c>
      <c r="C237" s="304">
        <f t="shared" ca="1" si="29"/>
        <v>0.125</v>
      </c>
      <c r="D237" s="304">
        <f t="shared" ca="1" si="29"/>
        <v>0.5</v>
      </c>
      <c r="E237" s="304">
        <f t="shared" ca="1" si="29"/>
        <v>2</v>
      </c>
      <c r="F237" s="304">
        <f t="shared" ca="1" si="29"/>
        <v>2</v>
      </c>
      <c r="G237" s="304"/>
      <c r="H237" s="304">
        <f t="shared" ca="1" si="25"/>
        <v>4.625</v>
      </c>
      <c r="I237" s="404">
        <f t="shared" ca="1" si="26"/>
        <v>0</v>
      </c>
      <c r="J237" s="404">
        <f>INDEX(Capacity!$I$15:$T$15,,MATCH(MONTH(A237),Capacity!$I$6:$T$6,0))</f>
        <v>0</v>
      </c>
      <c r="K237" s="404">
        <f>INDEX(Capacity!$I$17:$T$17,,MATCH(MONTH(A237),Capacity!$I$6:$T$6,0))</f>
        <v>0</v>
      </c>
      <c r="L237" s="404" t="str">
        <f t="shared" ca="1" si="27"/>
        <v>Y</v>
      </c>
      <c r="M237" s="309" t="str">
        <f t="shared" ca="1" si="28"/>
        <v>Y</v>
      </c>
      <c r="N237" s="323"/>
    </row>
    <row r="238" spans="1:14" x14ac:dyDescent="0.2">
      <c r="A238" s="409">
        <v>43690</v>
      </c>
      <c r="B238" s="304">
        <v>225</v>
      </c>
      <c r="C238" s="304">
        <f t="shared" ca="1" si="29"/>
        <v>0.125</v>
      </c>
      <c r="D238" s="304">
        <f t="shared" ca="1" si="29"/>
        <v>0.5</v>
      </c>
      <c r="E238" s="304">
        <f t="shared" ca="1" si="29"/>
        <v>2</v>
      </c>
      <c r="F238" s="304">
        <f t="shared" ca="1" si="29"/>
        <v>2</v>
      </c>
      <c r="G238" s="304"/>
      <c r="H238" s="304">
        <f t="shared" ca="1" si="25"/>
        <v>4.625</v>
      </c>
      <c r="I238" s="404">
        <f t="shared" ca="1" si="26"/>
        <v>0</v>
      </c>
      <c r="J238" s="404">
        <f>INDEX(Capacity!$I$15:$T$15,,MATCH(MONTH(A238),Capacity!$I$6:$T$6,0))</f>
        <v>0</v>
      </c>
      <c r="K238" s="404">
        <f>INDEX(Capacity!$I$17:$T$17,,MATCH(MONTH(A238),Capacity!$I$6:$T$6,0))</f>
        <v>0</v>
      </c>
      <c r="L238" s="404" t="str">
        <f t="shared" ca="1" si="27"/>
        <v>Y</v>
      </c>
      <c r="M238" s="309" t="str">
        <f t="shared" ca="1" si="28"/>
        <v>Y</v>
      </c>
      <c r="N238" s="323"/>
    </row>
    <row r="239" spans="1:14" x14ac:dyDescent="0.2">
      <c r="A239" s="409">
        <v>43691</v>
      </c>
      <c r="B239" s="304">
        <v>226</v>
      </c>
      <c r="C239" s="304">
        <f t="shared" ca="1" si="29"/>
        <v>0.125</v>
      </c>
      <c r="D239" s="304">
        <f t="shared" ca="1" si="29"/>
        <v>0.5</v>
      </c>
      <c r="E239" s="304">
        <f t="shared" ca="1" si="29"/>
        <v>2</v>
      </c>
      <c r="F239" s="304">
        <f t="shared" ca="1" si="29"/>
        <v>2</v>
      </c>
      <c r="G239" s="304"/>
      <c r="H239" s="304">
        <f t="shared" ca="1" si="25"/>
        <v>4.625</v>
      </c>
      <c r="I239" s="404">
        <f t="shared" ca="1" si="26"/>
        <v>0</v>
      </c>
      <c r="J239" s="404">
        <f>INDEX(Capacity!$I$15:$T$15,,MATCH(MONTH(A239),Capacity!$I$6:$T$6,0))</f>
        <v>0</v>
      </c>
      <c r="K239" s="404">
        <f>INDEX(Capacity!$I$17:$T$17,,MATCH(MONTH(A239),Capacity!$I$6:$T$6,0))</f>
        <v>0</v>
      </c>
      <c r="L239" s="404" t="str">
        <f t="shared" ca="1" si="27"/>
        <v>Y</v>
      </c>
      <c r="M239" s="309" t="str">
        <f t="shared" ca="1" si="28"/>
        <v>Y</v>
      </c>
      <c r="N239" s="323"/>
    </row>
    <row r="240" spans="1:14" x14ac:dyDescent="0.2">
      <c r="A240" s="409">
        <v>43692</v>
      </c>
      <c r="B240" s="304">
        <v>227</v>
      </c>
      <c r="C240" s="304">
        <f t="shared" ca="1" si="29"/>
        <v>0.125</v>
      </c>
      <c r="D240" s="304">
        <f t="shared" ca="1" si="29"/>
        <v>0.5</v>
      </c>
      <c r="E240" s="304">
        <f t="shared" ca="1" si="29"/>
        <v>2</v>
      </c>
      <c r="F240" s="304">
        <f t="shared" ca="1" si="29"/>
        <v>2</v>
      </c>
      <c r="G240" s="304"/>
      <c r="H240" s="304">
        <f t="shared" ca="1" si="25"/>
        <v>4.625</v>
      </c>
      <c r="I240" s="404">
        <f t="shared" ca="1" si="26"/>
        <v>0</v>
      </c>
      <c r="J240" s="404">
        <f>INDEX(Capacity!$I$15:$T$15,,MATCH(MONTH(A240),Capacity!$I$6:$T$6,0))</f>
        <v>0</v>
      </c>
      <c r="K240" s="404">
        <f>INDEX(Capacity!$I$17:$T$17,,MATCH(MONTH(A240),Capacity!$I$6:$T$6,0))</f>
        <v>0</v>
      </c>
      <c r="L240" s="404" t="str">
        <f t="shared" ca="1" si="27"/>
        <v>Y</v>
      </c>
      <c r="M240" s="309" t="str">
        <f t="shared" ca="1" si="28"/>
        <v>Y</v>
      </c>
      <c r="N240" s="323"/>
    </row>
    <row r="241" spans="1:14" x14ac:dyDescent="0.2">
      <c r="A241" s="409">
        <v>43693</v>
      </c>
      <c r="B241" s="304">
        <v>228</v>
      </c>
      <c r="C241" s="304">
        <f t="shared" ca="1" si="29"/>
        <v>0.125</v>
      </c>
      <c r="D241" s="304">
        <f t="shared" ca="1" si="29"/>
        <v>0.5</v>
      </c>
      <c r="E241" s="304">
        <f t="shared" ca="1" si="29"/>
        <v>2</v>
      </c>
      <c r="F241" s="304">
        <f t="shared" ca="1" si="29"/>
        <v>2</v>
      </c>
      <c r="G241" s="304"/>
      <c r="H241" s="304">
        <f t="shared" ca="1" si="25"/>
        <v>4.625</v>
      </c>
      <c r="I241" s="404">
        <f t="shared" ca="1" si="26"/>
        <v>0</v>
      </c>
      <c r="J241" s="404">
        <f>INDEX(Capacity!$I$15:$T$15,,MATCH(MONTH(A241),Capacity!$I$6:$T$6,0))</f>
        <v>0</v>
      </c>
      <c r="K241" s="404">
        <f>INDEX(Capacity!$I$17:$T$17,,MATCH(MONTH(A241),Capacity!$I$6:$T$6,0))</f>
        <v>0</v>
      </c>
      <c r="L241" s="404" t="str">
        <f t="shared" ca="1" si="27"/>
        <v>Y</v>
      </c>
      <c r="M241" s="309" t="str">
        <f t="shared" ca="1" si="28"/>
        <v>Y</v>
      </c>
      <c r="N241" s="323"/>
    </row>
    <row r="242" spans="1:14" x14ac:dyDescent="0.2">
      <c r="A242" s="409">
        <v>43694</v>
      </c>
      <c r="B242" s="304">
        <v>229</v>
      </c>
      <c r="C242" s="304">
        <f t="shared" ca="1" si="29"/>
        <v>0.125</v>
      </c>
      <c r="D242" s="304">
        <f t="shared" ca="1" si="29"/>
        <v>0.5</v>
      </c>
      <c r="E242" s="304">
        <f t="shared" ca="1" si="29"/>
        <v>2</v>
      </c>
      <c r="F242" s="304">
        <f t="shared" ca="1" si="29"/>
        <v>2</v>
      </c>
      <c r="G242" s="304"/>
      <c r="H242" s="304">
        <f t="shared" ca="1" si="25"/>
        <v>4.625</v>
      </c>
      <c r="I242" s="404">
        <f t="shared" ca="1" si="26"/>
        <v>0</v>
      </c>
      <c r="J242" s="404">
        <f>INDEX(Capacity!$I$15:$T$15,,MATCH(MONTH(A242),Capacity!$I$6:$T$6,0))</f>
        <v>0</v>
      </c>
      <c r="K242" s="404">
        <f>INDEX(Capacity!$I$17:$T$17,,MATCH(MONTH(A242),Capacity!$I$6:$T$6,0))</f>
        <v>0</v>
      </c>
      <c r="L242" s="404" t="str">
        <f t="shared" ca="1" si="27"/>
        <v>Y</v>
      </c>
      <c r="M242" s="309" t="str">
        <f t="shared" ca="1" si="28"/>
        <v>Y</v>
      </c>
      <c r="N242" s="323"/>
    </row>
    <row r="243" spans="1:14" x14ac:dyDescent="0.2">
      <c r="A243" s="409">
        <v>43695</v>
      </c>
      <c r="B243" s="304">
        <v>230</v>
      </c>
      <c r="C243" s="304">
        <f t="shared" ca="1" si="29"/>
        <v>0.125</v>
      </c>
      <c r="D243" s="304">
        <f t="shared" ca="1" si="29"/>
        <v>0.5</v>
      </c>
      <c r="E243" s="304">
        <f t="shared" ca="1" si="29"/>
        <v>2</v>
      </c>
      <c r="F243" s="304">
        <f t="shared" ca="1" si="29"/>
        <v>2</v>
      </c>
      <c r="G243" s="304"/>
      <c r="H243" s="304">
        <f t="shared" ca="1" si="25"/>
        <v>4.625</v>
      </c>
      <c r="I243" s="404">
        <f t="shared" ca="1" si="26"/>
        <v>0</v>
      </c>
      <c r="J243" s="404">
        <f>INDEX(Capacity!$I$15:$T$15,,MATCH(MONTH(A243),Capacity!$I$6:$T$6,0))</f>
        <v>0</v>
      </c>
      <c r="K243" s="404">
        <f>INDEX(Capacity!$I$17:$T$17,,MATCH(MONTH(A243),Capacity!$I$6:$T$6,0))</f>
        <v>0</v>
      </c>
      <c r="L243" s="404" t="str">
        <f t="shared" ca="1" si="27"/>
        <v>Y</v>
      </c>
      <c r="M243" s="309" t="str">
        <f t="shared" ca="1" si="28"/>
        <v>Y</v>
      </c>
      <c r="N243" s="323"/>
    </row>
    <row r="244" spans="1:14" x14ac:dyDescent="0.2">
      <c r="A244" s="409">
        <v>43696</v>
      </c>
      <c r="B244" s="304">
        <v>231</v>
      </c>
      <c r="C244" s="304">
        <f t="shared" ref="C244:F275" ca="1" si="30">IFERROR(IF(C$9=365,1/C$6,IF(C$12="",IF(C$11&gt;=C$10,IF(AND($B244&gt;=C$10+C$6, $B244&lt;=C$11),1/C$6,0),IF(OR($B244&gt;=C$10+C$6, $B244&lt;=C$11),1/C$6,0)),IF(OR(C$11&gt;=C$10,C$13&gt;=C$12),IF(OR(AND($B244&gt;=C$10+C$6, $B244&lt;=C$11),AND($B244&gt;=C$12+C$6, $B244&lt;=C$13)),1/C$6,0),IF(OR($B244&gt;=C$10+C$6, $B244&lt;=C$11,$B244&gt;=C$12+C$6, $B244&lt;=C$13),1/C$6,0)))),"Unknown; user input required")</f>
        <v>0.125</v>
      </c>
      <c r="D244" s="304">
        <f t="shared" ca="1" si="30"/>
        <v>0</v>
      </c>
      <c r="E244" s="304">
        <f t="shared" ca="1" si="30"/>
        <v>2</v>
      </c>
      <c r="F244" s="304">
        <f t="shared" ca="1" si="30"/>
        <v>2</v>
      </c>
      <c r="G244" s="304"/>
      <c r="H244" s="304">
        <f t="shared" ca="1" si="25"/>
        <v>4.125</v>
      </c>
      <c r="I244" s="404">
        <f t="shared" ca="1" si="26"/>
        <v>0</v>
      </c>
      <c r="J244" s="404">
        <f>INDEX(Capacity!$I$15:$T$15,,MATCH(MONTH(A244),Capacity!$I$6:$T$6,0))</f>
        <v>0</v>
      </c>
      <c r="K244" s="404">
        <f>INDEX(Capacity!$I$17:$T$17,,MATCH(MONTH(A244),Capacity!$I$6:$T$6,0))</f>
        <v>0</v>
      </c>
      <c r="L244" s="404" t="str">
        <f t="shared" ca="1" si="27"/>
        <v>Y</v>
      </c>
      <c r="M244" s="309" t="str">
        <f t="shared" ca="1" si="28"/>
        <v>Y</v>
      </c>
      <c r="N244" s="323"/>
    </row>
    <row r="245" spans="1:14" x14ac:dyDescent="0.2">
      <c r="A245" s="409">
        <v>43697</v>
      </c>
      <c r="B245" s="304">
        <v>232</v>
      </c>
      <c r="C245" s="304">
        <f t="shared" ca="1" si="30"/>
        <v>0.125</v>
      </c>
      <c r="D245" s="304">
        <f t="shared" ca="1" si="30"/>
        <v>0</v>
      </c>
      <c r="E245" s="304">
        <f t="shared" ca="1" si="30"/>
        <v>2</v>
      </c>
      <c r="F245" s="304">
        <f t="shared" ca="1" si="30"/>
        <v>2</v>
      </c>
      <c r="G245" s="304"/>
      <c r="H245" s="304">
        <f t="shared" ca="1" si="25"/>
        <v>4.125</v>
      </c>
      <c r="I245" s="404">
        <f t="shared" ca="1" si="26"/>
        <v>0</v>
      </c>
      <c r="J245" s="404">
        <f>INDEX(Capacity!$I$15:$T$15,,MATCH(MONTH(A245),Capacity!$I$6:$T$6,0))</f>
        <v>0</v>
      </c>
      <c r="K245" s="404">
        <f>INDEX(Capacity!$I$17:$T$17,,MATCH(MONTH(A245),Capacity!$I$6:$T$6,0))</f>
        <v>0</v>
      </c>
      <c r="L245" s="404" t="str">
        <f t="shared" ca="1" si="27"/>
        <v>Y</v>
      </c>
      <c r="M245" s="309" t="str">
        <f t="shared" ca="1" si="28"/>
        <v>Y</v>
      </c>
      <c r="N245" s="323"/>
    </row>
    <row r="246" spans="1:14" x14ac:dyDescent="0.2">
      <c r="A246" s="409">
        <v>43698</v>
      </c>
      <c r="B246" s="304">
        <v>233</v>
      </c>
      <c r="C246" s="304">
        <f t="shared" ca="1" si="30"/>
        <v>0.125</v>
      </c>
      <c r="D246" s="304">
        <f t="shared" ca="1" si="30"/>
        <v>0</v>
      </c>
      <c r="E246" s="304">
        <f t="shared" ca="1" si="30"/>
        <v>2</v>
      </c>
      <c r="F246" s="304">
        <f t="shared" ca="1" si="30"/>
        <v>2</v>
      </c>
      <c r="G246" s="304"/>
      <c r="H246" s="304">
        <f t="shared" ca="1" si="25"/>
        <v>4.125</v>
      </c>
      <c r="I246" s="404">
        <f t="shared" ca="1" si="26"/>
        <v>0</v>
      </c>
      <c r="J246" s="404">
        <f>INDEX(Capacity!$I$15:$T$15,,MATCH(MONTH(A246),Capacity!$I$6:$T$6,0))</f>
        <v>0</v>
      </c>
      <c r="K246" s="404">
        <f>INDEX(Capacity!$I$17:$T$17,,MATCH(MONTH(A246),Capacity!$I$6:$T$6,0))</f>
        <v>0</v>
      </c>
      <c r="L246" s="404" t="str">
        <f t="shared" ca="1" si="27"/>
        <v>Y</v>
      </c>
      <c r="M246" s="309" t="str">
        <f t="shared" ca="1" si="28"/>
        <v>Y</v>
      </c>
      <c r="N246" s="323"/>
    </row>
    <row r="247" spans="1:14" x14ac:dyDescent="0.2">
      <c r="A247" s="409">
        <v>43699</v>
      </c>
      <c r="B247" s="304">
        <v>234</v>
      </c>
      <c r="C247" s="304">
        <f t="shared" ca="1" si="30"/>
        <v>0.125</v>
      </c>
      <c r="D247" s="304">
        <f t="shared" ca="1" si="30"/>
        <v>0</v>
      </c>
      <c r="E247" s="304">
        <f t="shared" ca="1" si="30"/>
        <v>2</v>
      </c>
      <c r="F247" s="304">
        <f t="shared" ca="1" si="30"/>
        <v>2</v>
      </c>
      <c r="G247" s="304"/>
      <c r="H247" s="304">
        <f t="shared" ca="1" si="25"/>
        <v>4.125</v>
      </c>
      <c r="I247" s="404">
        <f t="shared" ca="1" si="26"/>
        <v>0</v>
      </c>
      <c r="J247" s="404">
        <f>INDEX(Capacity!$I$15:$T$15,,MATCH(MONTH(A247),Capacity!$I$6:$T$6,0))</f>
        <v>0</v>
      </c>
      <c r="K247" s="404">
        <f>INDEX(Capacity!$I$17:$T$17,,MATCH(MONTH(A247),Capacity!$I$6:$T$6,0))</f>
        <v>0</v>
      </c>
      <c r="L247" s="404" t="str">
        <f t="shared" ca="1" si="27"/>
        <v>Y</v>
      </c>
      <c r="M247" s="309" t="str">
        <f t="shared" ca="1" si="28"/>
        <v>Y</v>
      </c>
      <c r="N247" s="323"/>
    </row>
    <row r="248" spans="1:14" x14ac:dyDescent="0.2">
      <c r="A248" s="409">
        <v>43700</v>
      </c>
      <c r="B248" s="304">
        <v>235</v>
      </c>
      <c r="C248" s="304">
        <f t="shared" ca="1" si="30"/>
        <v>0.125</v>
      </c>
      <c r="D248" s="304">
        <f t="shared" ca="1" si="30"/>
        <v>0</v>
      </c>
      <c r="E248" s="304">
        <f t="shared" ca="1" si="30"/>
        <v>2</v>
      </c>
      <c r="F248" s="304">
        <f t="shared" ca="1" si="30"/>
        <v>2</v>
      </c>
      <c r="G248" s="304"/>
      <c r="H248" s="304">
        <f t="shared" ca="1" si="25"/>
        <v>4.125</v>
      </c>
      <c r="I248" s="404">
        <f t="shared" ca="1" si="26"/>
        <v>0</v>
      </c>
      <c r="J248" s="404">
        <f>INDEX(Capacity!$I$15:$T$15,,MATCH(MONTH(A248),Capacity!$I$6:$T$6,0))</f>
        <v>0</v>
      </c>
      <c r="K248" s="404">
        <f>INDEX(Capacity!$I$17:$T$17,,MATCH(MONTH(A248),Capacity!$I$6:$T$6,0))</f>
        <v>0</v>
      </c>
      <c r="L248" s="404" t="str">
        <f t="shared" ca="1" si="27"/>
        <v>Y</v>
      </c>
      <c r="M248" s="309" t="str">
        <f t="shared" ca="1" si="28"/>
        <v>Y</v>
      </c>
      <c r="N248" s="323"/>
    </row>
    <row r="249" spans="1:14" x14ac:dyDescent="0.2">
      <c r="A249" s="409">
        <v>43701</v>
      </c>
      <c r="B249" s="304">
        <v>236</v>
      </c>
      <c r="C249" s="304">
        <f t="shared" ca="1" si="30"/>
        <v>0.125</v>
      </c>
      <c r="D249" s="304">
        <f t="shared" ca="1" si="30"/>
        <v>0</v>
      </c>
      <c r="E249" s="304">
        <f t="shared" ca="1" si="30"/>
        <v>2</v>
      </c>
      <c r="F249" s="304">
        <f t="shared" ca="1" si="30"/>
        <v>2</v>
      </c>
      <c r="G249" s="304"/>
      <c r="H249" s="304">
        <f t="shared" ca="1" si="25"/>
        <v>4.125</v>
      </c>
      <c r="I249" s="404">
        <f t="shared" ca="1" si="26"/>
        <v>0</v>
      </c>
      <c r="J249" s="404">
        <f>INDEX(Capacity!$I$15:$T$15,,MATCH(MONTH(A249),Capacity!$I$6:$T$6,0))</f>
        <v>0</v>
      </c>
      <c r="K249" s="404">
        <f>INDEX(Capacity!$I$17:$T$17,,MATCH(MONTH(A249),Capacity!$I$6:$T$6,0))</f>
        <v>0</v>
      </c>
      <c r="L249" s="404" t="str">
        <f t="shared" ca="1" si="27"/>
        <v>Y</v>
      </c>
      <c r="M249" s="309" t="str">
        <f t="shared" ca="1" si="28"/>
        <v>Y</v>
      </c>
      <c r="N249" s="323"/>
    </row>
    <row r="250" spans="1:14" x14ac:dyDescent="0.2">
      <c r="A250" s="409">
        <v>43702</v>
      </c>
      <c r="B250" s="304">
        <v>237</v>
      </c>
      <c r="C250" s="304">
        <f t="shared" ca="1" si="30"/>
        <v>0.125</v>
      </c>
      <c r="D250" s="304">
        <f t="shared" ca="1" si="30"/>
        <v>0</v>
      </c>
      <c r="E250" s="304">
        <f t="shared" ca="1" si="30"/>
        <v>2</v>
      </c>
      <c r="F250" s="304">
        <f t="shared" ca="1" si="30"/>
        <v>2</v>
      </c>
      <c r="G250" s="304"/>
      <c r="H250" s="304">
        <f t="shared" ca="1" si="25"/>
        <v>4.125</v>
      </c>
      <c r="I250" s="404">
        <f t="shared" ca="1" si="26"/>
        <v>0</v>
      </c>
      <c r="J250" s="404">
        <f>INDEX(Capacity!$I$15:$T$15,,MATCH(MONTH(A250),Capacity!$I$6:$T$6,0))</f>
        <v>0</v>
      </c>
      <c r="K250" s="404">
        <f>INDEX(Capacity!$I$17:$T$17,,MATCH(MONTH(A250),Capacity!$I$6:$T$6,0))</f>
        <v>0</v>
      </c>
      <c r="L250" s="404" t="str">
        <f t="shared" ca="1" si="27"/>
        <v>Y</v>
      </c>
      <c r="M250" s="309" t="str">
        <f t="shared" ca="1" si="28"/>
        <v>Y</v>
      </c>
      <c r="N250" s="323"/>
    </row>
    <row r="251" spans="1:14" x14ac:dyDescent="0.2">
      <c r="A251" s="409">
        <v>43703</v>
      </c>
      <c r="B251" s="304">
        <v>238</v>
      </c>
      <c r="C251" s="304">
        <f t="shared" ca="1" si="30"/>
        <v>0.125</v>
      </c>
      <c r="D251" s="304">
        <f t="shared" ca="1" si="30"/>
        <v>0</v>
      </c>
      <c r="E251" s="304">
        <f t="shared" ca="1" si="30"/>
        <v>2</v>
      </c>
      <c r="F251" s="304">
        <f t="shared" ca="1" si="30"/>
        <v>2</v>
      </c>
      <c r="G251" s="304"/>
      <c r="H251" s="304">
        <f t="shared" ca="1" si="25"/>
        <v>4.125</v>
      </c>
      <c r="I251" s="404">
        <f t="shared" ca="1" si="26"/>
        <v>0</v>
      </c>
      <c r="J251" s="404">
        <f>INDEX(Capacity!$I$15:$T$15,,MATCH(MONTH(A251),Capacity!$I$6:$T$6,0))</f>
        <v>0</v>
      </c>
      <c r="K251" s="404">
        <f>INDEX(Capacity!$I$17:$T$17,,MATCH(MONTH(A251),Capacity!$I$6:$T$6,0))</f>
        <v>0</v>
      </c>
      <c r="L251" s="404" t="str">
        <f t="shared" ca="1" si="27"/>
        <v>Y</v>
      </c>
      <c r="M251" s="309" t="str">
        <f t="shared" ca="1" si="28"/>
        <v>Y</v>
      </c>
      <c r="N251" s="323"/>
    </row>
    <row r="252" spans="1:14" x14ac:dyDescent="0.2">
      <c r="A252" s="409">
        <v>43704</v>
      </c>
      <c r="B252" s="304">
        <v>239</v>
      </c>
      <c r="C252" s="304">
        <f t="shared" ca="1" si="30"/>
        <v>0.125</v>
      </c>
      <c r="D252" s="304">
        <f t="shared" ca="1" si="30"/>
        <v>0</v>
      </c>
      <c r="E252" s="304">
        <f t="shared" ca="1" si="30"/>
        <v>2</v>
      </c>
      <c r="F252" s="304">
        <f t="shared" ca="1" si="30"/>
        <v>2</v>
      </c>
      <c r="G252" s="304"/>
      <c r="H252" s="304">
        <f t="shared" ca="1" si="25"/>
        <v>4.125</v>
      </c>
      <c r="I252" s="404">
        <f t="shared" ca="1" si="26"/>
        <v>0</v>
      </c>
      <c r="J252" s="404">
        <f>INDEX(Capacity!$I$15:$T$15,,MATCH(MONTH(A252),Capacity!$I$6:$T$6,0))</f>
        <v>0</v>
      </c>
      <c r="K252" s="404">
        <f>INDEX(Capacity!$I$17:$T$17,,MATCH(MONTH(A252),Capacity!$I$6:$T$6,0))</f>
        <v>0</v>
      </c>
      <c r="L252" s="404" t="str">
        <f t="shared" ca="1" si="27"/>
        <v>Y</v>
      </c>
      <c r="M252" s="309" t="str">
        <f t="shared" ca="1" si="28"/>
        <v>Y</v>
      </c>
      <c r="N252" s="323"/>
    </row>
    <row r="253" spans="1:14" x14ac:dyDescent="0.2">
      <c r="A253" s="409">
        <v>43705</v>
      </c>
      <c r="B253" s="304">
        <v>240</v>
      </c>
      <c r="C253" s="304">
        <f t="shared" ca="1" si="30"/>
        <v>0.125</v>
      </c>
      <c r="D253" s="304">
        <f t="shared" ca="1" si="30"/>
        <v>0</v>
      </c>
      <c r="E253" s="304">
        <f t="shared" ca="1" si="30"/>
        <v>2</v>
      </c>
      <c r="F253" s="304">
        <f t="shared" ca="1" si="30"/>
        <v>2</v>
      </c>
      <c r="G253" s="304"/>
      <c r="H253" s="304">
        <f t="shared" ca="1" si="25"/>
        <v>4.125</v>
      </c>
      <c r="I253" s="404">
        <f t="shared" ca="1" si="26"/>
        <v>0</v>
      </c>
      <c r="J253" s="404">
        <f>INDEX(Capacity!$I$15:$T$15,,MATCH(MONTH(A253),Capacity!$I$6:$T$6,0))</f>
        <v>0</v>
      </c>
      <c r="K253" s="404">
        <f>INDEX(Capacity!$I$17:$T$17,,MATCH(MONTH(A253),Capacity!$I$6:$T$6,0))</f>
        <v>0</v>
      </c>
      <c r="L253" s="404" t="str">
        <f t="shared" ca="1" si="27"/>
        <v>Y</v>
      </c>
      <c r="M253" s="309" t="str">
        <f t="shared" ca="1" si="28"/>
        <v>Y</v>
      </c>
      <c r="N253" s="323"/>
    </row>
    <row r="254" spans="1:14" x14ac:dyDescent="0.2">
      <c r="A254" s="409">
        <v>43706</v>
      </c>
      <c r="B254" s="304">
        <v>241</v>
      </c>
      <c r="C254" s="304">
        <f t="shared" ca="1" si="30"/>
        <v>0.125</v>
      </c>
      <c r="D254" s="304">
        <f t="shared" ca="1" si="30"/>
        <v>0</v>
      </c>
      <c r="E254" s="304">
        <f t="shared" ca="1" si="30"/>
        <v>2</v>
      </c>
      <c r="F254" s="304">
        <f t="shared" ca="1" si="30"/>
        <v>2</v>
      </c>
      <c r="G254" s="304"/>
      <c r="H254" s="304">
        <f t="shared" ca="1" si="25"/>
        <v>4.125</v>
      </c>
      <c r="I254" s="404">
        <f t="shared" ca="1" si="26"/>
        <v>0</v>
      </c>
      <c r="J254" s="404">
        <f>INDEX(Capacity!$I$15:$T$15,,MATCH(MONTH(A254),Capacity!$I$6:$T$6,0))</f>
        <v>0</v>
      </c>
      <c r="K254" s="404">
        <f>INDEX(Capacity!$I$17:$T$17,,MATCH(MONTH(A254),Capacity!$I$6:$T$6,0))</f>
        <v>0</v>
      </c>
      <c r="L254" s="404" t="str">
        <f t="shared" ca="1" si="27"/>
        <v>Y</v>
      </c>
      <c r="M254" s="309" t="str">
        <f t="shared" ca="1" si="28"/>
        <v>Y</v>
      </c>
      <c r="N254" s="323"/>
    </row>
    <row r="255" spans="1:14" x14ac:dyDescent="0.2">
      <c r="A255" s="409">
        <v>43707</v>
      </c>
      <c r="B255" s="304">
        <v>242</v>
      </c>
      <c r="C255" s="304">
        <f t="shared" ca="1" si="30"/>
        <v>0.125</v>
      </c>
      <c r="D255" s="304">
        <f t="shared" ca="1" si="30"/>
        <v>0</v>
      </c>
      <c r="E255" s="304">
        <f t="shared" ca="1" si="30"/>
        <v>2</v>
      </c>
      <c r="F255" s="304">
        <f t="shared" ca="1" si="30"/>
        <v>2</v>
      </c>
      <c r="G255" s="304"/>
      <c r="H255" s="304">
        <f t="shared" ca="1" si="25"/>
        <v>4.125</v>
      </c>
      <c r="I255" s="404">
        <f t="shared" ca="1" si="26"/>
        <v>0</v>
      </c>
      <c r="J255" s="404">
        <f>INDEX(Capacity!$I$15:$T$15,,MATCH(MONTH(A255),Capacity!$I$6:$T$6,0))</f>
        <v>0</v>
      </c>
      <c r="K255" s="404">
        <f>INDEX(Capacity!$I$17:$T$17,,MATCH(MONTH(A255),Capacity!$I$6:$T$6,0))</f>
        <v>0</v>
      </c>
      <c r="L255" s="404" t="str">
        <f t="shared" ca="1" si="27"/>
        <v>Y</v>
      </c>
      <c r="M255" s="309" t="str">
        <f t="shared" ca="1" si="28"/>
        <v>Y</v>
      </c>
      <c r="N255" s="323"/>
    </row>
    <row r="256" spans="1:14" x14ac:dyDescent="0.2">
      <c r="A256" s="409">
        <v>43708</v>
      </c>
      <c r="B256" s="304">
        <v>243</v>
      </c>
      <c r="C256" s="304">
        <f t="shared" ca="1" si="30"/>
        <v>0.125</v>
      </c>
      <c r="D256" s="304">
        <f t="shared" ca="1" si="30"/>
        <v>0</v>
      </c>
      <c r="E256" s="304">
        <f t="shared" ca="1" si="30"/>
        <v>2</v>
      </c>
      <c r="F256" s="304">
        <f t="shared" ca="1" si="30"/>
        <v>2</v>
      </c>
      <c r="G256" s="304"/>
      <c r="H256" s="304">
        <f t="shared" ca="1" si="25"/>
        <v>4.125</v>
      </c>
      <c r="I256" s="404">
        <f t="shared" ca="1" si="26"/>
        <v>0</v>
      </c>
      <c r="J256" s="404">
        <f>INDEX(Capacity!$I$15:$T$15,,MATCH(MONTH(A256),Capacity!$I$6:$T$6,0))</f>
        <v>0</v>
      </c>
      <c r="K256" s="404">
        <f>INDEX(Capacity!$I$17:$T$17,,MATCH(MONTH(A256),Capacity!$I$6:$T$6,0))</f>
        <v>0</v>
      </c>
      <c r="L256" s="404" t="str">
        <f t="shared" ca="1" si="27"/>
        <v>Y</v>
      </c>
      <c r="M256" s="309" t="str">
        <f t="shared" ca="1" si="28"/>
        <v>Y</v>
      </c>
      <c r="N256" s="323"/>
    </row>
    <row r="257" spans="1:14" x14ac:dyDescent="0.2">
      <c r="A257" s="409">
        <v>43709</v>
      </c>
      <c r="B257" s="304">
        <v>244</v>
      </c>
      <c r="C257" s="304">
        <f t="shared" ca="1" si="30"/>
        <v>0.125</v>
      </c>
      <c r="D257" s="304">
        <f t="shared" ca="1" si="30"/>
        <v>0</v>
      </c>
      <c r="E257" s="304">
        <f t="shared" ca="1" si="30"/>
        <v>2</v>
      </c>
      <c r="F257" s="304">
        <f t="shared" ca="1" si="30"/>
        <v>2</v>
      </c>
      <c r="G257" s="304"/>
      <c r="H257" s="304">
        <f t="shared" ca="1" si="25"/>
        <v>4.125</v>
      </c>
      <c r="I257" s="404">
        <f t="shared" ca="1" si="26"/>
        <v>0</v>
      </c>
      <c r="J257" s="404">
        <f>INDEX(Capacity!$I$15:$T$15,,MATCH(MONTH(A257),Capacity!$I$6:$T$6,0))</f>
        <v>0</v>
      </c>
      <c r="K257" s="404">
        <f>INDEX(Capacity!$I$17:$T$17,,MATCH(MONTH(A257),Capacity!$I$6:$T$6,0))</f>
        <v>0</v>
      </c>
      <c r="L257" s="404" t="str">
        <f t="shared" ca="1" si="27"/>
        <v>Y</v>
      </c>
      <c r="M257" s="309" t="str">
        <f t="shared" ca="1" si="28"/>
        <v>Y</v>
      </c>
      <c r="N257" s="323"/>
    </row>
    <row r="258" spans="1:14" x14ac:dyDescent="0.2">
      <c r="A258" s="409">
        <v>43710</v>
      </c>
      <c r="B258" s="304">
        <v>245</v>
      </c>
      <c r="C258" s="304">
        <f t="shared" ca="1" si="30"/>
        <v>0.125</v>
      </c>
      <c r="D258" s="304">
        <f t="shared" ca="1" si="30"/>
        <v>0</v>
      </c>
      <c r="E258" s="304">
        <f t="shared" ca="1" si="30"/>
        <v>2</v>
      </c>
      <c r="F258" s="304">
        <f t="shared" ca="1" si="30"/>
        <v>2</v>
      </c>
      <c r="G258" s="304"/>
      <c r="H258" s="304">
        <f t="shared" ca="1" si="25"/>
        <v>4.125</v>
      </c>
      <c r="I258" s="404">
        <f t="shared" ca="1" si="26"/>
        <v>0</v>
      </c>
      <c r="J258" s="404">
        <f>INDEX(Capacity!$I$15:$T$15,,MATCH(MONTH(A258),Capacity!$I$6:$T$6,0))</f>
        <v>0</v>
      </c>
      <c r="K258" s="404">
        <f>INDEX(Capacity!$I$17:$T$17,,MATCH(MONTH(A258),Capacity!$I$6:$T$6,0))</f>
        <v>0</v>
      </c>
      <c r="L258" s="404" t="str">
        <f t="shared" ca="1" si="27"/>
        <v>Y</v>
      </c>
      <c r="M258" s="309" t="str">
        <f t="shared" ca="1" si="28"/>
        <v>Y</v>
      </c>
      <c r="N258" s="323"/>
    </row>
    <row r="259" spans="1:14" x14ac:dyDescent="0.2">
      <c r="A259" s="409">
        <v>43711</v>
      </c>
      <c r="B259" s="304">
        <v>246</v>
      </c>
      <c r="C259" s="304">
        <f t="shared" ca="1" si="30"/>
        <v>0.125</v>
      </c>
      <c r="D259" s="304">
        <f t="shared" ca="1" si="30"/>
        <v>0</v>
      </c>
      <c r="E259" s="304">
        <f t="shared" ca="1" si="30"/>
        <v>2</v>
      </c>
      <c r="F259" s="304">
        <f t="shared" ca="1" si="30"/>
        <v>2</v>
      </c>
      <c r="G259" s="304"/>
      <c r="H259" s="304">
        <f t="shared" ca="1" si="25"/>
        <v>4.125</v>
      </c>
      <c r="I259" s="404">
        <f t="shared" ca="1" si="26"/>
        <v>0</v>
      </c>
      <c r="J259" s="404">
        <f>INDEX(Capacity!$I$15:$T$15,,MATCH(MONTH(A259),Capacity!$I$6:$T$6,0))</f>
        <v>0</v>
      </c>
      <c r="K259" s="404">
        <f>INDEX(Capacity!$I$17:$T$17,,MATCH(MONTH(A259),Capacity!$I$6:$T$6,0))</f>
        <v>0</v>
      </c>
      <c r="L259" s="404" t="str">
        <f t="shared" ca="1" si="27"/>
        <v>Y</v>
      </c>
      <c r="M259" s="309" t="str">
        <f t="shared" ca="1" si="28"/>
        <v>Y</v>
      </c>
      <c r="N259" s="323"/>
    </row>
    <row r="260" spans="1:14" x14ac:dyDescent="0.2">
      <c r="A260" s="409">
        <v>43712</v>
      </c>
      <c r="B260" s="304">
        <v>247</v>
      </c>
      <c r="C260" s="304">
        <f t="shared" ca="1" si="30"/>
        <v>0.125</v>
      </c>
      <c r="D260" s="304">
        <f t="shared" ca="1" si="30"/>
        <v>0</v>
      </c>
      <c r="E260" s="304">
        <f t="shared" ca="1" si="30"/>
        <v>2</v>
      </c>
      <c r="F260" s="304">
        <f t="shared" ca="1" si="30"/>
        <v>2</v>
      </c>
      <c r="G260" s="304"/>
      <c r="H260" s="304">
        <f t="shared" ca="1" si="25"/>
        <v>4.125</v>
      </c>
      <c r="I260" s="404">
        <f t="shared" ca="1" si="26"/>
        <v>0</v>
      </c>
      <c r="J260" s="404">
        <f>INDEX(Capacity!$I$15:$T$15,,MATCH(MONTH(A260),Capacity!$I$6:$T$6,0))</f>
        <v>0</v>
      </c>
      <c r="K260" s="404">
        <f>INDEX(Capacity!$I$17:$T$17,,MATCH(MONTH(A260),Capacity!$I$6:$T$6,0))</f>
        <v>0</v>
      </c>
      <c r="L260" s="404" t="str">
        <f t="shared" ca="1" si="27"/>
        <v>Y</v>
      </c>
      <c r="M260" s="309" t="str">
        <f t="shared" ca="1" si="28"/>
        <v>Y</v>
      </c>
      <c r="N260" s="323"/>
    </row>
    <row r="261" spans="1:14" x14ac:dyDescent="0.2">
      <c r="A261" s="409">
        <v>43713</v>
      </c>
      <c r="B261" s="304">
        <v>248</v>
      </c>
      <c r="C261" s="304">
        <f t="shared" ca="1" si="30"/>
        <v>0.125</v>
      </c>
      <c r="D261" s="304">
        <f t="shared" ca="1" si="30"/>
        <v>0</v>
      </c>
      <c r="E261" s="304">
        <f t="shared" ca="1" si="30"/>
        <v>2</v>
      </c>
      <c r="F261" s="304">
        <f t="shared" ca="1" si="30"/>
        <v>2</v>
      </c>
      <c r="G261" s="304"/>
      <c r="H261" s="304">
        <f t="shared" ca="1" si="25"/>
        <v>4.125</v>
      </c>
      <c r="I261" s="404">
        <f t="shared" ca="1" si="26"/>
        <v>0</v>
      </c>
      <c r="J261" s="404">
        <f>INDEX(Capacity!$I$15:$T$15,,MATCH(MONTH(A261),Capacity!$I$6:$T$6,0))</f>
        <v>0</v>
      </c>
      <c r="K261" s="404">
        <f>INDEX(Capacity!$I$17:$T$17,,MATCH(MONTH(A261),Capacity!$I$6:$T$6,0))</f>
        <v>0</v>
      </c>
      <c r="L261" s="404" t="str">
        <f t="shared" ca="1" si="27"/>
        <v>Y</v>
      </c>
      <c r="M261" s="309" t="str">
        <f t="shared" ca="1" si="28"/>
        <v>Y</v>
      </c>
      <c r="N261" s="323"/>
    </row>
    <row r="262" spans="1:14" x14ac:dyDescent="0.2">
      <c r="A262" s="409">
        <v>43714</v>
      </c>
      <c r="B262" s="304">
        <v>249</v>
      </c>
      <c r="C262" s="304">
        <f t="shared" ca="1" si="30"/>
        <v>0.125</v>
      </c>
      <c r="D262" s="304">
        <f t="shared" ca="1" si="30"/>
        <v>0</v>
      </c>
      <c r="E262" s="304">
        <f t="shared" ca="1" si="30"/>
        <v>2</v>
      </c>
      <c r="F262" s="304">
        <f t="shared" ca="1" si="30"/>
        <v>2</v>
      </c>
      <c r="G262" s="304"/>
      <c r="H262" s="304">
        <f t="shared" ca="1" si="25"/>
        <v>4.125</v>
      </c>
      <c r="I262" s="404">
        <f t="shared" ca="1" si="26"/>
        <v>0</v>
      </c>
      <c r="J262" s="404">
        <f>INDEX(Capacity!$I$15:$T$15,,MATCH(MONTH(A262),Capacity!$I$6:$T$6,0))</f>
        <v>0</v>
      </c>
      <c r="K262" s="404">
        <f>INDEX(Capacity!$I$17:$T$17,,MATCH(MONTH(A262),Capacity!$I$6:$T$6,0))</f>
        <v>0</v>
      </c>
      <c r="L262" s="404" t="str">
        <f t="shared" ca="1" si="27"/>
        <v>Y</v>
      </c>
      <c r="M262" s="309" t="str">
        <f t="shared" ca="1" si="28"/>
        <v>Y</v>
      </c>
      <c r="N262" s="323"/>
    </row>
    <row r="263" spans="1:14" x14ac:dyDescent="0.2">
      <c r="A263" s="409">
        <v>43715</v>
      </c>
      <c r="B263" s="304">
        <v>250</v>
      </c>
      <c r="C263" s="304">
        <f t="shared" ca="1" si="30"/>
        <v>0.125</v>
      </c>
      <c r="D263" s="304">
        <f t="shared" ca="1" si="30"/>
        <v>0</v>
      </c>
      <c r="E263" s="304">
        <f t="shared" ca="1" si="30"/>
        <v>2</v>
      </c>
      <c r="F263" s="304">
        <f t="shared" ca="1" si="30"/>
        <v>2</v>
      </c>
      <c r="G263" s="304"/>
      <c r="H263" s="304">
        <f t="shared" ca="1" si="25"/>
        <v>4.125</v>
      </c>
      <c r="I263" s="404">
        <f t="shared" ca="1" si="26"/>
        <v>0</v>
      </c>
      <c r="J263" s="404">
        <f>INDEX(Capacity!$I$15:$T$15,,MATCH(MONTH(A263),Capacity!$I$6:$T$6,0))</f>
        <v>0</v>
      </c>
      <c r="K263" s="404">
        <f>INDEX(Capacity!$I$17:$T$17,,MATCH(MONTH(A263),Capacity!$I$6:$T$6,0))</f>
        <v>0</v>
      </c>
      <c r="L263" s="404" t="str">
        <f t="shared" ca="1" si="27"/>
        <v>Y</v>
      </c>
      <c r="M263" s="309" t="str">
        <f t="shared" ca="1" si="28"/>
        <v>Y</v>
      </c>
      <c r="N263" s="323"/>
    </row>
    <row r="264" spans="1:14" x14ac:dyDescent="0.2">
      <c r="A264" s="409">
        <v>43716</v>
      </c>
      <c r="B264" s="304">
        <v>251</v>
      </c>
      <c r="C264" s="304">
        <f t="shared" ca="1" si="30"/>
        <v>0.125</v>
      </c>
      <c r="D264" s="304">
        <f t="shared" ca="1" si="30"/>
        <v>0</v>
      </c>
      <c r="E264" s="304">
        <f t="shared" ca="1" si="30"/>
        <v>2</v>
      </c>
      <c r="F264" s="304">
        <f t="shared" ca="1" si="30"/>
        <v>2</v>
      </c>
      <c r="G264" s="304"/>
      <c r="H264" s="304">
        <f t="shared" ca="1" si="25"/>
        <v>4.125</v>
      </c>
      <c r="I264" s="404">
        <f t="shared" ca="1" si="26"/>
        <v>0</v>
      </c>
      <c r="J264" s="404">
        <f>INDEX(Capacity!$I$15:$T$15,,MATCH(MONTH(A264),Capacity!$I$6:$T$6,0))</f>
        <v>0</v>
      </c>
      <c r="K264" s="404">
        <f>INDEX(Capacity!$I$17:$T$17,,MATCH(MONTH(A264),Capacity!$I$6:$T$6,0))</f>
        <v>0</v>
      </c>
      <c r="L264" s="404" t="str">
        <f t="shared" ca="1" si="27"/>
        <v>Y</v>
      </c>
      <c r="M264" s="309" t="str">
        <f t="shared" ca="1" si="28"/>
        <v>Y</v>
      </c>
      <c r="N264" s="323"/>
    </row>
    <row r="265" spans="1:14" x14ac:dyDescent="0.2">
      <c r="A265" s="409">
        <v>43717</v>
      </c>
      <c r="B265" s="304">
        <v>252</v>
      </c>
      <c r="C265" s="304">
        <f t="shared" ca="1" si="30"/>
        <v>0.125</v>
      </c>
      <c r="D265" s="304">
        <f t="shared" ca="1" si="30"/>
        <v>0</v>
      </c>
      <c r="E265" s="304">
        <f t="shared" ca="1" si="30"/>
        <v>2</v>
      </c>
      <c r="F265" s="304">
        <f t="shared" ca="1" si="30"/>
        <v>2</v>
      </c>
      <c r="G265" s="304"/>
      <c r="H265" s="304">
        <f t="shared" ca="1" si="25"/>
        <v>4.125</v>
      </c>
      <c r="I265" s="404">
        <f t="shared" ca="1" si="26"/>
        <v>0</v>
      </c>
      <c r="J265" s="404">
        <f>INDEX(Capacity!$I$15:$T$15,,MATCH(MONTH(A265),Capacity!$I$6:$T$6,0))</f>
        <v>0</v>
      </c>
      <c r="K265" s="404">
        <f>INDEX(Capacity!$I$17:$T$17,,MATCH(MONTH(A265),Capacity!$I$6:$T$6,0))</f>
        <v>0</v>
      </c>
      <c r="L265" s="404" t="str">
        <f t="shared" ca="1" si="27"/>
        <v>Y</v>
      </c>
      <c r="M265" s="309" t="str">
        <f t="shared" ca="1" si="28"/>
        <v>Y</v>
      </c>
      <c r="N265" s="323"/>
    </row>
    <row r="266" spans="1:14" x14ac:dyDescent="0.2">
      <c r="A266" s="409">
        <v>43718</v>
      </c>
      <c r="B266" s="304">
        <v>253</v>
      </c>
      <c r="C266" s="304">
        <f t="shared" ca="1" si="30"/>
        <v>0.125</v>
      </c>
      <c r="D266" s="304">
        <f t="shared" ca="1" si="30"/>
        <v>0</v>
      </c>
      <c r="E266" s="304">
        <f t="shared" ca="1" si="30"/>
        <v>2</v>
      </c>
      <c r="F266" s="304">
        <f t="shared" ca="1" si="30"/>
        <v>2</v>
      </c>
      <c r="G266" s="304"/>
      <c r="H266" s="304">
        <f t="shared" ca="1" si="25"/>
        <v>4.125</v>
      </c>
      <c r="I266" s="404">
        <f t="shared" ca="1" si="26"/>
        <v>0</v>
      </c>
      <c r="J266" s="404">
        <f>INDEX(Capacity!$I$15:$T$15,,MATCH(MONTH(A266),Capacity!$I$6:$T$6,0))</f>
        <v>0</v>
      </c>
      <c r="K266" s="404">
        <f>INDEX(Capacity!$I$17:$T$17,,MATCH(MONTH(A266),Capacity!$I$6:$T$6,0))</f>
        <v>0</v>
      </c>
      <c r="L266" s="404" t="str">
        <f t="shared" ca="1" si="27"/>
        <v>Y</v>
      </c>
      <c r="M266" s="309" t="str">
        <f t="shared" ca="1" si="28"/>
        <v>Y</v>
      </c>
      <c r="N266" s="323"/>
    </row>
    <row r="267" spans="1:14" x14ac:dyDescent="0.2">
      <c r="A267" s="409">
        <v>43719</v>
      </c>
      <c r="B267" s="304">
        <v>254</v>
      </c>
      <c r="C267" s="304">
        <f t="shared" ca="1" si="30"/>
        <v>0.125</v>
      </c>
      <c r="D267" s="304">
        <f t="shared" ca="1" si="30"/>
        <v>0</v>
      </c>
      <c r="E267" s="304">
        <f t="shared" ca="1" si="30"/>
        <v>2</v>
      </c>
      <c r="F267" s="304">
        <f t="shared" ca="1" si="30"/>
        <v>2</v>
      </c>
      <c r="G267" s="304"/>
      <c r="H267" s="304">
        <f t="shared" ca="1" si="25"/>
        <v>4.125</v>
      </c>
      <c r="I267" s="404">
        <f t="shared" ca="1" si="26"/>
        <v>0</v>
      </c>
      <c r="J267" s="404">
        <f>INDEX(Capacity!$I$15:$T$15,,MATCH(MONTH(A267),Capacity!$I$6:$T$6,0))</f>
        <v>0</v>
      </c>
      <c r="K267" s="404">
        <f>INDEX(Capacity!$I$17:$T$17,,MATCH(MONTH(A267),Capacity!$I$6:$T$6,0))</f>
        <v>0</v>
      </c>
      <c r="L267" s="404" t="str">
        <f t="shared" ca="1" si="27"/>
        <v>Y</v>
      </c>
      <c r="M267" s="309" t="str">
        <f t="shared" ca="1" si="28"/>
        <v>Y</v>
      </c>
      <c r="N267" s="323"/>
    </row>
    <row r="268" spans="1:14" x14ac:dyDescent="0.2">
      <c r="A268" s="409">
        <v>43720</v>
      </c>
      <c r="B268" s="304">
        <v>255</v>
      </c>
      <c r="C268" s="304">
        <f t="shared" ca="1" si="30"/>
        <v>0.125</v>
      </c>
      <c r="D268" s="304">
        <f t="shared" ca="1" si="30"/>
        <v>0</v>
      </c>
      <c r="E268" s="304">
        <f t="shared" ca="1" si="30"/>
        <v>2</v>
      </c>
      <c r="F268" s="304">
        <f t="shared" ca="1" si="30"/>
        <v>2</v>
      </c>
      <c r="G268" s="304"/>
      <c r="H268" s="304">
        <f t="shared" ca="1" si="25"/>
        <v>4.125</v>
      </c>
      <c r="I268" s="404">
        <f t="shared" ca="1" si="26"/>
        <v>0</v>
      </c>
      <c r="J268" s="404">
        <f>INDEX(Capacity!$I$15:$T$15,,MATCH(MONTH(A268),Capacity!$I$6:$T$6,0))</f>
        <v>0</v>
      </c>
      <c r="K268" s="404">
        <f>INDEX(Capacity!$I$17:$T$17,,MATCH(MONTH(A268),Capacity!$I$6:$T$6,0))</f>
        <v>0</v>
      </c>
      <c r="L268" s="404" t="str">
        <f t="shared" ca="1" si="27"/>
        <v>Y</v>
      </c>
      <c r="M268" s="309" t="str">
        <f t="shared" ca="1" si="28"/>
        <v>Y</v>
      </c>
      <c r="N268" s="323"/>
    </row>
    <row r="269" spans="1:14" x14ac:dyDescent="0.2">
      <c r="A269" s="409">
        <v>43721</v>
      </c>
      <c r="B269" s="304">
        <v>256</v>
      </c>
      <c r="C269" s="304">
        <f t="shared" ca="1" si="30"/>
        <v>0.125</v>
      </c>
      <c r="D269" s="304">
        <f t="shared" ca="1" si="30"/>
        <v>0</v>
      </c>
      <c r="E269" s="304">
        <f t="shared" ca="1" si="30"/>
        <v>2</v>
      </c>
      <c r="F269" s="304">
        <f t="shared" ca="1" si="30"/>
        <v>2</v>
      </c>
      <c r="G269" s="304"/>
      <c r="H269" s="304">
        <f t="shared" ca="1" si="25"/>
        <v>4.125</v>
      </c>
      <c r="I269" s="404">
        <f t="shared" ca="1" si="26"/>
        <v>0</v>
      </c>
      <c r="J269" s="404">
        <f>INDEX(Capacity!$I$15:$T$15,,MATCH(MONTH(A269),Capacity!$I$6:$T$6,0))</f>
        <v>0</v>
      </c>
      <c r="K269" s="404">
        <f>INDEX(Capacity!$I$17:$T$17,,MATCH(MONTH(A269),Capacity!$I$6:$T$6,0))</f>
        <v>0</v>
      </c>
      <c r="L269" s="404" t="str">
        <f t="shared" ca="1" si="27"/>
        <v>Y</v>
      </c>
      <c r="M269" s="309" t="str">
        <f t="shared" ca="1" si="28"/>
        <v>Y</v>
      </c>
      <c r="N269" s="323"/>
    </row>
    <row r="270" spans="1:14" x14ac:dyDescent="0.2">
      <c r="A270" s="409">
        <v>43722</v>
      </c>
      <c r="B270" s="304">
        <v>257</v>
      </c>
      <c r="C270" s="304">
        <f t="shared" ca="1" si="30"/>
        <v>0.125</v>
      </c>
      <c r="D270" s="304">
        <f t="shared" ca="1" si="30"/>
        <v>0</v>
      </c>
      <c r="E270" s="304">
        <f t="shared" ca="1" si="30"/>
        <v>2</v>
      </c>
      <c r="F270" s="304">
        <f t="shared" ca="1" si="30"/>
        <v>2</v>
      </c>
      <c r="G270" s="304"/>
      <c r="H270" s="304">
        <f t="shared" ref="H270:H333" ca="1" si="31">SUM(C270:G270)</f>
        <v>4.125</v>
      </c>
      <c r="I270" s="404">
        <f t="shared" ref="I270:I333" ca="1" si="32">SUMPRODUCT($C$8:$G$8,$C$7:$G$7,C270:G270)</f>
        <v>0</v>
      </c>
      <c r="J270" s="404">
        <f>INDEX(Capacity!$I$15:$T$15,,MATCH(MONTH(A270),Capacity!$I$6:$T$6,0))</f>
        <v>0</v>
      </c>
      <c r="K270" s="404">
        <f>INDEX(Capacity!$I$17:$T$17,,MATCH(MONTH(A270),Capacity!$I$6:$T$6,0))</f>
        <v>0</v>
      </c>
      <c r="L270" s="404" t="str">
        <f t="shared" ca="1" si="27"/>
        <v>Y</v>
      </c>
      <c r="M270" s="309" t="str">
        <f t="shared" ca="1" si="28"/>
        <v>Y</v>
      </c>
      <c r="N270" s="323"/>
    </row>
    <row r="271" spans="1:14" x14ac:dyDescent="0.2">
      <c r="A271" s="409">
        <v>43723</v>
      </c>
      <c r="B271" s="304">
        <v>258</v>
      </c>
      <c r="C271" s="304">
        <f t="shared" ca="1" si="30"/>
        <v>0.125</v>
      </c>
      <c r="D271" s="304">
        <f t="shared" ca="1" si="30"/>
        <v>0</v>
      </c>
      <c r="E271" s="304">
        <f t="shared" ca="1" si="30"/>
        <v>2</v>
      </c>
      <c r="F271" s="304">
        <f t="shared" ca="1" si="30"/>
        <v>2</v>
      </c>
      <c r="G271" s="304"/>
      <c r="H271" s="304">
        <f t="shared" ca="1" si="31"/>
        <v>4.125</v>
      </c>
      <c r="I271" s="404">
        <f t="shared" ca="1" si="32"/>
        <v>0</v>
      </c>
      <c r="J271" s="404">
        <f>INDEX(Capacity!$I$15:$T$15,,MATCH(MONTH(A271),Capacity!$I$6:$T$6,0))</f>
        <v>0</v>
      </c>
      <c r="K271" s="404">
        <f>INDEX(Capacity!$I$17:$T$17,,MATCH(MONTH(A271),Capacity!$I$6:$T$6,0))</f>
        <v>0</v>
      </c>
      <c r="L271" s="404" t="str">
        <f t="shared" ref="L271:L334" ca="1" si="33">IF(I271&lt;=J271,"Y","N")</f>
        <v>Y</v>
      </c>
      <c r="M271" s="309" t="str">
        <f t="shared" ref="M271:M334" ca="1" si="34">IF(I271&lt;=K271,"Y","N")</f>
        <v>Y</v>
      </c>
      <c r="N271" s="323"/>
    </row>
    <row r="272" spans="1:14" x14ac:dyDescent="0.2">
      <c r="A272" s="409">
        <v>43724</v>
      </c>
      <c r="B272" s="304">
        <v>259</v>
      </c>
      <c r="C272" s="304">
        <f t="shared" ca="1" si="30"/>
        <v>0.125</v>
      </c>
      <c r="D272" s="304">
        <f t="shared" ca="1" si="30"/>
        <v>0</v>
      </c>
      <c r="E272" s="304">
        <f t="shared" ca="1" si="30"/>
        <v>2</v>
      </c>
      <c r="F272" s="304">
        <f t="shared" ca="1" si="30"/>
        <v>2</v>
      </c>
      <c r="G272" s="304"/>
      <c r="H272" s="304">
        <f t="shared" ca="1" si="31"/>
        <v>4.125</v>
      </c>
      <c r="I272" s="404">
        <f t="shared" ca="1" si="32"/>
        <v>0</v>
      </c>
      <c r="J272" s="404">
        <f>INDEX(Capacity!$I$15:$T$15,,MATCH(MONTH(A272),Capacity!$I$6:$T$6,0))</f>
        <v>0</v>
      </c>
      <c r="K272" s="404">
        <f>INDEX(Capacity!$I$17:$T$17,,MATCH(MONTH(A272),Capacity!$I$6:$T$6,0))</f>
        <v>0</v>
      </c>
      <c r="L272" s="404" t="str">
        <f t="shared" ca="1" si="33"/>
        <v>Y</v>
      </c>
      <c r="M272" s="309" t="str">
        <f t="shared" ca="1" si="34"/>
        <v>Y</v>
      </c>
      <c r="N272" s="323"/>
    </row>
    <row r="273" spans="1:14" x14ac:dyDescent="0.2">
      <c r="A273" s="409">
        <v>43725</v>
      </c>
      <c r="B273" s="304">
        <v>260</v>
      </c>
      <c r="C273" s="304">
        <f t="shared" ca="1" si="30"/>
        <v>0.125</v>
      </c>
      <c r="D273" s="304">
        <f t="shared" ca="1" si="30"/>
        <v>0</v>
      </c>
      <c r="E273" s="304">
        <f t="shared" ca="1" si="30"/>
        <v>2</v>
      </c>
      <c r="F273" s="304">
        <f t="shared" ca="1" si="30"/>
        <v>2</v>
      </c>
      <c r="G273" s="304"/>
      <c r="H273" s="304">
        <f t="shared" ca="1" si="31"/>
        <v>4.125</v>
      </c>
      <c r="I273" s="404">
        <f t="shared" ca="1" si="32"/>
        <v>0</v>
      </c>
      <c r="J273" s="404">
        <f>INDEX(Capacity!$I$15:$T$15,,MATCH(MONTH(A273),Capacity!$I$6:$T$6,0))</f>
        <v>0</v>
      </c>
      <c r="K273" s="404">
        <f>INDEX(Capacity!$I$17:$T$17,,MATCH(MONTH(A273),Capacity!$I$6:$T$6,0))</f>
        <v>0</v>
      </c>
      <c r="L273" s="404" t="str">
        <f t="shared" ca="1" si="33"/>
        <v>Y</v>
      </c>
      <c r="M273" s="309" t="str">
        <f t="shared" ca="1" si="34"/>
        <v>Y</v>
      </c>
      <c r="N273" s="323"/>
    </row>
    <row r="274" spans="1:14" x14ac:dyDescent="0.2">
      <c r="A274" s="409">
        <v>43726</v>
      </c>
      <c r="B274" s="304">
        <v>261</v>
      </c>
      <c r="C274" s="304">
        <f t="shared" ca="1" si="30"/>
        <v>0.125</v>
      </c>
      <c r="D274" s="304">
        <f t="shared" ca="1" si="30"/>
        <v>0</v>
      </c>
      <c r="E274" s="304">
        <f t="shared" ca="1" si="30"/>
        <v>2</v>
      </c>
      <c r="F274" s="304">
        <f t="shared" ca="1" si="30"/>
        <v>2</v>
      </c>
      <c r="G274" s="304"/>
      <c r="H274" s="304">
        <f t="shared" ca="1" si="31"/>
        <v>4.125</v>
      </c>
      <c r="I274" s="404">
        <f t="shared" ca="1" si="32"/>
        <v>0</v>
      </c>
      <c r="J274" s="404">
        <f>INDEX(Capacity!$I$15:$T$15,,MATCH(MONTH(A274),Capacity!$I$6:$T$6,0))</f>
        <v>0</v>
      </c>
      <c r="K274" s="404">
        <f>INDEX(Capacity!$I$17:$T$17,,MATCH(MONTH(A274),Capacity!$I$6:$T$6,0))</f>
        <v>0</v>
      </c>
      <c r="L274" s="404" t="str">
        <f t="shared" ca="1" si="33"/>
        <v>Y</v>
      </c>
      <c r="M274" s="309" t="str">
        <f t="shared" ca="1" si="34"/>
        <v>Y</v>
      </c>
      <c r="N274" s="323"/>
    </row>
    <row r="275" spans="1:14" x14ac:dyDescent="0.2">
      <c r="A275" s="409">
        <v>43727</v>
      </c>
      <c r="B275" s="304">
        <v>262</v>
      </c>
      <c r="C275" s="304">
        <f t="shared" ca="1" si="30"/>
        <v>0.125</v>
      </c>
      <c r="D275" s="304">
        <f t="shared" ca="1" si="30"/>
        <v>0</v>
      </c>
      <c r="E275" s="304">
        <f t="shared" ca="1" si="30"/>
        <v>2</v>
      </c>
      <c r="F275" s="304">
        <f t="shared" ca="1" si="30"/>
        <v>2</v>
      </c>
      <c r="G275" s="304"/>
      <c r="H275" s="304">
        <f t="shared" ca="1" si="31"/>
        <v>4.125</v>
      </c>
      <c r="I275" s="404">
        <f t="shared" ca="1" si="32"/>
        <v>0</v>
      </c>
      <c r="J275" s="404">
        <f>INDEX(Capacity!$I$15:$T$15,,MATCH(MONTH(A275),Capacity!$I$6:$T$6,0))</f>
        <v>0</v>
      </c>
      <c r="K275" s="404">
        <f>INDEX(Capacity!$I$17:$T$17,,MATCH(MONTH(A275),Capacity!$I$6:$T$6,0))</f>
        <v>0</v>
      </c>
      <c r="L275" s="404" t="str">
        <f t="shared" ca="1" si="33"/>
        <v>Y</v>
      </c>
      <c r="M275" s="309" t="str">
        <f t="shared" ca="1" si="34"/>
        <v>Y</v>
      </c>
      <c r="N275" s="323"/>
    </row>
    <row r="276" spans="1:14" x14ac:dyDescent="0.2">
      <c r="A276" s="409">
        <v>43728</v>
      </c>
      <c r="B276" s="304">
        <v>263</v>
      </c>
      <c r="C276" s="304">
        <f t="shared" ref="C276:F307" ca="1" si="35">IFERROR(IF(C$9=365,1/C$6,IF(C$12="",IF(C$11&gt;=C$10,IF(AND($B276&gt;=C$10+C$6, $B276&lt;=C$11),1/C$6,0),IF(OR($B276&gt;=C$10+C$6, $B276&lt;=C$11),1/C$6,0)),IF(OR(C$11&gt;=C$10,C$13&gt;=C$12),IF(OR(AND($B276&gt;=C$10+C$6, $B276&lt;=C$11),AND($B276&gt;=C$12+C$6, $B276&lt;=C$13)),1/C$6,0),IF(OR($B276&gt;=C$10+C$6, $B276&lt;=C$11,$B276&gt;=C$12+C$6, $B276&lt;=C$13),1/C$6,0)))),"Unknown; user input required")</f>
        <v>0.125</v>
      </c>
      <c r="D276" s="304">
        <f t="shared" ca="1" si="35"/>
        <v>0</v>
      </c>
      <c r="E276" s="304">
        <f t="shared" ca="1" si="35"/>
        <v>2</v>
      </c>
      <c r="F276" s="304">
        <f t="shared" ca="1" si="35"/>
        <v>2</v>
      </c>
      <c r="G276" s="304"/>
      <c r="H276" s="304">
        <f t="shared" ca="1" si="31"/>
        <v>4.125</v>
      </c>
      <c r="I276" s="404">
        <f t="shared" ca="1" si="32"/>
        <v>0</v>
      </c>
      <c r="J276" s="404">
        <f>INDEX(Capacity!$I$15:$T$15,,MATCH(MONTH(A276),Capacity!$I$6:$T$6,0))</f>
        <v>0</v>
      </c>
      <c r="K276" s="404">
        <f>INDEX(Capacity!$I$17:$T$17,,MATCH(MONTH(A276),Capacity!$I$6:$T$6,0))</f>
        <v>0</v>
      </c>
      <c r="L276" s="404" t="str">
        <f t="shared" ca="1" si="33"/>
        <v>Y</v>
      </c>
      <c r="M276" s="309" t="str">
        <f t="shared" ca="1" si="34"/>
        <v>Y</v>
      </c>
      <c r="N276" s="323"/>
    </row>
    <row r="277" spans="1:14" x14ac:dyDescent="0.2">
      <c r="A277" s="409">
        <v>43729</v>
      </c>
      <c r="B277" s="304">
        <v>264</v>
      </c>
      <c r="C277" s="304">
        <f t="shared" ca="1" si="35"/>
        <v>0.125</v>
      </c>
      <c r="D277" s="304">
        <f t="shared" ca="1" si="35"/>
        <v>0</v>
      </c>
      <c r="E277" s="304">
        <f t="shared" ca="1" si="35"/>
        <v>2</v>
      </c>
      <c r="F277" s="304">
        <f t="shared" ca="1" si="35"/>
        <v>2</v>
      </c>
      <c r="G277" s="304"/>
      <c r="H277" s="304">
        <f t="shared" ca="1" si="31"/>
        <v>4.125</v>
      </c>
      <c r="I277" s="404">
        <f t="shared" ca="1" si="32"/>
        <v>0</v>
      </c>
      <c r="J277" s="404">
        <f>INDEX(Capacity!$I$15:$T$15,,MATCH(MONTH(A277),Capacity!$I$6:$T$6,0))</f>
        <v>0</v>
      </c>
      <c r="K277" s="404">
        <f>INDEX(Capacity!$I$17:$T$17,,MATCH(MONTH(A277),Capacity!$I$6:$T$6,0))</f>
        <v>0</v>
      </c>
      <c r="L277" s="404" t="str">
        <f t="shared" ca="1" si="33"/>
        <v>Y</v>
      </c>
      <c r="M277" s="309" t="str">
        <f t="shared" ca="1" si="34"/>
        <v>Y</v>
      </c>
      <c r="N277" s="323"/>
    </row>
    <row r="278" spans="1:14" x14ac:dyDescent="0.2">
      <c r="A278" s="409">
        <v>43730</v>
      </c>
      <c r="B278" s="304">
        <v>265</v>
      </c>
      <c r="C278" s="304">
        <f t="shared" ca="1" si="35"/>
        <v>0.125</v>
      </c>
      <c r="D278" s="304">
        <f t="shared" ca="1" si="35"/>
        <v>0</v>
      </c>
      <c r="E278" s="304">
        <f t="shared" ca="1" si="35"/>
        <v>2</v>
      </c>
      <c r="F278" s="304">
        <f t="shared" ca="1" si="35"/>
        <v>2</v>
      </c>
      <c r="G278" s="304"/>
      <c r="H278" s="304">
        <f t="shared" ca="1" si="31"/>
        <v>4.125</v>
      </c>
      <c r="I278" s="404">
        <f t="shared" ca="1" si="32"/>
        <v>0</v>
      </c>
      <c r="J278" s="404">
        <f>INDEX(Capacity!$I$15:$T$15,,MATCH(MONTH(A278),Capacity!$I$6:$T$6,0))</f>
        <v>0</v>
      </c>
      <c r="K278" s="404">
        <f>INDEX(Capacity!$I$17:$T$17,,MATCH(MONTH(A278),Capacity!$I$6:$T$6,0))</f>
        <v>0</v>
      </c>
      <c r="L278" s="404" t="str">
        <f t="shared" ca="1" si="33"/>
        <v>Y</v>
      </c>
      <c r="M278" s="309" t="str">
        <f t="shared" ca="1" si="34"/>
        <v>Y</v>
      </c>
      <c r="N278" s="323"/>
    </row>
    <row r="279" spans="1:14" x14ac:dyDescent="0.2">
      <c r="A279" s="409">
        <v>43731</v>
      </c>
      <c r="B279" s="304">
        <v>266</v>
      </c>
      <c r="C279" s="304">
        <f t="shared" ca="1" si="35"/>
        <v>0.125</v>
      </c>
      <c r="D279" s="304">
        <f t="shared" ca="1" si="35"/>
        <v>0</v>
      </c>
      <c r="E279" s="304">
        <f t="shared" ca="1" si="35"/>
        <v>2</v>
      </c>
      <c r="F279" s="304">
        <f t="shared" ca="1" si="35"/>
        <v>2</v>
      </c>
      <c r="G279" s="304"/>
      <c r="H279" s="304">
        <f t="shared" ca="1" si="31"/>
        <v>4.125</v>
      </c>
      <c r="I279" s="404">
        <f t="shared" ca="1" si="32"/>
        <v>0</v>
      </c>
      <c r="J279" s="404">
        <f>INDEX(Capacity!$I$15:$T$15,,MATCH(MONTH(A279),Capacity!$I$6:$T$6,0))</f>
        <v>0</v>
      </c>
      <c r="K279" s="404">
        <f>INDEX(Capacity!$I$17:$T$17,,MATCH(MONTH(A279),Capacity!$I$6:$T$6,0))</f>
        <v>0</v>
      </c>
      <c r="L279" s="404" t="str">
        <f t="shared" ca="1" si="33"/>
        <v>Y</v>
      </c>
      <c r="M279" s="309" t="str">
        <f t="shared" ca="1" si="34"/>
        <v>Y</v>
      </c>
      <c r="N279" s="323"/>
    </row>
    <row r="280" spans="1:14" x14ac:dyDescent="0.2">
      <c r="A280" s="409">
        <v>43732</v>
      </c>
      <c r="B280" s="304">
        <v>267</v>
      </c>
      <c r="C280" s="304">
        <f t="shared" ca="1" si="35"/>
        <v>0.125</v>
      </c>
      <c r="D280" s="304">
        <f t="shared" ca="1" si="35"/>
        <v>0</v>
      </c>
      <c r="E280" s="304">
        <f t="shared" ca="1" si="35"/>
        <v>2</v>
      </c>
      <c r="F280" s="304">
        <f t="shared" ca="1" si="35"/>
        <v>2</v>
      </c>
      <c r="G280" s="304"/>
      <c r="H280" s="304">
        <f t="shared" ca="1" si="31"/>
        <v>4.125</v>
      </c>
      <c r="I280" s="404">
        <f t="shared" ca="1" si="32"/>
        <v>0</v>
      </c>
      <c r="J280" s="404">
        <f>INDEX(Capacity!$I$15:$T$15,,MATCH(MONTH(A280),Capacity!$I$6:$T$6,0))</f>
        <v>0</v>
      </c>
      <c r="K280" s="404">
        <f>INDEX(Capacity!$I$17:$T$17,,MATCH(MONTH(A280),Capacity!$I$6:$T$6,0))</f>
        <v>0</v>
      </c>
      <c r="L280" s="404" t="str">
        <f t="shared" ca="1" si="33"/>
        <v>Y</v>
      </c>
      <c r="M280" s="309" t="str">
        <f t="shared" ca="1" si="34"/>
        <v>Y</v>
      </c>
      <c r="N280" s="323"/>
    </row>
    <row r="281" spans="1:14" x14ac:dyDescent="0.2">
      <c r="A281" s="409">
        <v>43733</v>
      </c>
      <c r="B281" s="304">
        <v>268</v>
      </c>
      <c r="C281" s="304">
        <f t="shared" ca="1" si="35"/>
        <v>0.125</v>
      </c>
      <c r="D281" s="304">
        <f t="shared" ca="1" si="35"/>
        <v>0</v>
      </c>
      <c r="E281" s="304">
        <f t="shared" ca="1" si="35"/>
        <v>2</v>
      </c>
      <c r="F281" s="304">
        <f t="shared" ca="1" si="35"/>
        <v>2</v>
      </c>
      <c r="G281" s="304"/>
      <c r="H281" s="304">
        <f t="shared" ca="1" si="31"/>
        <v>4.125</v>
      </c>
      <c r="I281" s="404">
        <f t="shared" ca="1" si="32"/>
        <v>0</v>
      </c>
      <c r="J281" s="404">
        <f>INDEX(Capacity!$I$15:$T$15,,MATCH(MONTH(A281),Capacity!$I$6:$T$6,0))</f>
        <v>0</v>
      </c>
      <c r="K281" s="404">
        <f>INDEX(Capacity!$I$17:$T$17,,MATCH(MONTH(A281),Capacity!$I$6:$T$6,0))</f>
        <v>0</v>
      </c>
      <c r="L281" s="404" t="str">
        <f t="shared" ca="1" si="33"/>
        <v>Y</v>
      </c>
      <c r="M281" s="309" t="str">
        <f t="shared" ca="1" si="34"/>
        <v>Y</v>
      </c>
      <c r="N281" s="323"/>
    </row>
    <row r="282" spans="1:14" x14ac:dyDescent="0.2">
      <c r="A282" s="409">
        <v>43734</v>
      </c>
      <c r="B282" s="304">
        <v>269</v>
      </c>
      <c r="C282" s="304">
        <f t="shared" ca="1" si="35"/>
        <v>0.125</v>
      </c>
      <c r="D282" s="304">
        <f t="shared" ca="1" si="35"/>
        <v>0</v>
      </c>
      <c r="E282" s="304">
        <f t="shared" ca="1" si="35"/>
        <v>2</v>
      </c>
      <c r="F282" s="304">
        <f t="shared" ca="1" si="35"/>
        <v>2</v>
      </c>
      <c r="G282" s="304"/>
      <c r="H282" s="304">
        <f t="shared" ca="1" si="31"/>
        <v>4.125</v>
      </c>
      <c r="I282" s="404">
        <f t="shared" ca="1" si="32"/>
        <v>0</v>
      </c>
      <c r="J282" s="404">
        <f>INDEX(Capacity!$I$15:$T$15,,MATCH(MONTH(A282),Capacity!$I$6:$T$6,0))</f>
        <v>0</v>
      </c>
      <c r="K282" s="404">
        <f>INDEX(Capacity!$I$17:$T$17,,MATCH(MONTH(A282),Capacity!$I$6:$T$6,0))</f>
        <v>0</v>
      </c>
      <c r="L282" s="404" t="str">
        <f t="shared" ca="1" si="33"/>
        <v>Y</v>
      </c>
      <c r="M282" s="309" t="str">
        <f t="shared" ca="1" si="34"/>
        <v>Y</v>
      </c>
      <c r="N282" s="323"/>
    </row>
    <row r="283" spans="1:14" x14ac:dyDescent="0.2">
      <c r="A283" s="409">
        <v>43735</v>
      </c>
      <c r="B283" s="304">
        <v>270</v>
      </c>
      <c r="C283" s="304">
        <f t="shared" ca="1" si="35"/>
        <v>0.125</v>
      </c>
      <c r="D283" s="304">
        <f t="shared" ca="1" si="35"/>
        <v>0</v>
      </c>
      <c r="E283" s="304">
        <f t="shared" ca="1" si="35"/>
        <v>2</v>
      </c>
      <c r="F283" s="304">
        <f t="shared" ca="1" si="35"/>
        <v>2</v>
      </c>
      <c r="G283" s="304"/>
      <c r="H283" s="304">
        <f t="shared" ca="1" si="31"/>
        <v>4.125</v>
      </c>
      <c r="I283" s="404">
        <f t="shared" ca="1" si="32"/>
        <v>0</v>
      </c>
      <c r="J283" s="404">
        <f>INDEX(Capacity!$I$15:$T$15,,MATCH(MONTH(A283),Capacity!$I$6:$T$6,0))</f>
        <v>0</v>
      </c>
      <c r="K283" s="404">
        <f>INDEX(Capacity!$I$17:$T$17,,MATCH(MONTH(A283),Capacity!$I$6:$T$6,0))</f>
        <v>0</v>
      </c>
      <c r="L283" s="404" t="str">
        <f t="shared" ca="1" si="33"/>
        <v>Y</v>
      </c>
      <c r="M283" s="309" t="str">
        <f t="shared" ca="1" si="34"/>
        <v>Y</v>
      </c>
      <c r="N283" s="323"/>
    </row>
    <row r="284" spans="1:14" x14ac:dyDescent="0.2">
      <c r="A284" s="409">
        <v>43736</v>
      </c>
      <c r="B284" s="304">
        <v>271</v>
      </c>
      <c r="C284" s="304">
        <f t="shared" ca="1" si="35"/>
        <v>0.125</v>
      </c>
      <c r="D284" s="304">
        <f t="shared" ca="1" si="35"/>
        <v>0</v>
      </c>
      <c r="E284" s="304">
        <f t="shared" ca="1" si="35"/>
        <v>0</v>
      </c>
      <c r="F284" s="304">
        <f t="shared" ca="1" si="35"/>
        <v>0</v>
      </c>
      <c r="G284" s="304"/>
      <c r="H284" s="304">
        <f t="shared" ca="1" si="31"/>
        <v>0.125</v>
      </c>
      <c r="I284" s="404">
        <f t="shared" ca="1" si="32"/>
        <v>0</v>
      </c>
      <c r="J284" s="404">
        <f>INDEX(Capacity!$I$15:$T$15,,MATCH(MONTH(A284),Capacity!$I$6:$T$6,0))</f>
        <v>0</v>
      </c>
      <c r="K284" s="404">
        <f>INDEX(Capacity!$I$17:$T$17,,MATCH(MONTH(A284),Capacity!$I$6:$T$6,0))</f>
        <v>0</v>
      </c>
      <c r="L284" s="404" t="str">
        <f t="shared" ca="1" si="33"/>
        <v>Y</v>
      </c>
      <c r="M284" s="309" t="str">
        <f t="shared" ca="1" si="34"/>
        <v>Y</v>
      </c>
      <c r="N284" s="323"/>
    </row>
    <row r="285" spans="1:14" x14ac:dyDescent="0.2">
      <c r="A285" s="409">
        <v>43737</v>
      </c>
      <c r="B285" s="304">
        <v>272</v>
      </c>
      <c r="C285" s="304">
        <f t="shared" ca="1" si="35"/>
        <v>0.125</v>
      </c>
      <c r="D285" s="304">
        <f t="shared" ca="1" si="35"/>
        <v>0</v>
      </c>
      <c r="E285" s="304">
        <f t="shared" ca="1" si="35"/>
        <v>0</v>
      </c>
      <c r="F285" s="304">
        <f t="shared" ca="1" si="35"/>
        <v>0</v>
      </c>
      <c r="G285" s="304"/>
      <c r="H285" s="304">
        <f t="shared" ca="1" si="31"/>
        <v>0.125</v>
      </c>
      <c r="I285" s="404">
        <f t="shared" ca="1" si="32"/>
        <v>0</v>
      </c>
      <c r="J285" s="404">
        <f>INDEX(Capacity!$I$15:$T$15,,MATCH(MONTH(A285),Capacity!$I$6:$T$6,0))</f>
        <v>0</v>
      </c>
      <c r="K285" s="404">
        <f>INDEX(Capacity!$I$17:$T$17,,MATCH(MONTH(A285),Capacity!$I$6:$T$6,0))</f>
        <v>0</v>
      </c>
      <c r="L285" s="404" t="str">
        <f t="shared" ca="1" si="33"/>
        <v>Y</v>
      </c>
      <c r="M285" s="309" t="str">
        <f t="shared" ca="1" si="34"/>
        <v>Y</v>
      </c>
      <c r="N285" s="323"/>
    </row>
    <row r="286" spans="1:14" x14ac:dyDescent="0.2">
      <c r="A286" s="409">
        <v>43738</v>
      </c>
      <c r="B286" s="304">
        <v>273</v>
      </c>
      <c r="C286" s="304">
        <f t="shared" ca="1" si="35"/>
        <v>0.125</v>
      </c>
      <c r="D286" s="304">
        <f t="shared" ca="1" si="35"/>
        <v>0</v>
      </c>
      <c r="E286" s="304">
        <f t="shared" ca="1" si="35"/>
        <v>0</v>
      </c>
      <c r="F286" s="304">
        <f t="shared" ca="1" si="35"/>
        <v>0</v>
      </c>
      <c r="G286" s="304"/>
      <c r="H286" s="304">
        <f t="shared" ca="1" si="31"/>
        <v>0.125</v>
      </c>
      <c r="I286" s="404">
        <f t="shared" ca="1" si="32"/>
        <v>0</v>
      </c>
      <c r="J286" s="404">
        <f>INDEX(Capacity!$I$15:$T$15,,MATCH(MONTH(A286),Capacity!$I$6:$T$6,0))</f>
        <v>0</v>
      </c>
      <c r="K286" s="404">
        <f>INDEX(Capacity!$I$17:$T$17,,MATCH(MONTH(A286),Capacity!$I$6:$T$6,0))</f>
        <v>0</v>
      </c>
      <c r="L286" s="404" t="str">
        <f t="shared" ca="1" si="33"/>
        <v>Y</v>
      </c>
      <c r="M286" s="309" t="str">
        <f t="shared" ca="1" si="34"/>
        <v>Y</v>
      </c>
      <c r="N286" s="323"/>
    </row>
    <row r="287" spans="1:14" x14ac:dyDescent="0.2">
      <c r="A287" s="409">
        <v>43739</v>
      </c>
      <c r="B287" s="304">
        <v>274</v>
      </c>
      <c r="C287" s="304">
        <f t="shared" ca="1" si="35"/>
        <v>0.125</v>
      </c>
      <c r="D287" s="304">
        <f t="shared" ca="1" si="35"/>
        <v>0</v>
      </c>
      <c r="E287" s="304">
        <f t="shared" ca="1" si="35"/>
        <v>0</v>
      </c>
      <c r="F287" s="304">
        <f t="shared" ca="1" si="35"/>
        <v>0</v>
      </c>
      <c r="G287" s="304"/>
      <c r="H287" s="304">
        <f t="shared" ca="1" si="31"/>
        <v>0.125</v>
      </c>
      <c r="I287" s="404">
        <f t="shared" ca="1" si="32"/>
        <v>0</v>
      </c>
      <c r="J287" s="404">
        <f>INDEX(Capacity!$I$15:$T$15,,MATCH(MONTH(A287),Capacity!$I$6:$T$6,0))</f>
        <v>0</v>
      </c>
      <c r="K287" s="404">
        <f>INDEX(Capacity!$I$17:$T$17,,MATCH(MONTH(A287),Capacity!$I$6:$T$6,0))</f>
        <v>0</v>
      </c>
      <c r="L287" s="404" t="str">
        <f t="shared" ca="1" si="33"/>
        <v>Y</v>
      </c>
      <c r="M287" s="309" t="str">
        <f t="shared" ca="1" si="34"/>
        <v>Y</v>
      </c>
      <c r="N287" s="323"/>
    </row>
    <row r="288" spans="1:14" x14ac:dyDescent="0.2">
      <c r="A288" s="409">
        <v>43740</v>
      </c>
      <c r="B288" s="304">
        <v>275</v>
      </c>
      <c r="C288" s="304">
        <f t="shared" ca="1" si="35"/>
        <v>0.125</v>
      </c>
      <c r="D288" s="304">
        <f t="shared" ca="1" si="35"/>
        <v>0</v>
      </c>
      <c r="E288" s="304">
        <f t="shared" ca="1" si="35"/>
        <v>0</v>
      </c>
      <c r="F288" s="304">
        <f t="shared" ca="1" si="35"/>
        <v>0</v>
      </c>
      <c r="G288" s="304"/>
      <c r="H288" s="304">
        <f t="shared" ca="1" si="31"/>
        <v>0.125</v>
      </c>
      <c r="I288" s="404">
        <f t="shared" ca="1" si="32"/>
        <v>0</v>
      </c>
      <c r="J288" s="404">
        <f>INDEX(Capacity!$I$15:$T$15,,MATCH(MONTH(A288),Capacity!$I$6:$T$6,0))</f>
        <v>0</v>
      </c>
      <c r="K288" s="404">
        <f>INDEX(Capacity!$I$17:$T$17,,MATCH(MONTH(A288),Capacity!$I$6:$T$6,0))</f>
        <v>0</v>
      </c>
      <c r="L288" s="404" t="str">
        <f t="shared" ca="1" si="33"/>
        <v>Y</v>
      </c>
      <c r="M288" s="309" t="str">
        <f t="shared" ca="1" si="34"/>
        <v>Y</v>
      </c>
      <c r="N288" s="323"/>
    </row>
    <row r="289" spans="1:14" x14ac:dyDescent="0.2">
      <c r="A289" s="409">
        <v>43741</v>
      </c>
      <c r="B289" s="304">
        <v>276</v>
      </c>
      <c r="C289" s="304">
        <f t="shared" ca="1" si="35"/>
        <v>0.125</v>
      </c>
      <c r="D289" s="304">
        <f t="shared" ca="1" si="35"/>
        <v>0</v>
      </c>
      <c r="E289" s="304">
        <f t="shared" ca="1" si="35"/>
        <v>0</v>
      </c>
      <c r="F289" s="304">
        <f t="shared" ca="1" si="35"/>
        <v>0</v>
      </c>
      <c r="G289" s="304"/>
      <c r="H289" s="304">
        <f t="shared" ca="1" si="31"/>
        <v>0.125</v>
      </c>
      <c r="I289" s="404">
        <f t="shared" ca="1" si="32"/>
        <v>0</v>
      </c>
      <c r="J289" s="404">
        <f>INDEX(Capacity!$I$15:$T$15,,MATCH(MONTH(A289),Capacity!$I$6:$T$6,0))</f>
        <v>0</v>
      </c>
      <c r="K289" s="404">
        <f>INDEX(Capacity!$I$17:$T$17,,MATCH(MONTH(A289),Capacity!$I$6:$T$6,0))</f>
        <v>0</v>
      </c>
      <c r="L289" s="404" t="str">
        <f t="shared" ca="1" si="33"/>
        <v>Y</v>
      </c>
      <c r="M289" s="309" t="str">
        <f t="shared" ca="1" si="34"/>
        <v>Y</v>
      </c>
      <c r="N289" s="323"/>
    </row>
    <row r="290" spans="1:14" x14ac:dyDescent="0.2">
      <c r="A290" s="409">
        <v>43742</v>
      </c>
      <c r="B290" s="304">
        <v>277</v>
      </c>
      <c r="C290" s="304">
        <f t="shared" ca="1" si="35"/>
        <v>0.125</v>
      </c>
      <c r="D290" s="304">
        <f t="shared" ca="1" si="35"/>
        <v>0</v>
      </c>
      <c r="E290" s="304">
        <f t="shared" ca="1" si="35"/>
        <v>0</v>
      </c>
      <c r="F290" s="304">
        <f t="shared" ca="1" si="35"/>
        <v>0</v>
      </c>
      <c r="G290" s="304"/>
      <c r="H290" s="304">
        <f t="shared" ca="1" si="31"/>
        <v>0.125</v>
      </c>
      <c r="I290" s="404">
        <f t="shared" ca="1" si="32"/>
        <v>0</v>
      </c>
      <c r="J290" s="404">
        <f>INDEX(Capacity!$I$15:$T$15,,MATCH(MONTH(A290),Capacity!$I$6:$T$6,0))</f>
        <v>0</v>
      </c>
      <c r="K290" s="404">
        <f>INDEX(Capacity!$I$17:$T$17,,MATCH(MONTH(A290),Capacity!$I$6:$T$6,0))</f>
        <v>0</v>
      </c>
      <c r="L290" s="404" t="str">
        <f t="shared" ca="1" si="33"/>
        <v>Y</v>
      </c>
      <c r="M290" s="309" t="str">
        <f t="shared" ca="1" si="34"/>
        <v>Y</v>
      </c>
      <c r="N290" s="323"/>
    </row>
    <row r="291" spans="1:14" x14ac:dyDescent="0.2">
      <c r="A291" s="409">
        <v>43743</v>
      </c>
      <c r="B291" s="304">
        <v>278</v>
      </c>
      <c r="C291" s="304">
        <f t="shared" ca="1" si="35"/>
        <v>0.125</v>
      </c>
      <c r="D291" s="304">
        <f t="shared" ca="1" si="35"/>
        <v>0</v>
      </c>
      <c r="E291" s="304">
        <f t="shared" ca="1" si="35"/>
        <v>0</v>
      </c>
      <c r="F291" s="304">
        <f t="shared" ca="1" si="35"/>
        <v>0</v>
      </c>
      <c r="G291" s="304"/>
      <c r="H291" s="304">
        <f t="shared" ca="1" si="31"/>
        <v>0.125</v>
      </c>
      <c r="I291" s="404">
        <f t="shared" ca="1" si="32"/>
        <v>0</v>
      </c>
      <c r="J291" s="404">
        <f>INDEX(Capacity!$I$15:$T$15,,MATCH(MONTH(A291),Capacity!$I$6:$T$6,0))</f>
        <v>0</v>
      </c>
      <c r="K291" s="404">
        <f>INDEX(Capacity!$I$17:$T$17,,MATCH(MONTH(A291),Capacity!$I$6:$T$6,0))</f>
        <v>0</v>
      </c>
      <c r="L291" s="404" t="str">
        <f t="shared" ca="1" si="33"/>
        <v>Y</v>
      </c>
      <c r="M291" s="309" t="str">
        <f t="shared" ca="1" si="34"/>
        <v>Y</v>
      </c>
      <c r="N291" s="323"/>
    </row>
    <row r="292" spans="1:14" x14ac:dyDescent="0.2">
      <c r="A292" s="409">
        <v>43744</v>
      </c>
      <c r="B292" s="304">
        <v>279</v>
      </c>
      <c r="C292" s="304">
        <f t="shared" ca="1" si="35"/>
        <v>0.125</v>
      </c>
      <c r="D292" s="304">
        <f t="shared" ca="1" si="35"/>
        <v>0</v>
      </c>
      <c r="E292" s="304">
        <f t="shared" ca="1" si="35"/>
        <v>0</v>
      </c>
      <c r="F292" s="304">
        <f t="shared" ca="1" si="35"/>
        <v>0</v>
      </c>
      <c r="G292" s="304"/>
      <c r="H292" s="304">
        <f t="shared" ca="1" si="31"/>
        <v>0.125</v>
      </c>
      <c r="I292" s="404">
        <f t="shared" ca="1" si="32"/>
        <v>0</v>
      </c>
      <c r="J292" s="404">
        <f>INDEX(Capacity!$I$15:$T$15,,MATCH(MONTH(A292),Capacity!$I$6:$T$6,0))</f>
        <v>0</v>
      </c>
      <c r="K292" s="404">
        <f>INDEX(Capacity!$I$17:$T$17,,MATCH(MONTH(A292),Capacity!$I$6:$T$6,0))</f>
        <v>0</v>
      </c>
      <c r="L292" s="404" t="str">
        <f t="shared" ca="1" si="33"/>
        <v>Y</v>
      </c>
      <c r="M292" s="309" t="str">
        <f t="shared" ca="1" si="34"/>
        <v>Y</v>
      </c>
      <c r="N292" s="323"/>
    </row>
    <row r="293" spans="1:14" x14ac:dyDescent="0.2">
      <c r="A293" s="409">
        <v>43745</v>
      </c>
      <c r="B293" s="304">
        <v>280</v>
      </c>
      <c r="C293" s="304">
        <f t="shared" ca="1" si="35"/>
        <v>0.125</v>
      </c>
      <c r="D293" s="304">
        <f t="shared" ca="1" si="35"/>
        <v>0</v>
      </c>
      <c r="E293" s="304">
        <f t="shared" ca="1" si="35"/>
        <v>0</v>
      </c>
      <c r="F293" s="304">
        <f t="shared" ca="1" si="35"/>
        <v>0</v>
      </c>
      <c r="G293" s="304"/>
      <c r="H293" s="304">
        <f t="shared" ca="1" si="31"/>
        <v>0.125</v>
      </c>
      <c r="I293" s="404">
        <f t="shared" ca="1" si="32"/>
        <v>0</v>
      </c>
      <c r="J293" s="404">
        <f>INDEX(Capacity!$I$15:$T$15,,MATCH(MONTH(A293),Capacity!$I$6:$T$6,0))</f>
        <v>0</v>
      </c>
      <c r="K293" s="404">
        <f>INDEX(Capacity!$I$17:$T$17,,MATCH(MONTH(A293),Capacity!$I$6:$T$6,0))</f>
        <v>0</v>
      </c>
      <c r="L293" s="404" t="str">
        <f t="shared" ca="1" si="33"/>
        <v>Y</v>
      </c>
      <c r="M293" s="309" t="str">
        <f t="shared" ca="1" si="34"/>
        <v>Y</v>
      </c>
      <c r="N293" s="323"/>
    </row>
    <row r="294" spans="1:14" x14ac:dyDescent="0.2">
      <c r="A294" s="409">
        <v>43746</v>
      </c>
      <c r="B294" s="304">
        <v>281</v>
      </c>
      <c r="C294" s="304">
        <f t="shared" ca="1" si="35"/>
        <v>0.125</v>
      </c>
      <c r="D294" s="304">
        <f t="shared" ca="1" si="35"/>
        <v>0</v>
      </c>
      <c r="E294" s="304">
        <f t="shared" ca="1" si="35"/>
        <v>0</v>
      </c>
      <c r="F294" s="304">
        <f t="shared" ca="1" si="35"/>
        <v>0</v>
      </c>
      <c r="G294" s="304"/>
      <c r="H294" s="304">
        <f t="shared" ca="1" si="31"/>
        <v>0.125</v>
      </c>
      <c r="I294" s="404">
        <f t="shared" ca="1" si="32"/>
        <v>0</v>
      </c>
      <c r="J294" s="404">
        <f>INDEX(Capacity!$I$15:$T$15,,MATCH(MONTH(A294),Capacity!$I$6:$T$6,0))</f>
        <v>0</v>
      </c>
      <c r="K294" s="404">
        <f>INDEX(Capacity!$I$17:$T$17,,MATCH(MONTH(A294),Capacity!$I$6:$T$6,0))</f>
        <v>0</v>
      </c>
      <c r="L294" s="404" t="str">
        <f t="shared" ca="1" si="33"/>
        <v>Y</v>
      </c>
      <c r="M294" s="309" t="str">
        <f t="shared" ca="1" si="34"/>
        <v>Y</v>
      </c>
      <c r="N294" s="323"/>
    </row>
    <row r="295" spans="1:14" x14ac:dyDescent="0.2">
      <c r="A295" s="409">
        <v>43747</v>
      </c>
      <c r="B295" s="304">
        <v>282</v>
      </c>
      <c r="C295" s="304">
        <f t="shared" ca="1" si="35"/>
        <v>0.125</v>
      </c>
      <c r="D295" s="304">
        <f t="shared" ca="1" si="35"/>
        <v>0</v>
      </c>
      <c r="E295" s="304">
        <f t="shared" ca="1" si="35"/>
        <v>0</v>
      </c>
      <c r="F295" s="304">
        <f t="shared" ca="1" si="35"/>
        <v>0</v>
      </c>
      <c r="G295" s="304"/>
      <c r="H295" s="304">
        <f t="shared" ca="1" si="31"/>
        <v>0.125</v>
      </c>
      <c r="I295" s="404">
        <f t="shared" ca="1" si="32"/>
        <v>0</v>
      </c>
      <c r="J295" s="404">
        <f>INDEX(Capacity!$I$15:$T$15,,MATCH(MONTH(A295),Capacity!$I$6:$T$6,0))</f>
        <v>0</v>
      </c>
      <c r="K295" s="404">
        <f>INDEX(Capacity!$I$17:$T$17,,MATCH(MONTH(A295),Capacity!$I$6:$T$6,0))</f>
        <v>0</v>
      </c>
      <c r="L295" s="404" t="str">
        <f t="shared" ca="1" si="33"/>
        <v>Y</v>
      </c>
      <c r="M295" s="309" t="str">
        <f t="shared" ca="1" si="34"/>
        <v>Y</v>
      </c>
      <c r="N295" s="323"/>
    </row>
    <row r="296" spans="1:14" x14ac:dyDescent="0.2">
      <c r="A296" s="409">
        <v>43748</v>
      </c>
      <c r="B296" s="304">
        <v>283</v>
      </c>
      <c r="C296" s="304">
        <f t="shared" ca="1" si="35"/>
        <v>0.125</v>
      </c>
      <c r="D296" s="304">
        <f t="shared" ca="1" si="35"/>
        <v>0</v>
      </c>
      <c r="E296" s="304">
        <f t="shared" ca="1" si="35"/>
        <v>0</v>
      </c>
      <c r="F296" s="304">
        <f t="shared" ca="1" si="35"/>
        <v>0</v>
      </c>
      <c r="G296" s="304"/>
      <c r="H296" s="304">
        <f t="shared" ca="1" si="31"/>
        <v>0.125</v>
      </c>
      <c r="I296" s="404">
        <f t="shared" ca="1" si="32"/>
        <v>0</v>
      </c>
      <c r="J296" s="404">
        <f>INDEX(Capacity!$I$15:$T$15,,MATCH(MONTH(A296),Capacity!$I$6:$T$6,0))</f>
        <v>0</v>
      </c>
      <c r="K296" s="404">
        <f>INDEX(Capacity!$I$17:$T$17,,MATCH(MONTH(A296),Capacity!$I$6:$T$6,0))</f>
        <v>0</v>
      </c>
      <c r="L296" s="404" t="str">
        <f t="shared" ca="1" si="33"/>
        <v>Y</v>
      </c>
      <c r="M296" s="309" t="str">
        <f t="shared" ca="1" si="34"/>
        <v>Y</v>
      </c>
      <c r="N296" s="323"/>
    </row>
    <row r="297" spans="1:14" x14ac:dyDescent="0.2">
      <c r="A297" s="409">
        <v>43749</v>
      </c>
      <c r="B297" s="304">
        <v>284</v>
      </c>
      <c r="C297" s="304">
        <f t="shared" ca="1" si="35"/>
        <v>0.125</v>
      </c>
      <c r="D297" s="304">
        <f t="shared" ca="1" si="35"/>
        <v>0</v>
      </c>
      <c r="E297" s="304">
        <f t="shared" ca="1" si="35"/>
        <v>0</v>
      </c>
      <c r="F297" s="304">
        <f t="shared" ca="1" si="35"/>
        <v>0</v>
      </c>
      <c r="G297" s="304"/>
      <c r="H297" s="304">
        <f t="shared" ca="1" si="31"/>
        <v>0.125</v>
      </c>
      <c r="I297" s="404">
        <f t="shared" ca="1" si="32"/>
        <v>0</v>
      </c>
      <c r="J297" s="404">
        <f>INDEX(Capacity!$I$15:$T$15,,MATCH(MONTH(A297),Capacity!$I$6:$T$6,0))</f>
        <v>0</v>
      </c>
      <c r="K297" s="404">
        <f>INDEX(Capacity!$I$17:$T$17,,MATCH(MONTH(A297),Capacity!$I$6:$T$6,0))</f>
        <v>0</v>
      </c>
      <c r="L297" s="404" t="str">
        <f t="shared" ca="1" si="33"/>
        <v>Y</v>
      </c>
      <c r="M297" s="309" t="str">
        <f t="shared" ca="1" si="34"/>
        <v>Y</v>
      </c>
      <c r="N297" s="323"/>
    </row>
    <row r="298" spans="1:14" x14ac:dyDescent="0.2">
      <c r="A298" s="409">
        <v>43750</v>
      </c>
      <c r="B298" s="304">
        <v>285</v>
      </c>
      <c r="C298" s="304">
        <f t="shared" ca="1" si="35"/>
        <v>0.125</v>
      </c>
      <c r="D298" s="304">
        <f t="shared" ca="1" si="35"/>
        <v>0</v>
      </c>
      <c r="E298" s="304">
        <f t="shared" ca="1" si="35"/>
        <v>0</v>
      </c>
      <c r="F298" s="304">
        <f t="shared" ca="1" si="35"/>
        <v>0</v>
      </c>
      <c r="G298" s="304"/>
      <c r="H298" s="304">
        <f t="shared" ca="1" si="31"/>
        <v>0.125</v>
      </c>
      <c r="I298" s="404">
        <f t="shared" ca="1" si="32"/>
        <v>0</v>
      </c>
      <c r="J298" s="404">
        <f>INDEX(Capacity!$I$15:$T$15,,MATCH(MONTH(A298),Capacity!$I$6:$T$6,0))</f>
        <v>0</v>
      </c>
      <c r="K298" s="404">
        <f>INDEX(Capacity!$I$17:$T$17,,MATCH(MONTH(A298),Capacity!$I$6:$T$6,0))</f>
        <v>0</v>
      </c>
      <c r="L298" s="404" t="str">
        <f t="shared" ca="1" si="33"/>
        <v>Y</v>
      </c>
      <c r="M298" s="309" t="str">
        <f t="shared" ca="1" si="34"/>
        <v>Y</v>
      </c>
      <c r="N298" s="323"/>
    </row>
    <row r="299" spans="1:14" x14ac:dyDescent="0.2">
      <c r="A299" s="409">
        <v>43751</v>
      </c>
      <c r="B299" s="304">
        <v>286</v>
      </c>
      <c r="C299" s="304">
        <f t="shared" ca="1" si="35"/>
        <v>0.125</v>
      </c>
      <c r="D299" s="304">
        <f t="shared" ca="1" si="35"/>
        <v>0</v>
      </c>
      <c r="E299" s="304">
        <f t="shared" ca="1" si="35"/>
        <v>0</v>
      </c>
      <c r="F299" s="304">
        <f t="shared" ca="1" si="35"/>
        <v>0</v>
      </c>
      <c r="G299" s="304"/>
      <c r="H299" s="304">
        <f t="shared" ca="1" si="31"/>
        <v>0.125</v>
      </c>
      <c r="I299" s="404">
        <f t="shared" ca="1" si="32"/>
        <v>0</v>
      </c>
      <c r="J299" s="404">
        <f>INDEX(Capacity!$I$15:$T$15,,MATCH(MONTH(A299),Capacity!$I$6:$T$6,0))</f>
        <v>0</v>
      </c>
      <c r="K299" s="404">
        <f>INDEX(Capacity!$I$17:$T$17,,MATCH(MONTH(A299),Capacity!$I$6:$T$6,0))</f>
        <v>0</v>
      </c>
      <c r="L299" s="404" t="str">
        <f t="shared" ca="1" si="33"/>
        <v>Y</v>
      </c>
      <c r="M299" s="309" t="str">
        <f t="shared" ca="1" si="34"/>
        <v>Y</v>
      </c>
      <c r="N299" s="323"/>
    </row>
    <row r="300" spans="1:14" x14ac:dyDescent="0.2">
      <c r="A300" s="409">
        <v>43752</v>
      </c>
      <c r="B300" s="304">
        <v>287</v>
      </c>
      <c r="C300" s="304">
        <f t="shared" ca="1" si="35"/>
        <v>0.125</v>
      </c>
      <c r="D300" s="304">
        <f t="shared" ca="1" si="35"/>
        <v>0</v>
      </c>
      <c r="E300" s="304">
        <f t="shared" ca="1" si="35"/>
        <v>0</v>
      </c>
      <c r="F300" s="304">
        <f t="shared" ca="1" si="35"/>
        <v>0</v>
      </c>
      <c r="G300" s="304"/>
      <c r="H300" s="304">
        <f t="shared" ca="1" si="31"/>
        <v>0.125</v>
      </c>
      <c r="I300" s="404">
        <f t="shared" ca="1" si="32"/>
        <v>0</v>
      </c>
      <c r="J300" s="404">
        <f>INDEX(Capacity!$I$15:$T$15,,MATCH(MONTH(A300),Capacity!$I$6:$T$6,0))</f>
        <v>0</v>
      </c>
      <c r="K300" s="404">
        <f>INDEX(Capacity!$I$17:$T$17,,MATCH(MONTH(A300),Capacity!$I$6:$T$6,0))</f>
        <v>0</v>
      </c>
      <c r="L300" s="404" t="str">
        <f t="shared" ca="1" si="33"/>
        <v>Y</v>
      </c>
      <c r="M300" s="309" t="str">
        <f t="shared" ca="1" si="34"/>
        <v>Y</v>
      </c>
      <c r="N300" s="323"/>
    </row>
    <row r="301" spans="1:14" x14ac:dyDescent="0.2">
      <c r="A301" s="409">
        <v>43753</v>
      </c>
      <c r="B301" s="304">
        <v>288</v>
      </c>
      <c r="C301" s="304">
        <f t="shared" ca="1" si="35"/>
        <v>0.125</v>
      </c>
      <c r="D301" s="304">
        <f t="shared" ca="1" si="35"/>
        <v>0</v>
      </c>
      <c r="E301" s="304">
        <f t="shared" ca="1" si="35"/>
        <v>0</v>
      </c>
      <c r="F301" s="304">
        <f t="shared" ca="1" si="35"/>
        <v>0</v>
      </c>
      <c r="G301" s="304"/>
      <c r="H301" s="304">
        <f t="shared" ca="1" si="31"/>
        <v>0.125</v>
      </c>
      <c r="I301" s="404">
        <f t="shared" ca="1" si="32"/>
        <v>0</v>
      </c>
      <c r="J301" s="404">
        <f>INDEX(Capacity!$I$15:$T$15,,MATCH(MONTH(A301),Capacity!$I$6:$T$6,0))</f>
        <v>0</v>
      </c>
      <c r="K301" s="404">
        <f>INDEX(Capacity!$I$17:$T$17,,MATCH(MONTH(A301),Capacity!$I$6:$T$6,0))</f>
        <v>0</v>
      </c>
      <c r="L301" s="404" t="str">
        <f t="shared" ca="1" si="33"/>
        <v>Y</v>
      </c>
      <c r="M301" s="309" t="str">
        <f t="shared" ca="1" si="34"/>
        <v>Y</v>
      </c>
      <c r="N301" s="323"/>
    </row>
    <row r="302" spans="1:14" x14ac:dyDescent="0.2">
      <c r="A302" s="409">
        <v>43754</v>
      </c>
      <c r="B302" s="304">
        <v>289</v>
      </c>
      <c r="C302" s="304">
        <f t="shared" ca="1" si="35"/>
        <v>0.125</v>
      </c>
      <c r="D302" s="304">
        <f t="shared" ca="1" si="35"/>
        <v>0</v>
      </c>
      <c r="E302" s="304">
        <f t="shared" ca="1" si="35"/>
        <v>0</v>
      </c>
      <c r="F302" s="304">
        <f t="shared" ca="1" si="35"/>
        <v>0</v>
      </c>
      <c r="G302" s="304"/>
      <c r="H302" s="304">
        <f t="shared" ca="1" si="31"/>
        <v>0.125</v>
      </c>
      <c r="I302" s="404">
        <f t="shared" ca="1" si="32"/>
        <v>0</v>
      </c>
      <c r="J302" s="404">
        <f>INDEX(Capacity!$I$15:$T$15,,MATCH(MONTH(A302),Capacity!$I$6:$T$6,0))</f>
        <v>0</v>
      </c>
      <c r="K302" s="404">
        <f>INDEX(Capacity!$I$17:$T$17,,MATCH(MONTH(A302),Capacity!$I$6:$T$6,0))</f>
        <v>0</v>
      </c>
      <c r="L302" s="404" t="str">
        <f t="shared" ca="1" si="33"/>
        <v>Y</v>
      </c>
      <c r="M302" s="309" t="str">
        <f t="shared" ca="1" si="34"/>
        <v>Y</v>
      </c>
      <c r="N302" s="323"/>
    </row>
    <row r="303" spans="1:14" x14ac:dyDescent="0.2">
      <c r="A303" s="409">
        <v>43755</v>
      </c>
      <c r="B303" s="304">
        <v>290</v>
      </c>
      <c r="C303" s="304">
        <f t="shared" ca="1" si="35"/>
        <v>0.125</v>
      </c>
      <c r="D303" s="304">
        <f t="shared" ca="1" si="35"/>
        <v>0</v>
      </c>
      <c r="E303" s="304">
        <f t="shared" ca="1" si="35"/>
        <v>0</v>
      </c>
      <c r="F303" s="304">
        <f t="shared" ca="1" si="35"/>
        <v>0</v>
      </c>
      <c r="G303" s="304"/>
      <c r="H303" s="304">
        <f t="shared" ca="1" si="31"/>
        <v>0.125</v>
      </c>
      <c r="I303" s="404">
        <f t="shared" ca="1" si="32"/>
        <v>0</v>
      </c>
      <c r="J303" s="404">
        <f>INDEX(Capacity!$I$15:$T$15,,MATCH(MONTH(A303),Capacity!$I$6:$T$6,0))</f>
        <v>0</v>
      </c>
      <c r="K303" s="404">
        <f>INDEX(Capacity!$I$17:$T$17,,MATCH(MONTH(A303),Capacity!$I$6:$T$6,0))</f>
        <v>0</v>
      </c>
      <c r="L303" s="404" t="str">
        <f t="shared" ca="1" si="33"/>
        <v>Y</v>
      </c>
      <c r="M303" s="309" t="str">
        <f t="shared" ca="1" si="34"/>
        <v>Y</v>
      </c>
      <c r="N303" s="323"/>
    </row>
    <row r="304" spans="1:14" x14ac:dyDescent="0.2">
      <c r="A304" s="409">
        <v>43756</v>
      </c>
      <c r="B304" s="304">
        <v>291</v>
      </c>
      <c r="C304" s="304">
        <f t="shared" ca="1" si="35"/>
        <v>0.125</v>
      </c>
      <c r="D304" s="304">
        <f t="shared" ca="1" si="35"/>
        <v>0</v>
      </c>
      <c r="E304" s="304">
        <f t="shared" ca="1" si="35"/>
        <v>0</v>
      </c>
      <c r="F304" s="304">
        <f t="shared" ca="1" si="35"/>
        <v>0</v>
      </c>
      <c r="G304" s="304"/>
      <c r="H304" s="304">
        <f t="shared" ca="1" si="31"/>
        <v>0.125</v>
      </c>
      <c r="I304" s="404">
        <f t="shared" ca="1" si="32"/>
        <v>0</v>
      </c>
      <c r="J304" s="404">
        <f>INDEX(Capacity!$I$15:$T$15,,MATCH(MONTH(A304),Capacity!$I$6:$T$6,0))</f>
        <v>0</v>
      </c>
      <c r="K304" s="404">
        <f>INDEX(Capacity!$I$17:$T$17,,MATCH(MONTH(A304),Capacity!$I$6:$T$6,0))</f>
        <v>0</v>
      </c>
      <c r="L304" s="404" t="str">
        <f t="shared" ca="1" si="33"/>
        <v>Y</v>
      </c>
      <c r="M304" s="309" t="str">
        <f t="shared" ca="1" si="34"/>
        <v>Y</v>
      </c>
      <c r="N304" s="323"/>
    </row>
    <row r="305" spans="1:14" x14ac:dyDescent="0.2">
      <c r="A305" s="409">
        <v>43757</v>
      </c>
      <c r="B305" s="304">
        <v>292</v>
      </c>
      <c r="C305" s="304">
        <f t="shared" ca="1" si="35"/>
        <v>0.125</v>
      </c>
      <c r="D305" s="304">
        <f t="shared" ca="1" si="35"/>
        <v>0</v>
      </c>
      <c r="E305" s="304">
        <f t="shared" ca="1" si="35"/>
        <v>0</v>
      </c>
      <c r="F305" s="304">
        <f t="shared" ca="1" si="35"/>
        <v>0</v>
      </c>
      <c r="G305" s="304"/>
      <c r="H305" s="304">
        <f t="shared" ca="1" si="31"/>
        <v>0.125</v>
      </c>
      <c r="I305" s="404">
        <f t="shared" ca="1" si="32"/>
        <v>0</v>
      </c>
      <c r="J305" s="404">
        <f>INDEX(Capacity!$I$15:$T$15,,MATCH(MONTH(A305),Capacity!$I$6:$T$6,0))</f>
        <v>0</v>
      </c>
      <c r="K305" s="404">
        <f>INDEX(Capacity!$I$17:$T$17,,MATCH(MONTH(A305),Capacity!$I$6:$T$6,0))</f>
        <v>0</v>
      </c>
      <c r="L305" s="404" t="str">
        <f t="shared" ca="1" si="33"/>
        <v>Y</v>
      </c>
      <c r="M305" s="309" t="str">
        <f t="shared" ca="1" si="34"/>
        <v>Y</v>
      </c>
      <c r="N305" s="323"/>
    </row>
    <row r="306" spans="1:14" x14ac:dyDescent="0.2">
      <c r="A306" s="409">
        <v>43758</v>
      </c>
      <c r="B306" s="304">
        <v>293</v>
      </c>
      <c r="C306" s="304">
        <f t="shared" ca="1" si="35"/>
        <v>0.125</v>
      </c>
      <c r="D306" s="304">
        <f t="shared" ca="1" si="35"/>
        <v>0</v>
      </c>
      <c r="E306" s="304">
        <f t="shared" ca="1" si="35"/>
        <v>0</v>
      </c>
      <c r="F306" s="304">
        <f t="shared" ca="1" si="35"/>
        <v>0</v>
      </c>
      <c r="G306" s="304"/>
      <c r="H306" s="304">
        <f t="shared" ca="1" si="31"/>
        <v>0.125</v>
      </c>
      <c r="I306" s="404">
        <f t="shared" ca="1" si="32"/>
        <v>0</v>
      </c>
      <c r="J306" s="404">
        <f>INDEX(Capacity!$I$15:$T$15,,MATCH(MONTH(A306),Capacity!$I$6:$T$6,0))</f>
        <v>0</v>
      </c>
      <c r="K306" s="404">
        <f>INDEX(Capacity!$I$17:$T$17,,MATCH(MONTH(A306),Capacity!$I$6:$T$6,0))</f>
        <v>0</v>
      </c>
      <c r="L306" s="404" t="str">
        <f t="shared" ca="1" si="33"/>
        <v>Y</v>
      </c>
      <c r="M306" s="309" t="str">
        <f t="shared" ca="1" si="34"/>
        <v>Y</v>
      </c>
      <c r="N306" s="323"/>
    </row>
    <row r="307" spans="1:14" x14ac:dyDescent="0.2">
      <c r="A307" s="409">
        <v>43759</v>
      </c>
      <c r="B307" s="304">
        <v>294</v>
      </c>
      <c r="C307" s="304">
        <f t="shared" ca="1" si="35"/>
        <v>0.125</v>
      </c>
      <c r="D307" s="304">
        <f t="shared" ca="1" si="35"/>
        <v>0</v>
      </c>
      <c r="E307" s="304">
        <f t="shared" ca="1" si="35"/>
        <v>0</v>
      </c>
      <c r="F307" s="304">
        <f t="shared" ca="1" si="35"/>
        <v>0</v>
      </c>
      <c r="G307" s="304"/>
      <c r="H307" s="304">
        <f t="shared" ca="1" si="31"/>
        <v>0.125</v>
      </c>
      <c r="I307" s="404">
        <f t="shared" ca="1" si="32"/>
        <v>0</v>
      </c>
      <c r="J307" s="404">
        <f>INDEX(Capacity!$I$15:$T$15,,MATCH(MONTH(A307),Capacity!$I$6:$T$6,0))</f>
        <v>0</v>
      </c>
      <c r="K307" s="404">
        <f>INDEX(Capacity!$I$17:$T$17,,MATCH(MONTH(A307),Capacity!$I$6:$T$6,0))</f>
        <v>0</v>
      </c>
      <c r="L307" s="404" t="str">
        <f t="shared" ca="1" si="33"/>
        <v>Y</v>
      </c>
      <c r="M307" s="309" t="str">
        <f t="shared" ca="1" si="34"/>
        <v>Y</v>
      </c>
      <c r="N307" s="323"/>
    </row>
    <row r="308" spans="1:14" x14ac:dyDescent="0.2">
      <c r="A308" s="409">
        <v>43760</v>
      </c>
      <c r="B308" s="304">
        <v>295</v>
      </c>
      <c r="C308" s="304">
        <f t="shared" ref="C308:F339" ca="1" si="36">IFERROR(IF(C$9=365,1/C$6,IF(C$12="",IF(C$11&gt;=C$10,IF(AND($B308&gt;=C$10+C$6, $B308&lt;=C$11),1/C$6,0),IF(OR($B308&gt;=C$10+C$6, $B308&lt;=C$11),1/C$6,0)),IF(OR(C$11&gt;=C$10,C$13&gt;=C$12),IF(OR(AND($B308&gt;=C$10+C$6, $B308&lt;=C$11),AND($B308&gt;=C$12+C$6, $B308&lt;=C$13)),1/C$6,0),IF(OR($B308&gt;=C$10+C$6, $B308&lt;=C$11,$B308&gt;=C$12+C$6, $B308&lt;=C$13),1/C$6,0)))),"Unknown; user input required")</f>
        <v>0.125</v>
      </c>
      <c r="D308" s="304">
        <f t="shared" ca="1" si="36"/>
        <v>0</v>
      </c>
      <c r="E308" s="304">
        <f t="shared" ca="1" si="36"/>
        <v>0</v>
      </c>
      <c r="F308" s="304">
        <f t="shared" ca="1" si="36"/>
        <v>0</v>
      </c>
      <c r="G308" s="304"/>
      <c r="H308" s="304">
        <f t="shared" ca="1" si="31"/>
        <v>0.125</v>
      </c>
      <c r="I308" s="404">
        <f t="shared" ca="1" si="32"/>
        <v>0</v>
      </c>
      <c r="J308" s="404">
        <f>INDEX(Capacity!$I$15:$T$15,,MATCH(MONTH(A308),Capacity!$I$6:$T$6,0))</f>
        <v>0</v>
      </c>
      <c r="K308" s="404">
        <f>INDEX(Capacity!$I$17:$T$17,,MATCH(MONTH(A308),Capacity!$I$6:$T$6,0))</f>
        <v>0</v>
      </c>
      <c r="L308" s="404" t="str">
        <f t="shared" ca="1" si="33"/>
        <v>Y</v>
      </c>
      <c r="M308" s="309" t="str">
        <f t="shared" ca="1" si="34"/>
        <v>Y</v>
      </c>
      <c r="N308" s="323"/>
    </row>
    <row r="309" spans="1:14" x14ac:dyDescent="0.2">
      <c r="A309" s="409">
        <v>43761</v>
      </c>
      <c r="B309" s="304">
        <v>296</v>
      </c>
      <c r="C309" s="304">
        <f t="shared" ca="1" si="36"/>
        <v>0.125</v>
      </c>
      <c r="D309" s="304">
        <f t="shared" ca="1" si="36"/>
        <v>0</v>
      </c>
      <c r="E309" s="304">
        <f t="shared" ca="1" si="36"/>
        <v>0</v>
      </c>
      <c r="F309" s="304">
        <f t="shared" ca="1" si="36"/>
        <v>0</v>
      </c>
      <c r="G309" s="304"/>
      <c r="H309" s="304">
        <f t="shared" ca="1" si="31"/>
        <v>0.125</v>
      </c>
      <c r="I309" s="404">
        <f t="shared" ca="1" si="32"/>
        <v>0</v>
      </c>
      <c r="J309" s="404">
        <f>INDEX(Capacity!$I$15:$T$15,,MATCH(MONTH(A309),Capacity!$I$6:$T$6,0))</f>
        <v>0</v>
      </c>
      <c r="K309" s="404">
        <f>INDEX(Capacity!$I$17:$T$17,,MATCH(MONTH(A309),Capacity!$I$6:$T$6,0))</f>
        <v>0</v>
      </c>
      <c r="L309" s="404" t="str">
        <f t="shared" ca="1" si="33"/>
        <v>Y</v>
      </c>
      <c r="M309" s="309" t="str">
        <f t="shared" ca="1" si="34"/>
        <v>Y</v>
      </c>
      <c r="N309" s="323"/>
    </row>
    <row r="310" spans="1:14" x14ac:dyDescent="0.2">
      <c r="A310" s="409">
        <v>43762</v>
      </c>
      <c r="B310" s="304">
        <v>297</v>
      </c>
      <c r="C310" s="304">
        <f t="shared" ca="1" si="36"/>
        <v>0.125</v>
      </c>
      <c r="D310" s="304">
        <f t="shared" ca="1" si="36"/>
        <v>0</v>
      </c>
      <c r="E310" s="304">
        <f t="shared" ca="1" si="36"/>
        <v>0</v>
      </c>
      <c r="F310" s="304">
        <f t="shared" ca="1" si="36"/>
        <v>0</v>
      </c>
      <c r="G310" s="304"/>
      <c r="H310" s="304">
        <f t="shared" ca="1" si="31"/>
        <v>0.125</v>
      </c>
      <c r="I310" s="404">
        <f t="shared" ca="1" si="32"/>
        <v>0</v>
      </c>
      <c r="J310" s="404">
        <f>INDEX(Capacity!$I$15:$T$15,,MATCH(MONTH(A310),Capacity!$I$6:$T$6,0))</f>
        <v>0</v>
      </c>
      <c r="K310" s="404">
        <f>INDEX(Capacity!$I$17:$T$17,,MATCH(MONTH(A310),Capacity!$I$6:$T$6,0))</f>
        <v>0</v>
      </c>
      <c r="L310" s="404" t="str">
        <f t="shared" ca="1" si="33"/>
        <v>Y</v>
      </c>
      <c r="M310" s="309" t="str">
        <f t="shared" ca="1" si="34"/>
        <v>Y</v>
      </c>
      <c r="N310" s="323"/>
    </row>
    <row r="311" spans="1:14" x14ac:dyDescent="0.2">
      <c r="A311" s="409">
        <v>43763</v>
      </c>
      <c r="B311" s="304">
        <v>298</v>
      </c>
      <c r="C311" s="304">
        <f t="shared" ca="1" si="36"/>
        <v>0.125</v>
      </c>
      <c r="D311" s="304">
        <f t="shared" ca="1" si="36"/>
        <v>0</v>
      </c>
      <c r="E311" s="304">
        <f t="shared" ca="1" si="36"/>
        <v>0</v>
      </c>
      <c r="F311" s="304">
        <f t="shared" ca="1" si="36"/>
        <v>0</v>
      </c>
      <c r="G311" s="304"/>
      <c r="H311" s="304">
        <f t="shared" ca="1" si="31"/>
        <v>0.125</v>
      </c>
      <c r="I311" s="404">
        <f t="shared" ca="1" si="32"/>
        <v>0</v>
      </c>
      <c r="J311" s="404">
        <f>INDEX(Capacity!$I$15:$T$15,,MATCH(MONTH(A311),Capacity!$I$6:$T$6,0))</f>
        <v>0</v>
      </c>
      <c r="K311" s="404">
        <f>INDEX(Capacity!$I$17:$T$17,,MATCH(MONTH(A311),Capacity!$I$6:$T$6,0))</f>
        <v>0</v>
      </c>
      <c r="L311" s="404" t="str">
        <f t="shared" ca="1" si="33"/>
        <v>Y</v>
      </c>
      <c r="M311" s="309" t="str">
        <f t="shared" ca="1" si="34"/>
        <v>Y</v>
      </c>
      <c r="N311" s="323"/>
    </row>
    <row r="312" spans="1:14" x14ac:dyDescent="0.2">
      <c r="A312" s="409">
        <v>43764</v>
      </c>
      <c r="B312" s="304">
        <v>299</v>
      </c>
      <c r="C312" s="304">
        <f t="shared" ca="1" si="36"/>
        <v>0.125</v>
      </c>
      <c r="D312" s="304">
        <f t="shared" ca="1" si="36"/>
        <v>0</v>
      </c>
      <c r="E312" s="304">
        <f t="shared" ca="1" si="36"/>
        <v>0</v>
      </c>
      <c r="F312" s="304">
        <f t="shared" ca="1" si="36"/>
        <v>0</v>
      </c>
      <c r="G312" s="304"/>
      <c r="H312" s="304">
        <f t="shared" ca="1" si="31"/>
        <v>0.125</v>
      </c>
      <c r="I312" s="404">
        <f t="shared" ca="1" si="32"/>
        <v>0</v>
      </c>
      <c r="J312" s="404">
        <f>INDEX(Capacity!$I$15:$T$15,,MATCH(MONTH(A312),Capacity!$I$6:$T$6,0))</f>
        <v>0</v>
      </c>
      <c r="K312" s="404">
        <f>INDEX(Capacity!$I$17:$T$17,,MATCH(MONTH(A312),Capacity!$I$6:$T$6,0))</f>
        <v>0</v>
      </c>
      <c r="L312" s="404" t="str">
        <f t="shared" ca="1" si="33"/>
        <v>Y</v>
      </c>
      <c r="M312" s="309" t="str">
        <f t="shared" ca="1" si="34"/>
        <v>Y</v>
      </c>
      <c r="N312" s="323"/>
    </row>
    <row r="313" spans="1:14" x14ac:dyDescent="0.2">
      <c r="A313" s="409">
        <v>43765</v>
      </c>
      <c r="B313" s="304">
        <v>300</v>
      </c>
      <c r="C313" s="304">
        <f t="shared" ca="1" si="36"/>
        <v>0.125</v>
      </c>
      <c r="D313" s="304">
        <f t="shared" ca="1" si="36"/>
        <v>0</v>
      </c>
      <c r="E313" s="304">
        <f t="shared" ca="1" si="36"/>
        <v>0</v>
      </c>
      <c r="F313" s="304">
        <f t="shared" ca="1" si="36"/>
        <v>0</v>
      </c>
      <c r="G313" s="304"/>
      <c r="H313" s="304">
        <f t="shared" ca="1" si="31"/>
        <v>0.125</v>
      </c>
      <c r="I313" s="404">
        <f t="shared" ca="1" si="32"/>
        <v>0</v>
      </c>
      <c r="J313" s="404">
        <f>INDEX(Capacity!$I$15:$T$15,,MATCH(MONTH(A313),Capacity!$I$6:$T$6,0))</f>
        <v>0</v>
      </c>
      <c r="K313" s="404">
        <f>INDEX(Capacity!$I$17:$T$17,,MATCH(MONTH(A313),Capacity!$I$6:$T$6,0))</f>
        <v>0</v>
      </c>
      <c r="L313" s="404" t="str">
        <f t="shared" ca="1" si="33"/>
        <v>Y</v>
      </c>
      <c r="M313" s="309" t="str">
        <f t="shared" ca="1" si="34"/>
        <v>Y</v>
      </c>
      <c r="N313" s="323"/>
    </row>
    <row r="314" spans="1:14" x14ac:dyDescent="0.2">
      <c r="A314" s="409">
        <v>43766</v>
      </c>
      <c r="B314" s="304">
        <v>301</v>
      </c>
      <c r="C314" s="304">
        <f t="shared" ca="1" si="36"/>
        <v>0.125</v>
      </c>
      <c r="D314" s="304">
        <f t="shared" ca="1" si="36"/>
        <v>0</v>
      </c>
      <c r="E314" s="304">
        <f t="shared" ca="1" si="36"/>
        <v>0</v>
      </c>
      <c r="F314" s="304">
        <f t="shared" ca="1" si="36"/>
        <v>0</v>
      </c>
      <c r="G314" s="304"/>
      <c r="H314" s="304">
        <f t="shared" ca="1" si="31"/>
        <v>0.125</v>
      </c>
      <c r="I314" s="404">
        <f t="shared" ca="1" si="32"/>
        <v>0</v>
      </c>
      <c r="J314" s="404">
        <f>INDEX(Capacity!$I$15:$T$15,,MATCH(MONTH(A314),Capacity!$I$6:$T$6,0))</f>
        <v>0</v>
      </c>
      <c r="K314" s="404">
        <f>INDEX(Capacity!$I$17:$T$17,,MATCH(MONTH(A314),Capacity!$I$6:$T$6,0))</f>
        <v>0</v>
      </c>
      <c r="L314" s="404" t="str">
        <f t="shared" ca="1" si="33"/>
        <v>Y</v>
      </c>
      <c r="M314" s="309" t="str">
        <f t="shared" ca="1" si="34"/>
        <v>Y</v>
      </c>
      <c r="N314" s="323"/>
    </row>
    <row r="315" spans="1:14" x14ac:dyDescent="0.2">
      <c r="A315" s="409">
        <v>43767</v>
      </c>
      <c r="B315" s="304">
        <v>302</v>
      </c>
      <c r="C315" s="304">
        <f t="shared" ca="1" si="36"/>
        <v>0.125</v>
      </c>
      <c r="D315" s="304">
        <f t="shared" ca="1" si="36"/>
        <v>0</v>
      </c>
      <c r="E315" s="304">
        <f t="shared" ca="1" si="36"/>
        <v>0</v>
      </c>
      <c r="F315" s="304">
        <f t="shared" ca="1" si="36"/>
        <v>0</v>
      </c>
      <c r="G315" s="304"/>
      <c r="H315" s="304">
        <f t="shared" ca="1" si="31"/>
        <v>0.125</v>
      </c>
      <c r="I315" s="404">
        <f t="shared" ca="1" si="32"/>
        <v>0</v>
      </c>
      <c r="J315" s="404">
        <f>INDEX(Capacity!$I$15:$T$15,,MATCH(MONTH(A315),Capacity!$I$6:$T$6,0))</f>
        <v>0</v>
      </c>
      <c r="K315" s="404">
        <f>INDEX(Capacity!$I$17:$T$17,,MATCH(MONTH(A315),Capacity!$I$6:$T$6,0))</f>
        <v>0</v>
      </c>
      <c r="L315" s="404" t="str">
        <f t="shared" ca="1" si="33"/>
        <v>Y</v>
      </c>
      <c r="M315" s="309" t="str">
        <f t="shared" ca="1" si="34"/>
        <v>Y</v>
      </c>
      <c r="N315" s="323"/>
    </row>
    <row r="316" spans="1:14" x14ac:dyDescent="0.2">
      <c r="A316" s="409">
        <v>43768</v>
      </c>
      <c r="B316" s="304">
        <v>303</v>
      </c>
      <c r="C316" s="304">
        <f t="shared" ca="1" si="36"/>
        <v>0.125</v>
      </c>
      <c r="D316" s="304">
        <f t="shared" ca="1" si="36"/>
        <v>0</v>
      </c>
      <c r="E316" s="304">
        <f t="shared" ca="1" si="36"/>
        <v>0</v>
      </c>
      <c r="F316" s="304">
        <f t="shared" ca="1" si="36"/>
        <v>0</v>
      </c>
      <c r="G316" s="304"/>
      <c r="H316" s="304">
        <f t="shared" ca="1" si="31"/>
        <v>0.125</v>
      </c>
      <c r="I316" s="404">
        <f t="shared" ca="1" si="32"/>
        <v>0</v>
      </c>
      <c r="J316" s="404">
        <f>INDEX(Capacity!$I$15:$T$15,,MATCH(MONTH(A316),Capacity!$I$6:$T$6,0))</f>
        <v>0</v>
      </c>
      <c r="K316" s="404">
        <f>INDEX(Capacity!$I$17:$T$17,,MATCH(MONTH(A316),Capacity!$I$6:$T$6,0))</f>
        <v>0</v>
      </c>
      <c r="L316" s="404" t="str">
        <f t="shared" ca="1" si="33"/>
        <v>Y</v>
      </c>
      <c r="M316" s="309" t="str">
        <f t="shared" ca="1" si="34"/>
        <v>Y</v>
      </c>
      <c r="N316" s="323"/>
    </row>
    <row r="317" spans="1:14" x14ac:dyDescent="0.2">
      <c r="A317" s="409">
        <v>43769</v>
      </c>
      <c r="B317" s="304">
        <v>304</v>
      </c>
      <c r="C317" s="304">
        <f t="shared" ca="1" si="36"/>
        <v>0.125</v>
      </c>
      <c r="D317" s="304">
        <f t="shared" ca="1" si="36"/>
        <v>0</v>
      </c>
      <c r="E317" s="304">
        <f t="shared" ca="1" si="36"/>
        <v>0</v>
      </c>
      <c r="F317" s="304">
        <f t="shared" ca="1" si="36"/>
        <v>0</v>
      </c>
      <c r="G317" s="304"/>
      <c r="H317" s="304">
        <f t="shared" ca="1" si="31"/>
        <v>0.125</v>
      </c>
      <c r="I317" s="404">
        <f t="shared" ca="1" si="32"/>
        <v>0</v>
      </c>
      <c r="J317" s="404">
        <f>INDEX(Capacity!$I$15:$T$15,,MATCH(MONTH(A317),Capacity!$I$6:$T$6,0))</f>
        <v>0</v>
      </c>
      <c r="K317" s="404">
        <f>INDEX(Capacity!$I$17:$T$17,,MATCH(MONTH(A317),Capacity!$I$6:$T$6,0))</f>
        <v>0</v>
      </c>
      <c r="L317" s="404" t="str">
        <f t="shared" ca="1" si="33"/>
        <v>Y</v>
      </c>
      <c r="M317" s="309" t="str">
        <f t="shared" ca="1" si="34"/>
        <v>Y</v>
      </c>
      <c r="N317" s="323"/>
    </row>
    <row r="318" spans="1:14" x14ac:dyDescent="0.2">
      <c r="A318" s="409">
        <v>43770</v>
      </c>
      <c r="B318" s="304">
        <v>305</v>
      </c>
      <c r="C318" s="304">
        <f t="shared" ca="1" si="36"/>
        <v>0.125</v>
      </c>
      <c r="D318" s="304">
        <f t="shared" ca="1" si="36"/>
        <v>0</v>
      </c>
      <c r="E318" s="304">
        <f t="shared" ca="1" si="36"/>
        <v>0</v>
      </c>
      <c r="F318" s="304">
        <f t="shared" ca="1" si="36"/>
        <v>0</v>
      </c>
      <c r="G318" s="304"/>
      <c r="H318" s="304">
        <f t="shared" ca="1" si="31"/>
        <v>0.125</v>
      </c>
      <c r="I318" s="404">
        <f t="shared" ca="1" si="32"/>
        <v>0</v>
      </c>
      <c r="J318" s="404">
        <f>INDEX(Capacity!$I$15:$T$15,,MATCH(MONTH(A318),Capacity!$I$6:$T$6,0))</f>
        <v>0</v>
      </c>
      <c r="K318" s="404">
        <f>INDEX(Capacity!$I$17:$T$17,,MATCH(MONTH(A318),Capacity!$I$6:$T$6,0))</f>
        <v>0</v>
      </c>
      <c r="L318" s="404" t="str">
        <f t="shared" ca="1" si="33"/>
        <v>Y</v>
      </c>
      <c r="M318" s="309" t="str">
        <f t="shared" ca="1" si="34"/>
        <v>Y</v>
      </c>
      <c r="N318" s="323"/>
    </row>
    <row r="319" spans="1:14" x14ac:dyDescent="0.2">
      <c r="A319" s="409">
        <v>43771</v>
      </c>
      <c r="B319" s="304">
        <v>306</v>
      </c>
      <c r="C319" s="304">
        <f t="shared" ca="1" si="36"/>
        <v>0.125</v>
      </c>
      <c r="D319" s="304">
        <f t="shared" ca="1" si="36"/>
        <v>0</v>
      </c>
      <c r="E319" s="304">
        <f t="shared" ca="1" si="36"/>
        <v>0</v>
      </c>
      <c r="F319" s="304">
        <f t="shared" ca="1" si="36"/>
        <v>0</v>
      </c>
      <c r="G319" s="304"/>
      <c r="H319" s="304">
        <f t="shared" ca="1" si="31"/>
        <v>0.125</v>
      </c>
      <c r="I319" s="404">
        <f t="shared" ca="1" si="32"/>
        <v>0</v>
      </c>
      <c r="J319" s="404">
        <f>INDEX(Capacity!$I$15:$T$15,,MATCH(MONTH(A319),Capacity!$I$6:$T$6,0))</f>
        <v>0</v>
      </c>
      <c r="K319" s="404">
        <f>INDEX(Capacity!$I$17:$T$17,,MATCH(MONTH(A319),Capacity!$I$6:$T$6,0))</f>
        <v>0</v>
      </c>
      <c r="L319" s="404" t="str">
        <f t="shared" ca="1" si="33"/>
        <v>Y</v>
      </c>
      <c r="M319" s="309" t="str">
        <f t="shared" ca="1" si="34"/>
        <v>Y</v>
      </c>
      <c r="N319" s="323"/>
    </row>
    <row r="320" spans="1:14" x14ac:dyDescent="0.2">
      <c r="A320" s="409">
        <v>43772</v>
      </c>
      <c r="B320" s="304">
        <v>307</v>
      </c>
      <c r="C320" s="304">
        <f t="shared" ca="1" si="36"/>
        <v>0.125</v>
      </c>
      <c r="D320" s="304">
        <f t="shared" ca="1" si="36"/>
        <v>0</v>
      </c>
      <c r="E320" s="304">
        <f t="shared" ca="1" si="36"/>
        <v>0</v>
      </c>
      <c r="F320" s="304">
        <f t="shared" ca="1" si="36"/>
        <v>0</v>
      </c>
      <c r="G320" s="304"/>
      <c r="H320" s="304">
        <f t="shared" ca="1" si="31"/>
        <v>0.125</v>
      </c>
      <c r="I320" s="404">
        <f t="shared" ca="1" si="32"/>
        <v>0</v>
      </c>
      <c r="J320" s="404">
        <f>INDEX(Capacity!$I$15:$T$15,,MATCH(MONTH(A320),Capacity!$I$6:$T$6,0))</f>
        <v>0</v>
      </c>
      <c r="K320" s="404">
        <f>INDEX(Capacity!$I$17:$T$17,,MATCH(MONTH(A320),Capacity!$I$6:$T$6,0))</f>
        <v>0</v>
      </c>
      <c r="L320" s="404" t="str">
        <f t="shared" ca="1" si="33"/>
        <v>Y</v>
      </c>
      <c r="M320" s="309" t="str">
        <f t="shared" ca="1" si="34"/>
        <v>Y</v>
      </c>
      <c r="N320" s="323"/>
    </row>
    <row r="321" spans="1:14" x14ac:dyDescent="0.2">
      <c r="A321" s="409">
        <v>43773</v>
      </c>
      <c r="B321" s="304">
        <v>308</v>
      </c>
      <c r="C321" s="304">
        <f t="shared" ca="1" si="36"/>
        <v>0.125</v>
      </c>
      <c r="D321" s="304">
        <f t="shared" ca="1" si="36"/>
        <v>0</v>
      </c>
      <c r="E321" s="304">
        <f t="shared" ca="1" si="36"/>
        <v>0</v>
      </c>
      <c r="F321" s="304">
        <f t="shared" ca="1" si="36"/>
        <v>0</v>
      </c>
      <c r="G321" s="304"/>
      <c r="H321" s="304">
        <f t="shared" ca="1" si="31"/>
        <v>0.125</v>
      </c>
      <c r="I321" s="404">
        <f t="shared" ca="1" si="32"/>
        <v>0</v>
      </c>
      <c r="J321" s="404">
        <f>INDEX(Capacity!$I$15:$T$15,,MATCH(MONTH(A321),Capacity!$I$6:$T$6,0))</f>
        <v>0</v>
      </c>
      <c r="K321" s="404">
        <f>INDEX(Capacity!$I$17:$T$17,,MATCH(MONTH(A321),Capacity!$I$6:$T$6,0))</f>
        <v>0</v>
      </c>
      <c r="L321" s="404" t="str">
        <f t="shared" ca="1" si="33"/>
        <v>Y</v>
      </c>
      <c r="M321" s="309" t="str">
        <f t="shared" ca="1" si="34"/>
        <v>Y</v>
      </c>
      <c r="N321" s="323"/>
    </row>
    <row r="322" spans="1:14" x14ac:dyDescent="0.2">
      <c r="A322" s="409">
        <v>43774</v>
      </c>
      <c r="B322" s="304">
        <v>309</v>
      </c>
      <c r="C322" s="304">
        <f t="shared" ca="1" si="36"/>
        <v>0.125</v>
      </c>
      <c r="D322" s="304">
        <f t="shared" ca="1" si="36"/>
        <v>0</v>
      </c>
      <c r="E322" s="304">
        <f t="shared" ca="1" si="36"/>
        <v>0</v>
      </c>
      <c r="F322" s="304">
        <f t="shared" ca="1" si="36"/>
        <v>0</v>
      </c>
      <c r="G322" s="304"/>
      <c r="H322" s="304">
        <f t="shared" ca="1" si="31"/>
        <v>0.125</v>
      </c>
      <c r="I322" s="404">
        <f t="shared" ca="1" si="32"/>
        <v>0</v>
      </c>
      <c r="J322" s="404">
        <f>INDEX(Capacity!$I$15:$T$15,,MATCH(MONTH(A322),Capacity!$I$6:$T$6,0))</f>
        <v>0</v>
      </c>
      <c r="K322" s="404">
        <f>INDEX(Capacity!$I$17:$T$17,,MATCH(MONTH(A322),Capacity!$I$6:$T$6,0))</f>
        <v>0</v>
      </c>
      <c r="L322" s="404" t="str">
        <f t="shared" ca="1" si="33"/>
        <v>Y</v>
      </c>
      <c r="M322" s="309" t="str">
        <f t="shared" ca="1" si="34"/>
        <v>Y</v>
      </c>
      <c r="N322" s="323"/>
    </row>
    <row r="323" spans="1:14" x14ac:dyDescent="0.2">
      <c r="A323" s="409">
        <v>43775</v>
      </c>
      <c r="B323" s="304">
        <v>310</v>
      </c>
      <c r="C323" s="304">
        <f t="shared" ca="1" si="36"/>
        <v>0.125</v>
      </c>
      <c r="D323" s="304">
        <f t="shared" ca="1" si="36"/>
        <v>0</v>
      </c>
      <c r="E323" s="304">
        <f t="shared" ca="1" si="36"/>
        <v>0</v>
      </c>
      <c r="F323" s="304">
        <f t="shared" ca="1" si="36"/>
        <v>0</v>
      </c>
      <c r="G323" s="304"/>
      <c r="H323" s="304">
        <f t="shared" ca="1" si="31"/>
        <v>0.125</v>
      </c>
      <c r="I323" s="404">
        <f t="shared" ca="1" si="32"/>
        <v>0</v>
      </c>
      <c r="J323" s="404">
        <f>INDEX(Capacity!$I$15:$T$15,,MATCH(MONTH(A323),Capacity!$I$6:$T$6,0))</f>
        <v>0</v>
      </c>
      <c r="K323" s="404">
        <f>INDEX(Capacity!$I$17:$T$17,,MATCH(MONTH(A323),Capacity!$I$6:$T$6,0))</f>
        <v>0</v>
      </c>
      <c r="L323" s="404" t="str">
        <f t="shared" ca="1" si="33"/>
        <v>Y</v>
      </c>
      <c r="M323" s="309" t="str">
        <f t="shared" ca="1" si="34"/>
        <v>Y</v>
      </c>
      <c r="N323" s="323"/>
    </row>
    <row r="324" spans="1:14" x14ac:dyDescent="0.2">
      <c r="A324" s="409">
        <v>43776</v>
      </c>
      <c r="B324" s="304">
        <v>311</v>
      </c>
      <c r="C324" s="304">
        <f t="shared" ca="1" si="36"/>
        <v>0.125</v>
      </c>
      <c r="D324" s="304">
        <f t="shared" ca="1" si="36"/>
        <v>0</v>
      </c>
      <c r="E324" s="304">
        <f t="shared" ca="1" si="36"/>
        <v>0</v>
      </c>
      <c r="F324" s="304">
        <f t="shared" ca="1" si="36"/>
        <v>0</v>
      </c>
      <c r="G324" s="304"/>
      <c r="H324" s="304">
        <f t="shared" ca="1" si="31"/>
        <v>0.125</v>
      </c>
      <c r="I324" s="404">
        <f t="shared" ca="1" si="32"/>
        <v>0</v>
      </c>
      <c r="J324" s="404">
        <f>INDEX(Capacity!$I$15:$T$15,,MATCH(MONTH(A324),Capacity!$I$6:$T$6,0))</f>
        <v>0</v>
      </c>
      <c r="K324" s="404">
        <f>INDEX(Capacity!$I$17:$T$17,,MATCH(MONTH(A324),Capacity!$I$6:$T$6,0))</f>
        <v>0</v>
      </c>
      <c r="L324" s="404" t="str">
        <f t="shared" ca="1" si="33"/>
        <v>Y</v>
      </c>
      <c r="M324" s="309" t="str">
        <f t="shared" ca="1" si="34"/>
        <v>Y</v>
      </c>
      <c r="N324" s="323"/>
    </row>
    <row r="325" spans="1:14" x14ac:dyDescent="0.2">
      <c r="A325" s="409">
        <v>43777</v>
      </c>
      <c r="B325" s="304">
        <v>312</v>
      </c>
      <c r="C325" s="304">
        <f t="shared" ca="1" si="36"/>
        <v>0.125</v>
      </c>
      <c r="D325" s="304">
        <f t="shared" ca="1" si="36"/>
        <v>0</v>
      </c>
      <c r="E325" s="304">
        <f t="shared" ca="1" si="36"/>
        <v>0</v>
      </c>
      <c r="F325" s="304">
        <f t="shared" ca="1" si="36"/>
        <v>0</v>
      </c>
      <c r="G325" s="304"/>
      <c r="H325" s="304">
        <f t="shared" ca="1" si="31"/>
        <v>0.125</v>
      </c>
      <c r="I325" s="404">
        <f t="shared" ca="1" si="32"/>
        <v>0</v>
      </c>
      <c r="J325" s="404">
        <f>INDEX(Capacity!$I$15:$T$15,,MATCH(MONTH(A325),Capacity!$I$6:$T$6,0))</f>
        <v>0</v>
      </c>
      <c r="K325" s="404">
        <f>INDEX(Capacity!$I$17:$T$17,,MATCH(MONTH(A325),Capacity!$I$6:$T$6,0))</f>
        <v>0</v>
      </c>
      <c r="L325" s="404" t="str">
        <f t="shared" ca="1" si="33"/>
        <v>Y</v>
      </c>
      <c r="M325" s="309" t="str">
        <f t="shared" ca="1" si="34"/>
        <v>Y</v>
      </c>
      <c r="N325" s="323"/>
    </row>
    <row r="326" spans="1:14" x14ac:dyDescent="0.2">
      <c r="A326" s="409">
        <v>43778</v>
      </c>
      <c r="B326" s="304">
        <v>313</v>
      </c>
      <c r="C326" s="304">
        <f t="shared" ca="1" si="36"/>
        <v>0.125</v>
      </c>
      <c r="D326" s="304">
        <f t="shared" ca="1" si="36"/>
        <v>0</v>
      </c>
      <c r="E326" s="304">
        <f t="shared" ca="1" si="36"/>
        <v>0</v>
      </c>
      <c r="F326" s="304">
        <f t="shared" ca="1" si="36"/>
        <v>0</v>
      </c>
      <c r="G326" s="304"/>
      <c r="H326" s="304">
        <f t="shared" ca="1" si="31"/>
        <v>0.125</v>
      </c>
      <c r="I326" s="404">
        <f t="shared" ca="1" si="32"/>
        <v>0</v>
      </c>
      <c r="J326" s="404">
        <f>INDEX(Capacity!$I$15:$T$15,,MATCH(MONTH(A326),Capacity!$I$6:$T$6,0))</f>
        <v>0</v>
      </c>
      <c r="K326" s="404">
        <f>INDEX(Capacity!$I$17:$T$17,,MATCH(MONTH(A326),Capacity!$I$6:$T$6,0))</f>
        <v>0</v>
      </c>
      <c r="L326" s="404" t="str">
        <f t="shared" ca="1" si="33"/>
        <v>Y</v>
      </c>
      <c r="M326" s="309" t="str">
        <f t="shared" ca="1" si="34"/>
        <v>Y</v>
      </c>
      <c r="N326" s="323"/>
    </row>
    <row r="327" spans="1:14" x14ac:dyDescent="0.2">
      <c r="A327" s="409">
        <v>43779</v>
      </c>
      <c r="B327" s="304">
        <v>314</v>
      </c>
      <c r="C327" s="304">
        <f t="shared" ca="1" si="36"/>
        <v>0.125</v>
      </c>
      <c r="D327" s="304">
        <f t="shared" ca="1" si="36"/>
        <v>0</v>
      </c>
      <c r="E327" s="304">
        <f t="shared" ca="1" si="36"/>
        <v>0</v>
      </c>
      <c r="F327" s="304">
        <f t="shared" ca="1" si="36"/>
        <v>0</v>
      </c>
      <c r="G327" s="304"/>
      <c r="H327" s="304">
        <f t="shared" ca="1" si="31"/>
        <v>0.125</v>
      </c>
      <c r="I327" s="404">
        <f t="shared" ca="1" si="32"/>
        <v>0</v>
      </c>
      <c r="J327" s="404">
        <f>INDEX(Capacity!$I$15:$T$15,,MATCH(MONTH(A327),Capacity!$I$6:$T$6,0))</f>
        <v>0</v>
      </c>
      <c r="K327" s="404">
        <f>INDEX(Capacity!$I$17:$T$17,,MATCH(MONTH(A327),Capacity!$I$6:$T$6,0))</f>
        <v>0</v>
      </c>
      <c r="L327" s="404" t="str">
        <f t="shared" ca="1" si="33"/>
        <v>Y</v>
      </c>
      <c r="M327" s="309" t="str">
        <f t="shared" ca="1" si="34"/>
        <v>Y</v>
      </c>
      <c r="N327" s="323"/>
    </row>
    <row r="328" spans="1:14" x14ac:dyDescent="0.2">
      <c r="A328" s="409">
        <v>43780</v>
      </c>
      <c r="B328" s="304">
        <v>315</v>
      </c>
      <c r="C328" s="304">
        <f t="shared" ca="1" si="36"/>
        <v>0.125</v>
      </c>
      <c r="D328" s="304">
        <f t="shared" ca="1" si="36"/>
        <v>0</v>
      </c>
      <c r="E328" s="304">
        <f t="shared" ca="1" si="36"/>
        <v>0</v>
      </c>
      <c r="F328" s="304">
        <f t="shared" ca="1" si="36"/>
        <v>0</v>
      </c>
      <c r="G328" s="304"/>
      <c r="H328" s="304">
        <f t="shared" ca="1" si="31"/>
        <v>0.125</v>
      </c>
      <c r="I328" s="404">
        <f t="shared" ca="1" si="32"/>
        <v>0</v>
      </c>
      <c r="J328" s="404">
        <f>INDEX(Capacity!$I$15:$T$15,,MATCH(MONTH(A328),Capacity!$I$6:$T$6,0))</f>
        <v>0</v>
      </c>
      <c r="K328" s="404">
        <f>INDEX(Capacity!$I$17:$T$17,,MATCH(MONTH(A328),Capacity!$I$6:$T$6,0))</f>
        <v>0</v>
      </c>
      <c r="L328" s="404" t="str">
        <f t="shared" ca="1" si="33"/>
        <v>Y</v>
      </c>
      <c r="M328" s="309" t="str">
        <f t="shared" ca="1" si="34"/>
        <v>Y</v>
      </c>
      <c r="N328" s="323"/>
    </row>
    <row r="329" spans="1:14" x14ac:dyDescent="0.2">
      <c r="A329" s="409">
        <v>43781</v>
      </c>
      <c r="B329" s="304">
        <v>316</v>
      </c>
      <c r="C329" s="304">
        <f t="shared" ca="1" si="36"/>
        <v>0.125</v>
      </c>
      <c r="D329" s="304">
        <f t="shared" ca="1" si="36"/>
        <v>0</v>
      </c>
      <c r="E329" s="304">
        <f t="shared" ca="1" si="36"/>
        <v>0</v>
      </c>
      <c r="F329" s="304">
        <f t="shared" ca="1" si="36"/>
        <v>0</v>
      </c>
      <c r="G329" s="304"/>
      <c r="H329" s="304">
        <f t="shared" ca="1" si="31"/>
        <v>0.125</v>
      </c>
      <c r="I329" s="404">
        <f t="shared" ca="1" si="32"/>
        <v>0</v>
      </c>
      <c r="J329" s="404">
        <f>INDEX(Capacity!$I$15:$T$15,,MATCH(MONTH(A329),Capacity!$I$6:$T$6,0))</f>
        <v>0</v>
      </c>
      <c r="K329" s="404">
        <f>INDEX(Capacity!$I$17:$T$17,,MATCH(MONTH(A329),Capacity!$I$6:$T$6,0))</f>
        <v>0</v>
      </c>
      <c r="L329" s="404" t="str">
        <f t="shared" ca="1" si="33"/>
        <v>Y</v>
      </c>
      <c r="M329" s="309" t="str">
        <f t="shared" ca="1" si="34"/>
        <v>Y</v>
      </c>
      <c r="N329" s="323"/>
    </row>
    <row r="330" spans="1:14" x14ac:dyDescent="0.2">
      <c r="A330" s="409">
        <v>43782</v>
      </c>
      <c r="B330" s="304">
        <v>317</v>
      </c>
      <c r="C330" s="304">
        <f t="shared" ca="1" si="36"/>
        <v>0.125</v>
      </c>
      <c r="D330" s="304">
        <f t="shared" ca="1" si="36"/>
        <v>0</v>
      </c>
      <c r="E330" s="304">
        <f t="shared" ca="1" si="36"/>
        <v>0</v>
      </c>
      <c r="F330" s="304">
        <f t="shared" ca="1" si="36"/>
        <v>0</v>
      </c>
      <c r="G330" s="304"/>
      <c r="H330" s="304">
        <f t="shared" ca="1" si="31"/>
        <v>0.125</v>
      </c>
      <c r="I330" s="404">
        <f t="shared" ca="1" si="32"/>
        <v>0</v>
      </c>
      <c r="J330" s="404">
        <f>INDEX(Capacity!$I$15:$T$15,,MATCH(MONTH(A330),Capacity!$I$6:$T$6,0))</f>
        <v>0</v>
      </c>
      <c r="K330" s="404">
        <f>INDEX(Capacity!$I$17:$T$17,,MATCH(MONTH(A330),Capacity!$I$6:$T$6,0))</f>
        <v>0</v>
      </c>
      <c r="L330" s="404" t="str">
        <f t="shared" ca="1" si="33"/>
        <v>Y</v>
      </c>
      <c r="M330" s="309" t="str">
        <f t="shared" ca="1" si="34"/>
        <v>Y</v>
      </c>
      <c r="N330" s="323"/>
    </row>
    <row r="331" spans="1:14" x14ac:dyDescent="0.2">
      <c r="A331" s="409">
        <v>43783</v>
      </c>
      <c r="B331" s="304">
        <v>318</v>
      </c>
      <c r="C331" s="304">
        <f t="shared" ca="1" si="36"/>
        <v>0.125</v>
      </c>
      <c r="D331" s="304">
        <f t="shared" ca="1" si="36"/>
        <v>0</v>
      </c>
      <c r="E331" s="304">
        <f t="shared" ca="1" si="36"/>
        <v>0</v>
      </c>
      <c r="F331" s="304">
        <f t="shared" ca="1" si="36"/>
        <v>0</v>
      </c>
      <c r="G331" s="304"/>
      <c r="H331" s="304">
        <f t="shared" ca="1" si="31"/>
        <v>0.125</v>
      </c>
      <c r="I331" s="404">
        <f t="shared" ca="1" si="32"/>
        <v>0</v>
      </c>
      <c r="J331" s="404">
        <f>INDEX(Capacity!$I$15:$T$15,,MATCH(MONTH(A331),Capacity!$I$6:$T$6,0))</f>
        <v>0</v>
      </c>
      <c r="K331" s="404">
        <f>INDEX(Capacity!$I$17:$T$17,,MATCH(MONTH(A331),Capacity!$I$6:$T$6,0))</f>
        <v>0</v>
      </c>
      <c r="L331" s="404" t="str">
        <f t="shared" ca="1" si="33"/>
        <v>Y</v>
      </c>
      <c r="M331" s="309" t="str">
        <f t="shared" ca="1" si="34"/>
        <v>Y</v>
      </c>
      <c r="N331" s="323"/>
    </row>
    <row r="332" spans="1:14" x14ac:dyDescent="0.2">
      <c r="A332" s="409">
        <v>43784</v>
      </c>
      <c r="B332" s="304">
        <v>319</v>
      </c>
      <c r="C332" s="304">
        <f t="shared" ca="1" si="36"/>
        <v>0.125</v>
      </c>
      <c r="D332" s="304">
        <f t="shared" ca="1" si="36"/>
        <v>0</v>
      </c>
      <c r="E332" s="304">
        <f t="shared" ca="1" si="36"/>
        <v>0</v>
      </c>
      <c r="F332" s="304">
        <f t="shared" ca="1" si="36"/>
        <v>0</v>
      </c>
      <c r="G332" s="304"/>
      <c r="H332" s="304">
        <f t="shared" ca="1" si="31"/>
        <v>0.125</v>
      </c>
      <c r="I332" s="404">
        <f t="shared" ca="1" si="32"/>
        <v>0</v>
      </c>
      <c r="J332" s="404">
        <f>INDEX(Capacity!$I$15:$T$15,,MATCH(MONTH(A332),Capacity!$I$6:$T$6,0))</f>
        <v>0</v>
      </c>
      <c r="K332" s="404">
        <f>INDEX(Capacity!$I$17:$T$17,,MATCH(MONTH(A332),Capacity!$I$6:$T$6,0))</f>
        <v>0</v>
      </c>
      <c r="L332" s="404" t="str">
        <f t="shared" ca="1" si="33"/>
        <v>Y</v>
      </c>
      <c r="M332" s="309" t="str">
        <f t="shared" ca="1" si="34"/>
        <v>Y</v>
      </c>
      <c r="N332" s="323"/>
    </row>
    <row r="333" spans="1:14" x14ac:dyDescent="0.2">
      <c r="A333" s="409">
        <v>43785</v>
      </c>
      <c r="B333" s="304">
        <v>320</v>
      </c>
      <c r="C333" s="304">
        <f t="shared" ca="1" si="36"/>
        <v>0.125</v>
      </c>
      <c r="D333" s="304">
        <f t="shared" ca="1" si="36"/>
        <v>0</v>
      </c>
      <c r="E333" s="304">
        <f t="shared" ca="1" si="36"/>
        <v>0</v>
      </c>
      <c r="F333" s="304">
        <f t="shared" ca="1" si="36"/>
        <v>0</v>
      </c>
      <c r="G333" s="304"/>
      <c r="H333" s="304">
        <f t="shared" ca="1" si="31"/>
        <v>0.125</v>
      </c>
      <c r="I333" s="404">
        <f t="shared" ca="1" si="32"/>
        <v>0</v>
      </c>
      <c r="J333" s="404">
        <f>INDEX(Capacity!$I$15:$T$15,,MATCH(MONTH(A333),Capacity!$I$6:$T$6,0))</f>
        <v>0</v>
      </c>
      <c r="K333" s="404">
        <f>INDEX(Capacity!$I$17:$T$17,,MATCH(MONTH(A333),Capacity!$I$6:$T$6,0))</f>
        <v>0</v>
      </c>
      <c r="L333" s="404" t="str">
        <f t="shared" ca="1" si="33"/>
        <v>Y</v>
      </c>
      <c r="M333" s="309" t="str">
        <f t="shared" ca="1" si="34"/>
        <v>Y</v>
      </c>
      <c r="N333" s="323"/>
    </row>
    <row r="334" spans="1:14" x14ac:dyDescent="0.2">
      <c r="A334" s="409">
        <v>43786</v>
      </c>
      <c r="B334" s="304">
        <v>321</v>
      </c>
      <c r="C334" s="304">
        <f t="shared" ca="1" si="36"/>
        <v>0.125</v>
      </c>
      <c r="D334" s="304">
        <f t="shared" ca="1" si="36"/>
        <v>0</v>
      </c>
      <c r="E334" s="304">
        <f t="shared" ca="1" si="36"/>
        <v>0</v>
      </c>
      <c r="F334" s="304">
        <f t="shared" ca="1" si="36"/>
        <v>0</v>
      </c>
      <c r="G334" s="304"/>
      <c r="H334" s="304">
        <f t="shared" ref="H334:H378" ca="1" si="37">SUM(C334:G334)</f>
        <v>0.125</v>
      </c>
      <c r="I334" s="404">
        <f t="shared" ref="I334:I378" ca="1" si="38">SUMPRODUCT($C$8:$G$8,$C$7:$G$7,C334:G334)</f>
        <v>0</v>
      </c>
      <c r="J334" s="404">
        <f>INDEX(Capacity!$I$15:$T$15,,MATCH(MONTH(A334),Capacity!$I$6:$T$6,0))</f>
        <v>0</v>
      </c>
      <c r="K334" s="404">
        <f>INDEX(Capacity!$I$17:$T$17,,MATCH(MONTH(A334),Capacity!$I$6:$T$6,0))</f>
        <v>0</v>
      </c>
      <c r="L334" s="404" t="str">
        <f t="shared" ca="1" si="33"/>
        <v>Y</v>
      </c>
      <c r="M334" s="309" t="str">
        <f t="shared" ca="1" si="34"/>
        <v>Y</v>
      </c>
      <c r="N334" s="323"/>
    </row>
    <row r="335" spans="1:14" x14ac:dyDescent="0.2">
      <c r="A335" s="409">
        <v>43787</v>
      </c>
      <c r="B335" s="304">
        <v>322</v>
      </c>
      <c r="C335" s="304">
        <f t="shared" ca="1" si="36"/>
        <v>0.125</v>
      </c>
      <c r="D335" s="304">
        <f t="shared" ca="1" si="36"/>
        <v>0</v>
      </c>
      <c r="E335" s="304">
        <f t="shared" ca="1" si="36"/>
        <v>0</v>
      </c>
      <c r="F335" s="304">
        <f t="shared" ca="1" si="36"/>
        <v>0</v>
      </c>
      <c r="G335" s="304"/>
      <c r="H335" s="304">
        <f t="shared" ca="1" si="37"/>
        <v>0.125</v>
      </c>
      <c r="I335" s="404">
        <f t="shared" ca="1" si="38"/>
        <v>0</v>
      </c>
      <c r="J335" s="404">
        <f>INDEX(Capacity!$I$15:$T$15,,MATCH(MONTH(A335),Capacity!$I$6:$T$6,0))</f>
        <v>0</v>
      </c>
      <c r="K335" s="404">
        <f>INDEX(Capacity!$I$17:$T$17,,MATCH(MONTH(A335),Capacity!$I$6:$T$6,0))</f>
        <v>0</v>
      </c>
      <c r="L335" s="404" t="str">
        <f t="shared" ref="L335:L378" ca="1" si="39">IF(I335&lt;=J335,"Y","N")</f>
        <v>Y</v>
      </c>
      <c r="M335" s="309" t="str">
        <f t="shared" ref="M335:M378" ca="1" si="40">IF(I335&lt;=K335,"Y","N")</f>
        <v>Y</v>
      </c>
      <c r="N335" s="323"/>
    </row>
    <row r="336" spans="1:14" x14ac:dyDescent="0.2">
      <c r="A336" s="409">
        <v>43788</v>
      </c>
      <c r="B336" s="304">
        <v>323</v>
      </c>
      <c r="C336" s="304">
        <f t="shared" ca="1" si="36"/>
        <v>0.125</v>
      </c>
      <c r="D336" s="304">
        <f t="shared" ca="1" si="36"/>
        <v>0</v>
      </c>
      <c r="E336" s="304">
        <f t="shared" ca="1" si="36"/>
        <v>0</v>
      </c>
      <c r="F336" s="304">
        <f t="shared" ca="1" si="36"/>
        <v>0</v>
      </c>
      <c r="G336" s="304"/>
      <c r="H336" s="304">
        <f t="shared" ca="1" si="37"/>
        <v>0.125</v>
      </c>
      <c r="I336" s="404">
        <f t="shared" ca="1" si="38"/>
        <v>0</v>
      </c>
      <c r="J336" s="404">
        <f>INDEX(Capacity!$I$15:$T$15,,MATCH(MONTH(A336),Capacity!$I$6:$T$6,0))</f>
        <v>0</v>
      </c>
      <c r="K336" s="404">
        <f>INDEX(Capacity!$I$17:$T$17,,MATCH(MONTH(A336),Capacity!$I$6:$T$6,0))</f>
        <v>0</v>
      </c>
      <c r="L336" s="404" t="str">
        <f t="shared" ca="1" si="39"/>
        <v>Y</v>
      </c>
      <c r="M336" s="309" t="str">
        <f t="shared" ca="1" si="40"/>
        <v>Y</v>
      </c>
      <c r="N336" s="323"/>
    </row>
    <row r="337" spans="1:14" x14ac:dyDescent="0.2">
      <c r="A337" s="409">
        <v>43789</v>
      </c>
      <c r="B337" s="304">
        <v>324</v>
      </c>
      <c r="C337" s="304">
        <f t="shared" ca="1" si="36"/>
        <v>0.125</v>
      </c>
      <c r="D337" s="304">
        <f t="shared" ca="1" si="36"/>
        <v>0</v>
      </c>
      <c r="E337" s="304">
        <f t="shared" ca="1" si="36"/>
        <v>0</v>
      </c>
      <c r="F337" s="304">
        <f t="shared" ca="1" si="36"/>
        <v>0</v>
      </c>
      <c r="G337" s="304"/>
      <c r="H337" s="304">
        <f t="shared" ca="1" si="37"/>
        <v>0.125</v>
      </c>
      <c r="I337" s="404">
        <f t="shared" ca="1" si="38"/>
        <v>0</v>
      </c>
      <c r="J337" s="404">
        <f>INDEX(Capacity!$I$15:$T$15,,MATCH(MONTH(A337),Capacity!$I$6:$T$6,0))</f>
        <v>0</v>
      </c>
      <c r="K337" s="404">
        <f>INDEX(Capacity!$I$17:$T$17,,MATCH(MONTH(A337),Capacity!$I$6:$T$6,0))</f>
        <v>0</v>
      </c>
      <c r="L337" s="404" t="str">
        <f t="shared" ca="1" si="39"/>
        <v>Y</v>
      </c>
      <c r="M337" s="309" t="str">
        <f t="shared" ca="1" si="40"/>
        <v>Y</v>
      </c>
      <c r="N337" s="323"/>
    </row>
    <row r="338" spans="1:14" x14ac:dyDescent="0.2">
      <c r="A338" s="409">
        <v>43790</v>
      </c>
      <c r="B338" s="304">
        <v>325</v>
      </c>
      <c r="C338" s="304">
        <f t="shared" ca="1" si="36"/>
        <v>0.125</v>
      </c>
      <c r="D338" s="304">
        <f t="shared" ca="1" si="36"/>
        <v>0</v>
      </c>
      <c r="E338" s="304">
        <f t="shared" ca="1" si="36"/>
        <v>0</v>
      </c>
      <c r="F338" s="304">
        <f t="shared" ca="1" si="36"/>
        <v>0</v>
      </c>
      <c r="G338" s="304"/>
      <c r="H338" s="304">
        <f t="shared" ca="1" si="37"/>
        <v>0.125</v>
      </c>
      <c r="I338" s="404">
        <f t="shared" ca="1" si="38"/>
        <v>0</v>
      </c>
      <c r="J338" s="404">
        <f>INDEX(Capacity!$I$15:$T$15,,MATCH(MONTH(A338),Capacity!$I$6:$T$6,0))</f>
        <v>0</v>
      </c>
      <c r="K338" s="404">
        <f>INDEX(Capacity!$I$17:$T$17,,MATCH(MONTH(A338),Capacity!$I$6:$T$6,0))</f>
        <v>0</v>
      </c>
      <c r="L338" s="404" t="str">
        <f t="shared" ca="1" si="39"/>
        <v>Y</v>
      </c>
      <c r="M338" s="309" t="str">
        <f t="shared" ca="1" si="40"/>
        <v>Y</v>
      </c>
      <c r="N338" s="323"/>
    </row>
    <row r="339" spans="1:14" x14ac:dyDescent="0.2">
      <c r="A339" s="409">
        <v>43791</v>
      </c>
      <c r="B339" s="304">
        <v>326</v>
      </c>
      <c r="C339" s="304">
        <f t="shared" ca="1" si="36"/>
        <v>0.125</v>
      </c>
      <c r="D339" s="304">
        <f t="shared" ca="1" si="36"/>
        <v>0</v>
      </c>
      <c r="E339" s="304">
        <f t="shared" ca="1" si="36"/>
        <v>0</v>
      </c>
      <c r="F339" s="304">
        <f t="shared" ca="1" si="36"/>
        <v>0</v>
      </c>
      <c r="G339" s="304"/>
      <c r="H339" s="304">
        <f t="shared" ca="1" si="37"/>
        <v>0.125</v>
      </c>
      <c r="I339" s="404">
        <f t="shared" ca="1" si="38"/>
        <v>0</v>
      </c>
      <c r="J339" s="404">
        <f>INDEX(Capacity!$I$15:$T$15,,MATCH(MONTH(A339),Capacity!$I$6:$T$6,0))</f>
        <v>0</v>
      </c>
      <c r="K339" s="404">
        <f>INDEX(Capacity!$I$17:$T$17,,MATCH(MONTH(A339),Capacity!$I$6:$T$6,0))</f>
        <v>0</v>
      </c>
      <c r="L339" s="404" t="str">
        <f t="shared" ca="1" si="39"/>
        <v>Y</v>
      </c>
      <c r="M339" s="309" t="str">
        <f t="shared" ca="1" si="40"/>
        <v>Y</v>
      </c>
      <c r="N339" s="323"/>
    </row>
    <row r="340" spans="1:14" x14ac:dyDescent="0.2">
      <c r="A340" s="409">
        <v>43792</v>
      </c>
      <c r="B340" s="304">
        <v>327</v>
      </c>
      <c r="C340" s="304">
        <f t="shared" ref="C340:F378" ca="1" si="41">IFERROR(IF(C$9=365,1/C$6,IF(C$12="",IF(C$11&gt;=C$10,IF(AND($B340&gt;=C$10+C$6, $B340&lt;=C$11),1/C$6,0),IF(OR($B340&gt;=C$10+C$6, $B340&lt;=C$11),1/C$6,0)),IF(OR(C$11&gt;=C$10,C$13&gt;=C$12),IF(OR(AND($B340&gt;=C$10+C$6, $B340&lt;=C$11),AND($B340&gt;=C$12+C$6, $B340&lt;=C$13)),1/C$6,0),IF(OR($B340&gt;=C$10+C$6, $B340&lt;=C$11,$B340&gt;=C$12+C$6, $B340&lt;=C$13),1/C$6,0)))),"Unknown; user input required")</f>
        <v>0.125</v>
      </c>
      <c r="D340" s="304">
        <f t="shared" ca="1" si="41"/>
        <v>0</v>
      </c>
      <c r="E340" s="304">
        <f t="shared" ca="1" si="41"/>
        <v>0</v>
      </c>
      <c r="F340" s="304">
        <f t="shared" ca="1" si="41"/>
        <v>0</v>
      </c>
      <c r="G340" s="304"/>
      <c r="H340" s="304">
        <f t="shared" ca="1" si="37"/>
        <v>0.125</v>
      </c>
      <c r="I340" s="404">
        <f t="shared" ca="1" si="38"/>
        <v>0</v>
      </c>
      <c r="J340" s="404">
        <f>INDEX(Capacity!$I$15:$T$15,,MATCH(MONTH(A340),Capacity!$I$6:$T$6,0))</f>
        <v>0</v>
      </c>
      <c r="K340" s="404">
        <f>INDEX(Capacity!$I$17:$T$17,,MATCH(MONTH(A340),Capacity!$I$6:$T$6,0))</f>
        <v>0</v>
      </c>
      <c r="L340" s="404" t="str">
        <f t="shared" ca="1" si="39"/>
        <v>Y</v>
      </c>
      <c r="M340" s="309" t="str">
        <f t="shared" ca="1" si="40"/>
        <v>Y</v>
      </c>
      <c r="N340" s="323"/>
    </row>
    <row r="341" spans="1:14" x14ac:dyDescent="0.2">
      <c r="A341" s="409">
        <v>43793</v>
      </c>
      <c r="B341" s="304">
        <v>328</v>
      </c>
      <c r="C341" s="304">
        <f t="shared" ca="1" si="41"/>
        <v>0.125</v>
      </c>
      <c r="D341" s="304">
        <f t="shared" ca="1" si="41"/>
        <v>0</v>
      </c>
      <c r="E341" s="304">
        <f t="shared" ca="1" si="41"/>
        <v>0</v>
      </c>
      <c r="F341" s="304">
        <f t="shared" ca="1" si="41"/>
        <v>0</v>
      </c>
      <c r="G341" s="304"/>
      <c r="H341" s="304">
        <f t="shared" ca="1" si="37"/>
        <v>0.125</v>
      </c>
      <c r="I341" s="404">
        <f t="shared" ca="1" si="38"/>
        <v>0</v>
      </c>
      <c r="J341" s="404">
        <f>INDEX(Capacity!$I$15:$T$15,,MATCH(MONTH(A341),Capacity!$I$6:$T$6,0))</f>
        <v>0</v>
      </c>
      <c r="K341" s="404">
        <f>INDEX(Capacity!$I$17:$T$17,,MATCH(MONTH(A341),Capacity!$I$6:$T$6,0))</f>
        <v>0</v>
      </c>
      <c r="L341" s="404" t="str">
        <f t="shared" ca="1" si="39"/>
        <v>Y</v>
      </c>
      <c r="M341" s="309" t="str">
        <f t="shared" ca="1" si="40"/>
        <v>Y</v>
      </c>
      <c r="N341" s="323"/>
    </row>
    <row r="342" spans="1:14" x14ac:dyDescent="0.2">
      <c r="A342" s="409">
        <v>43794</v>
      </c>
      <c r="B342" s="304">
        <v>329</v>
      </c>
      <c r="C342" s="304">
        <f t="shared" ca="1" si="41"/>
        <v>0.125</v>
      </c>
      <c r="D342" s="304">
        <f t="shared" ca="1" si="41"/>
        <v>0</v>
      </c>
      <c r="E342" s="304">
        <f t="shared" ca="1" si="41"/>
        <v>0</v>
      </c>
      <c r="F342" s="304">
        <f t="shared" ca="1" si="41"/>
        <v>0</v>
      </c>
      <c r="G342" s="304"/>
      <c r="H342" s="304">
        <f t="shared" ca="1" si="37"/>
        <v>0.125</v>
      </c>
      <c r="I342" s="404">
        <f t="shared" ca="1" si="38"/>
        <v>0</v>
      </c>
      <c r="J342" s="404">
        <f>INDEX(Capacity!$I$15:$T$15,,MATCH(MONTH(A342),Capacity!$I$6:$T$6,0))</f>
        <v>0</v>
      </c>
      <c r="K342" s="404">
        <f>INDEX(Capacity!$I$17:$T$17,,MATCH(MONTH(A342),Capacity!$I$6:$T$6,0))</f>
        <v>0</v>
      </c>
      <c r="L342" s="404" t="str">
        <f t="shared" ca="1" si="39"/>
        <v>Y</v>
      </c>
      <c r="M342" s="309" t="str">
        <f t="shared" ca="1" si="40"/>
        <v>Y</v>
      </c>
      <c r="N342" s="323"/>
    </row>
    <row r="343" spans="1:14" x14ac:dyDescent="0.2">
      <c r="A343" s="409">
        <v>43795</v>
      </c>
      <c r="B343" s="304">
        <v>330</v>
      </c>
      <c r="C343" s="304">
        <f t="shared" ca="1" si="41"/>
        <v>0.125</v>
      </c>
      <c r="D343" s="304">
        <f t="shared" ca="1" si="41"/>
        <v>0</v>
      </c>
      <c r="E343" s="304">
        <f t="shared" ca="1" si="41"/>
        <v>0</v>
      </c>
      <c r="F343" s="304">
        <f t="shared" ca="1" si="41"/>
        <v>0</v>
      </c>
      <c r="G343" s="304"/>
      <c r="H343" s="304">
        <f t="shared" ca="1" si="37"/>
        <v>0.125</v>
      </c>
      <c r="I343" s="404">
        <f t="shared" ca="1" si="38"/>
        <v>0</v>
      </c>
      <c r="J343" s="404">
        <f>INDEX(Capacity!$I$15:$T$15,,MATCH(MONTH(A343),Capacity!$I$6:$T$6,0))</f>
        <v>0</v>
      </c>
      <c r="K343" s="404">
        <f>INDEX(Capacity!$I$17:$T$17,,MATCH(MONTH(A343),Capacity!$I$6:$T$6,0))</f>
        <v>0</v>
      </c>
      <c r="L343" s="404" t="str">
        <f t="shared" ca="1" si="39"/>
        <v>Y</v>
      </c>
      <c r="M343" s="309" t="str">
        <f t="shared" ca="1" si="40"/>
        <v>Y</v>
      </c>
      <c r="N343" s="323"/>
    </row>
    <row r="344" spans="1:14" x14ac:dyDescent="0.2">
      <c r="A344" s="409">
        <v>43796</v>
      </c>
      <c r="B344" s="304">
        <v>331</v>
      </c>
      <c r="C344" s="304">
        <f t="shared" ca="1" si="41"/>
        <v>0.125</v>
      </c>
      <c r="D344" s="304">
        <f t="shared" ca="1" si="41"/>
        <v>0</v>
      </c>
      <c r="E344" s="304">
        <f t="shared" ca="1" si="41"/>
        <v>0</v>
      </c>
      <c r="F344" s="304">
        <f t="shared" ca="1" si="41"/>
        <v>0</v>
      </c>
      <c r="G344" s="304"/>
      <c r="H344" s="304">
        <f t="shared" ca="1" si="37"/>
        <v>0.125</v>
      </c>
      <c r="I344" s="404">
        <f t="shared" ca="1" si="38"/>
        <v>0</v>
      </c>
      <c r="J344" s="404">
        <f>INDEX(Capacity!$I$15:$T$15,,MATCH(MONTH(A344),Capacity!$I$6:$T$6,0))</f>
        <v>0</v>
      </c>
      <c r="K344" s="404">
        <f>INDEX(Capacity!$I$17:$T$17,,MATCH(MONTH(A344),Capacity!$I$6:$T$6,0))</f>
        <v>0</v>
      </c>
      <c r="L344" s="404" t="str">
        <f t="shared" ca="1" si="39"/>
        <v>Y</v>
      </c>
      <c r="M344" s="309" t="str">
        <f t="shared" ca="1" si="40"/>
        <v>Y</v>
      </c>
      <c r="N344" s="323"/>
    </row>
    <row r="345" spans="1:14" x14ac:dyDescent="0.2">
      <c r="A345" s="409">
        <v>43797</v>
      </c>
      <c r="B345" s="304">
        <v>332</v>
      </c>
      <c r="C345" s="304">
        <f t="shared" ca="1" si="41"/>
        <v>0.125</v>
      </c>
      <c r="D345" s="304">
        <f t="shared" ca="1" si="41"/>
        <v>0</v>
      </c>
      <c r="E345" s="304">
        <f t="shared" ca="1" si="41"/>
        <v>0</v>
      </c>
      <c r="F345" s="304">
        <f t="shared" ca="1" si="41"/>
        <v>0</v>
      </c>
      <c r="G345" s="304"/>
      <c r="H345" s="304">
        <f t="shared" ca="1" si="37"/>
        <v>0.125</v>
      </c>
      <c r="I345" s="404">
        <f t="shared" ca="1" si="38"/>
        <v>0</v>
      </c>
      <c r="J345" s="404">
        <f>INDEX(Capacity!$I$15:$T$15,,MATCH(MONTH(A345),Capacity!$I$6:$T$6,0))</f>
        <v>0</v>
      </c>
      <c r="K345" s="404">
        <f>INDEX(Capacity!$I$17:$T$17,,MATCH(MONTH(A345),Capacity!$I$6:$T$6,0))</f>
        <v>0</v>
      </c>
      <c r="L345" s="404" t="str">
        <f t="shared" ca="1" si="39"/>
        <v>Y</v>
      </c>
      <c r="M345" s="309" t="str">
        <f t="shared" ca="1" si="40"/>
        <v>Y</v>
      </c>
      <c r="N345" s="323"/>
    </row>
    <row r="346" spans="1:14" x14ac:dyDescent="0.2">
      <c r="A346" s="409">
        <v>43798</v>
      </c>
      <c r="B346" s="304">
        <v>333</v>
      </c>
      <c r="C346" s="304">
        <f t="shared" ca="1" si="41"/>
        <v>0.125</v>
      </c>
      <c r="D346" s="304">
        <f t="shared" ca="1" si="41"/>
        <v>0</v>
      </c>
      <c r="E346" s="304">
        <f t="shared" ca="1" si="41"/>
        <v>0</v>
      </c>
      <c r="F346" s="304">
        <f t="shared" ca="1" si="41"/>
        <v>0</v>
      </c>
      <c r="G346" s="304"/>
      <c r="H346" s="304">
        <f t="shared" ca="1" si="37"/>
        <v>0.125</v>
      </c>
      <c r="I346" s="404">
        <f t="shared" ca="1" si="38"/>
        <v>0</v>
      </c>
      <c r="J346" s="404">
        <f>INDEX(Capacity!$I$15:$T$15,,MATCH(MONTH(A346),Capacity!$I$6:$T$6,0))</f>
        <v>0</v>
      </c>
      <c r="K346" s="404">
        <f>INDEX(Capacity!$I$17:$T$17,,MATCH(MONTH(A346),Capacity!$I$6:$T$6,0))</f>
        <v>0</v>
      </c>
      <c r="L346" s="404" t="str">
        <f t="shared" ca="1" si="39"/>
        <v>Y</v>
      </c>
      <c r="M346" s="309" t="str">
        <f t="shared" ca="1" si="40"/>
        <v>Y</v>
      </c>
      <c r="N346" s="323"/>
    </row>
    <row r="347" spans="1:14" x14ac:dyDescent="0.2">
      <c r="A347" s="409">
        <v>43799</v>
      </c>
      <c r="B347" s="304">
        <v>334</v>
      </c>
      <c r="C347" s="304">
        <f t="shared" ca="1" si="41"/>
        <v>0.125</v>
      </c>
      <c r="D347" s="304">
        <f t="shared" ca="1" si="41"/>
        <v>0</v>
      </c>
      <c r="E347" s="304">
        <f t="shared" ca="1" si="41"/>
        <v>0</v>
      </c>
      <c r="F347" s="304">
        <f t="shared" ca="1" si="41"/>
        <v>0</v>
      </c>
      <c r="G347" s="304"/>
      <c r="H347" s="304">
        <f t="shared" ca="1" si="37"/>
        <v>0.125</v>
      </c>
      <c r="I347" s="404">
        <f t="shared" ca="1" si="38"/>
        <v>0</v>
      </c>
      <c r="J347" s="404">
        <f>INDEX(Capacity!$I$15:$T$15,,MATCH(MONTH(A347),Capacity!$I$6:$T$6,0))</f>
        <v>0</v>
      </c>
      <c r="K347" s="404">
        <f>INDEX(Capacity!$I$17:$T$17,,MATCH(MONTH(A347),Capacity!$I$6:$T$6,0))</f>
        <v>0</v>
      </c>
      <c r="L347" s="404" t="str">
        <f t="shared" ca="1" si="39"/>
        <v>Y</v>
      </c>
      <c r="M347" s="309" t="str">
        <f t="shared" ca="1" si="40"/>
        <v>Y</v>
      </c>
      <c r="N347" s="323"/>
    </row>
    <row r="348" spans="1:14" x14ac:dyDescent="0.2">
      <c r="A348" s="409">
        <v>43800</v>
      </c>
      <c r="B348" s="304">
        <v>335</v>
      </c>
      <c r="C348" s="304">
        <f t="shared" ca="1" si="41"/>
        <v>0.125</v>
      </c>
      <c r="D348" s="304">
        <f t="shared" ca="1" si="41"/>
        <v>0</v>
      </c>
      <c r="E348" s="304">
        <f t="shared" ca="1" si="41"/>
        <v>0</v>
      </c>
      <c r="F348" s="304">
        <f t="shared" ca="1" si="41"/>
        <v>0</v>
      </c>
      <c r="G348" s="304"/>
      <c r="H348" s="304">
        <f t="shared" ca="1" si="37"/>
        <v>0.125</v>
      </c>
      <c r="I348" s="404">
        <f t="shared" ca="1" si="38"/>
        <v>0</v>
      </c>
      <c r="J348" s="404">
        <f>INDEX(Capacity!$I$15:$T$15,,MATCH(MONTH(A348),Capacity!$I$6:$T$6,0))</f>
        <v>0</v>
      </c>
      <c r="K348" s="404">
        <f>INDEX(Capacity!$I$17:$T$17,,MATCH(MONTH(A348),Capacity!$I$6:$T$6,0))</f>
        <v>0</v>
      </c>
      <c r="L348" s="404" t="str">
        <f t="shared" ca="1" si="39"/>
        <v>Y</v>
      </c>
      <c r="M348" s="309" t="str">
        <f t="shared" ca="1" si="40"/>
        <v>Y</v>
      </c>
      <c r="N348" s="323"/>
    </row>
    <row r="349" spans="1:14" x14ac:dyDescent="0.2">
      <c r="A349" s="409">
        <v>43801</v>
      </c>
      <c r="B349" s="304">
        <v>336</v>
      </c>
      <c r="C349" s="304">
        <f t="shared" ca="1" si="41"/>
        <v>0.125</v>
      </c>
      <c r="D349" s="304">
        <f t="shared" ca="1" si="41"/>
        <v>0</v>
      </c>
      <c r="E349" s="304">
        <f t="shared" ca="1" si="41"/>
        <v>0</v>
      </c>
      <c r="F349" s="304">
        <f t="shared" ca="1" si="41"/>
        <v>0</v>
      </c>
      <c r="G349" s="304"/>
      <c r="H349" s="304">
        <f t="shared" ca="1" si="37"/>
        <v>0.125</v>
      </c>
      <c r="I349" s="404">
        <f t="shared" ca="1" si="38"/>
        <v>0</v>
      </c>
      <c r="J349" s="404">
        <f>INDEX(Capacity!$I$15:$T$15,,MATCH(MONTH(A349),Capacity!$I$6:$T$6,0))</f>
        <v>0</v>
      </c>
      <c r="K349" s="404">
        <f>INDEX(Capacity!$I$17:$T$17,,MATCH(MONTH(A349),Capacity!$I$6:$T$6,0))</f>
        <v>0</v>
      </c>
      <c r="L349" s="404" t="str">
        <f t="shared" ca="1" si="39"/>
        <v>Y</v>
      </c>
      <c r="M349" s="309" t="str">
        <f t="shared" ca="1" si="40"/>
        <v>Y</v>
      </c>
      <c r="N349" s="323"/>
    </row>
    <row r="350" spans="1:14" x14ac:dyDescent="0.2">
      <c r="A350" s="409">
        <v>43802</v>
      </c>
      <c r="B350" s="304">
        <v>337</v>
      </c>
      <c r="C350" s="304">
        <f t="shared" ca="1" si="41"/>
        <v>0.125</v>
      </c>
      <c r="D350" s="304">
        <f t="shared" ca="1" si="41"/>
        <v>0</v>
      </c>
      <c r="E350" s="304">
        <f t="shared" ca="1" si="41"/>
        <v>0</v>
      </c>
      <c r="F350" s="304">
        <f t="shared" ca="1" si="41"/>
        <v>0</v>
      </c>
      <c r="G350" s="304"/>
      <c r="H350" s="304">
        <f t="shared" ca="1" si="37"/>
        <v>0.125</v>
      </c>
      <c r="I350" s="404">
        <f t="shared" ca="1" si="38"/>
        <v>0</v>
      </c>
      <c r="J350" s="404">
        <f>INDEX(Capacity!$I$15:$T$15,,MATCH(MONTH(A350),Capacity!$I$6:$T$6,0))</f>
        <v>0</v>
      </c>
      <c r="K350" s="404">
        <f>INDEX(Capacity!$I$17:$T$17,,MATCH(MONTH(A350),Capacity!$I$6:$T$6,0))</f>
        <v>0</v>
      </c>
      <c r="L350" s="404" t="str">
        <f t="shared" ca="1" si="39"/>
        <v>Y</v>
      </c>
      <c r="M350" s="309" t="str">
        <f t="shared" ca="1" si="40"/>
        <v>Y</v>
      </c>
      <c r="N350" s="323"/>
    </row>
    <row r="351" spans="1:14" x14ac:dyDescent="0.2">
      <c r="A351" s="409">
        <v>43803</v>
      </c>
      <c r="B351" s="304">
        <v>338</v>
      </c>
      <c r="C351" s="304">
        <f t="shared" ca="1" si="41"/>
        <v>0.125</v>
      </c>
      <c r="D351" s="304">
        <f t="shared" ca="1" si="41"/>
        <v>0</v>
      </c>
      <c r="E351" s="304">
        <f t="shared" ca="1" si="41"/>
        <v>0</v>
      </c>
      <c r="F351" s="304">
        <f t="shared" ca="1" si="41"/>
        <v>0</v>
      </c>
      <c r="G351" s="304"/>
      <c r="H351" s="304">
        <f t="shared" ca="1" si="37"/>
        <v>0.125</v>
      </c>
      <c r="I351" s="404">
        <f t="shared" ca="1" si="38"/>
        <v>0</v>
      </c>
      <c r="J351" s="404">
        <f>INDEX(Capacity!$I$15:$T$15,,MATCH(MONTH(A351),Capacity!$I$6:$T$6,0))</f>
        <v>0</v>
      </c>
      <c r="K351" s="404">
        <f>INDEX(Capacity!$I$17:$T$17,,MATCH(MONTH(A351),Capacity!$I$6:$T$6,0))</f>
        <v>0</v>
      </c>
      <c r="L351" s="404" t="str">
        <f t="shared" ca="1" si="39"/>
        <v>Y</v>
      </c>
      <c r="M351" s="309" t="str">
        <f t="shared" ca="1" si="40"/>
        <v>Y</v>
      </c>
      <c r="N351" s="323"/>
    </row>
    <row r="352" spans="1:14" x14ac:dyDescent="0.2">
      <c r="A352" s="409">
        <v>43804</v>
      </c>
      <c r="B352" s="304">
        <v>339</v>
      </c>
      <c r="C352" s="304">
        <f t="shared" ca="1" si="41"/>
        <v>0.125</v>
      </c>
      <c r="D352" s="304">
        <f t="shared" ca="1" si="41"/>
        <v>0</v>
      </c>
      <c r="E352" s="304">
        <f t="shared" ca="1" si="41"/>
        <v>0</v>
      </c>
      <c r="F352" s="304">
        <f t="shared" ca="1" si="41"/>
        <v>0</v>
      </c>
      <c r="G352" s="304"/>
      <c r="H352" s="304">
        <f t="shared" ca="1" si="37"/>
        <v>0.125</v>
      </c>
      <c r="I352" s="404">
        <f t="shared" ca="1" si="38"/>
        <v>0</v>
      </c>
      <c r="J352" s="404">
        <f>INDEX(Capacity!$I$15:$T$15,,MATCH(MONTH(A352),Capacity!$I$6:$T$6,0))</f>
        <v>0</v>
      </c>
      <c r="K352" s="404">
        <f>INDEX(Capacity!$I$17:$T$17,,MATCH(MONTH(A352),Capacity!$I$6:$T$6,0))</f>
        <v>0</v>
      </c>
      <c r="L352" s="404" t="str">
        <f t="shared" ca="1" si="39"/>
        <v>Y</v>
      </c>
      <c r="M352" s="309" t="str">
        <f t="shared" ca="1" si="40"/>
        <v>Y</v>
      </c>
      <c r="N352" s="323"/>
    </row>
    <row r="353" spans="1:14" x14ac:dyDescent="0.2">
      <c r="A353" s="409">
        <v>43805</v>
      </c>
      <c r="B353" s="304">
        <v>340</v>
      </c>
      <c r="C353" s="304">
        <f t="shared" ca="1" si="41"/>
        <v>0.125</v>
      </c>
      <c r="D353" s="304">
        <f t="shared" ca="1" si="41"/>
        <v>0</v>
      </c>
      <c r="E353" s="304">
        <f t="shared" ca="1" si="41"/>
        <v>0</v>
      </c>
      <c r="F353" s="304">
        <f t="shared" ca="1" si="41"/>
        <v>0</v>
      </c>
      <c r="G353" s="304"/>
      <c r="H353" s="304">
        <f t="shared" ca="1" si="37"/>
        <v>0.125</v>
      </c>
      <c r="I353" s="404">
        <f t="shared" ca="1" si="38"/>
        <v>0</v>
      </c>
      <c r="J353" s="404">
        <f>INDEX(Capacity!$I$15:$T$15,,MATCH(MONTH(A353),Capacity!$I$6:$T$6,0))</f>
        <v>0</v>
      </c>
      <c r="K353" s="404">
        <f>INDEX(Capacity!$I$17:$T$17,,MATCH(MONTH(A353),Capacity!$I$6:$T$6,0))</f>
        <v>0</v>
      </c>
      <c r="L353" s="404" t="str">
        <f t="shared" ca="1" si="39"/>
        <v>Y</v>
      </c>
      <c r="M353" s="309" t="str">
        <f t="shared" ca="1" si="40"/>
        <v>Y</v>
      </c>
      <c r="N353" s="323"/>
    </row>
    <row r="354" spans="1:14" x14ac:dyDescent="0.2">
      <c r="A354" s="409">
        <v>43806</v>
      </c>
      <c r="B354" s="304">
        <v>341</v>
      </c>
      <c r="C354" s="304">
        <f t="shared" ca="1" si="41"/>
        <v>0.125</v>
      </c>
      <c r="D354" s="304">
        <f t="shared" ca="1" si="41"/>
        <v>0</v>
      </c>
      <c r="E354" s="304">
        <f t="shared" ca="1" si="41"/>
        <v>0</v>
      </c>
      <c r="F354" s="304">
        <f t="shared" ca="1" si="41"/>
        <v>0</v>
      </c>
      <c r="G354" s="304"/>
      <c r="H354" s="304">
        <f t="shared" ca="1" si="37"/>
        <v>0.125</v>
      </c>
      <c r="I354" s="404">
        <f t="shared" ca="1" si="38"/>
        <v>0</v>
      </c>
      <c r="J354" s="404">
        <f>INDEX(Capacity!$I$15:$T$15,,MATCH(MONTH(A354),Capacity!$I$6:$T$6,0))</f>
        <v>0</v>
      </c>
      <c r="K354" s="404">
        <f>INDEX(Capacity!$I$17:$T$17,,MATCH(MONTH(A354),Capacity!$I$6:$T$6,0))</f>
        <v>0</v>
      </c>
      <c r="L354" s="404" t="str">
        <f t="shared" ca="1" si="39"/>
        <v>Y</v>
      </c>
      <c r="M354" s="309" t="str">
        <f t="shared" ca="1" si="40"/>
        <v>Y</v>
      </c>
      <c r="N354" s="323"/>
    </row>
    <row r="355" spans="1:14" x14ac:dyDescent="0.2">
      <c r="A355" s="409">
        <v>43807</v>
      </c>
      <c r="B355" s="304">
        <v>342</v>
      </c>
      <c r="C355" s="304">
        <f t="shared" ca="1" si="41"/>
        <v>0.125</v>
      </c>
      <c r="D355" s="304">
        <f t="shared" ca="1" si="41"/>
        <v>0</v>
      </c>
      <c r="E355" s="304">
        <f t="shared" ca="1" si="41"/>
        <v>0</v>
      </c>
      <c r="F355" s="304">
        <f t="shared" ca="1" si="41"/>
        <v>0</v>
      </c>
      <c r="G355" s="304"/>
      <c r="H355" s="304">
        <f t="shared" ca="1" si="37"/>
        <v>0.125</v>
      </c>
      <c r="I355" s="404">
        <f t="shared" ca="1" si="38"/>
        <v>0</v>
      </c>
      <c r="J355" s="404">
        <f>INDEX(Capacity!$I$15:$T$15,,MATCH(MONTH(A355),Capacity!$I$6:$T$6,0))</f>
        <v>0</v>
      </c>
      <c r="K355" s="404">
        <f>INDEX(Capacity!$I$17:$T$17,,MATCH(MONTH(A355),Capacity!$I$6:$T$6,0))</f>
        <v>0</v>
      </c>
      <c r="L355" s="404" t="str">
        <f t="shared" ca="1" si="39"/>
        <v>Y</v>
      </c>
      <c r="M355" s="309" t="str">
        <f t="shared" ca="1" si="40"/>
        <v>Y</v>
      </c>
      <c r="N355" s="323"/>
    </row>
    <row r="356" spans="1:14" x14ac:dyDescent="0.2">
      <c r="A356" s="409">
        <v>43808</v>
      </c>
      <c r="B356" s="304">
        <v>343</v>
      </c>
      <c r="C356" s="304">
        <f t="shared" ca="1" si="41"/>
        <v>0.125</v>
      </c>
      <c r="D356" s="304">
        <f t="shared" ca="1" si="41"/>
        <v>0</v>
      </c>
      <c r="E356" s="304">
        <f t="shared" ca="1" si="41"/>
        <v>0</v>
      </c>
      <c r="F356" s="304">
        <f t="shared" ca="1" si="41"/>
        <v>0</v>
      </c>
      <c r="G356" s="304"/>
      <c r="H356" s="304">
        <f t="shared" ca="1" si="37"/>
        <v>0.125</v>
      </c>
      <c r="I356" s="404">
        <f t="shared" ca="1" si="38"/>
        <v>0</v>
      </c>
      <c r="J356" s="404">
        <f>INDEX(Capacity!$I$15:$T$15,,MATCH(MONTH(A356),Capacity!$I$6:$T$6,0))</f>
        <v>0</v>
      </c>
      <c r="K356" s="404">
        <f>INDEX(Capacity!$I$17:$T$17,,MATCH(MONTH(A356),Capacity!$I$6:$T$6,0))</f>
        <v>0</v>
      </c>
      <c r="L356" s="404" t="str">
        <f t="shared" ca="1" si="39"/>
        <v>Y</v>
      </c>
      <c r="M356" s="309" t="str">
        <f t="shared" ca="1" si="40"/>
        <v>Y</v>
      </c>
      <c r="N356" s="323"/>
    </row>
    <row r="357" spans="1:14" x14ac:dyDescent="0.2">
      <c r="A357" s="409">
        <v>43809</v>
      </c>
      <c r="B357" s="304">
        <v>344</v>
      </c>
      <c r="C357" s="304">
        <f t="shared" ca="1" si="41"/>
        <v>0.125</v>
      </c>
      <c r="D357" s="304">
        <f t="shared" ca="1" si="41"/>
        <v>0</v>
      </c>
      <c r="E357" s="304">
        <f t="shared" ca="1" si="41"/>
        <v>0</v>
      </c>
      <c r="F357" s="304">
        <f t="shared" ca="1" si="41"/>
        <v>0</v>
      </c>
      <c r="G357" s="304"/>
      <c r="H357" s="304">
        <f t="shared" ca="1" si="37"/>
        <v>0.125</v>
      </c>
      <c r="I357" s="404">
        <f t="shared" ca="1" si="38"/>
        <v>0</v>
      </c>
      <c r="J357" s="404">
        <f>INDEX(Capacity!$I$15:$T$15,,MATCH(MONTH(A357),Capacity!$I$6:$T$6,0))</f>
        <v>0</v>
      </c>
      <c r="K357" s="404">
        <f>INDEX(Capacity!$I$17:$T$17,,MATCH(MONTH(A357),Capacity!$I$6:$T$6,0))</f>
        <v>0</v>
      </c>
      <c r="L357" s="404" t="str">
        <f t="shared" ca="1" si="39"/>
        <v>Y</v>
      </c>
      <c r="M357" s="309" t="str">
        <f t="shared" ca="1" si="40"/>
        <v>Y</v>
      </c>
      <c r="N357" s="323"/>
    </row>
    <row r="358" spans="1:14" x14ac:dyDescent="0.2">
      <c r="A358" s="409">
        <v>43810</v>
      </c>
      <c r="B358" s="304">
        <v>345</v>
      </c>
      <c r="C358" s="304">
        <f t="shared" ca="1" si="41"/>
        <v>0.125</v>
      </c>
      <c r="D358" s="304">
        <f t="shared" ca="1" si="41"/>
        <v>0</v>
      </c>
      <c r="E358" s="304">
        <f t="shared" ca="1" si="41"/>
        <v>0</v>
      </c>
      <c r="F358" s="304">
        <f t="shared" ca="1" si="41"/>
        <v>0</v>
      </c>
      <c r="G358" s="304"/>
      <c r="H358" s="304">
        <f t="shared" ca="1" si="37"/>
        <v>0.125</v>
      </c>
      <c r="I358" s="404">
        <f t="shared" ca="1" si="38"/>
        <v>0</v>
      </c>
      <c r="J358" s="404">
        <f>INDEX(Capacity!$I$15:$T$15,,MATCH(MONTH(A358),Capacity!$I$6:$T$6,0))</f>
        <v>0</v>
      </c>
      <c r="K358" s="404">
        <f>INDEX(Capacity!$I$17:$T$17,,MATCH(MONTH(A358),Capacity!$I$6:$T$6,0))</f>
        <v>0</v>
      </c>
      <c r="L358" s="404" t="str">
        <f t="shared" ca="1" si="39"/>
        <v>Y</v>
      </c>
      <c r="M358" s="309" t="str">
        <f t="shared" ca="1" si="40"/>
        <v>Y</v>
      </c>
      <c r="N358" s="323"/>
    </row>
    <row r="359" spans="1:14" x14ac:dyDescent="0.2">
      <c r="A359" s="409">
        <v>43811</v>
      </c>
      <c r="B359" s="304">
        <v>346</v>
      </c>
      <c r="C359" s="304">
        <f t="shared" ca="1" si="41"/>
        <v>0.125</v>
      </c>
      <c r="D359" s="304">
        <f t="shared" ca="1" si="41"/>
        <v>0</v>
      </c>
      <c r="E359" s="304">
        <f t="shared" ca="1" si="41"/>
        <v>0</v>
      </c>
      <c r="F359" s="304">
        <f t="shared" ca="1" si="41"/>
        <v>0</v>
      </c>
      <c r="G359" s="304"/>
      <c r="H359" s="304">
        <f t="shared" ca="1" si="37"/>
        <v>0.125</v>
      </c>
      <c r="I359" s="404">
        <f t="shared" ca="1" si="38"/>
        <v>0</v>
      </c>
      <c r="J359" s="404">
        <f>INDEX(Capacity!$I$15:$T$15,,MATCH(MONTH(A359),Capacity!$I$6:$T$6,0))</f>
        <v>0</v>
      </c>
      <c r="K359" s="404">
        <f>INDEX(Capacity!$I$17:$T$17,,MATCH(MONTH(A359),Capacity!$I$6:$T$6,0))</f>
        <v>0</v>
      </c>
      <c r="L359" s="404" t="str">
        <f t="shared" ca="1" si="39"/>
        <v>Y</v>
      </c>
      <c r="M359" s="309" t="str">
        <f t="shared" ca="1" si="40"/>
        <v>Y</v>
      </c>
      <c r="N359" s="323"/>
    </row>
    <row r="360" spans="1:14" x14ac:dyDescent="0.2">
      <c r="A360" s="409">
        <v>43812</v>
      </c>
      <c r="B360" s="304">
        <v>347</v>
      </c>
      <c r="C360" s="304">
        <f t="shared" ca="1" si="41"/>
        <v>0.125</v>
      </c>
      <c r="D360" s="304">
        <f t="shared" ca="1" si="41"/>
        <v>0</v>
      </c>
      <c r="E360" s="304">
        <f t="shared" ca="1" si="41"/>
        <v>0</v>
      </c>
      <c r="F360" s="304">
        <f t="shared" ca="1" si="41"/>
        <v>0</v>
      </c>
      <c r="G360" s="304"/>
      <c r="H360" s="304">
        <f t="shared" ca="1" si="37"/>
        <v>0.125</v>
      </c>
      <c r="I360" s="404">
        <f t="shared" ca="1" si="38"/>
        <v>0</v>
      </c>
      <c r="J360" s="404">
        <f>INDEX(Capacity!$I$15:$T$15,,MATCH(MONTH(A360),Capacity!$I$6:$T$6,0))</f>
        <v>0</v>
      </c>
      <c r="K360" s="404">
        <f>INDEX(Capacity!$I$17:$T$17,,MATCH(MONTH(A360),Capacity!$I$6:$T$6,0))</f>
        <v>0</v>
      </c>
      <c r="L360" s="404" t="str">
        <f t="shared" ca="1" si="39"/>
        <v>Y</v>
      </c>
      <c r="M360" s="309" t="str">
        <f t="shared" ca="1" si="40"/>
        <v>Y</v>
      </c>
      <c r="N360" s="323"/>
    </row>
    <row r="361" spans="1:14" x14ac:dyDescent="0.2">
      <c r="A361" s="409">
        <v>43813</v>
      </c>
      <c r="B361" s="304">
        <v>348</v>
      </c>
      <c r="C361" s="304">
        <f t="shared" ca="1" si="41"/>
        <v>0.125</v>
      </c>
      <c r="D361" s="304">
        <f t="shared" ca="1" si="41"/>
        <v>0</v>
      </c>
      <c r="E361" s="304">
        <f t="shared" ca="1" si="41"/>
        <v>0</v>
      </c>
      <c r="F361" s="304">
        <f t="shared" ca="1" si="41"/>
        <v>0</v>
      </c>
      <c r="G361" s="304"/>
      <c r="H361" s="304">
        <f t="shared" ca="1" si="37"/>
        <v>0.125</v>
      </c>
      <c r="I361" s="404">
        <f t="shared" ca="1" si="38"/>
        <v>0</v>
      </c>
      <c r="J361" s="404">
        <f>INDEX(Capacity!$I$15:$T$15,,MATCH(MONTH(A361),Capacity!$I$6:$T$6,0))</f>
        <v>0</v>
      </c>
      <c r="K361" s="404">
        <f>INDEX(Capacity!$I$17:$T$17,,MATCH(MONTH(A361),Capacity!$I$6:$T$6,0))</f>
        <v>0</v>
      </c>
      <c r="L361" s="404" t="str">
        <f t="shared" ca="1" si="39"/>
        <v>Y</v>
      </c>
      <c r="M361" s="309" t="str">
        <f t="shared" ca="1" si="40"/>
        <v>Y</v>
      </c>
      <c r="N361" s="323"/>
    </row>
    <row r="362" spans="1:14" x14ac:dyDescent="0.2">
      <c r="A362" s="409">
        <v>43814</v>
      </c>
      <c r="B362" s="304">
        <v>349</v>
      </c>
      <c r="C362" s="304">
        <f t="shared" ca="1" si="41"/>
        <v>0.125</v>
      </c>
      <c r="D362" s="304">
        <f t="shared" ca="1" si="41"/>
        <v>0</v>
      </c>
      <c r="E362" s="304">
        <f t="shared" ca="1" si="41"/>
        <v>0</v>
      </c>
      <c r="F362" s="304">
        <f t="shared" ca="1" si="41"/>
        <v>0</v>
      </c>
      <c r="G362" s="304"/>
      <c r="H362" s="304">
        <f t="shared" ca="1" si="37"/>
        <v>0.125</v>
      </c>
      <c r="I362" s="404">
        <f t="shared" ca="1" si="38"/>
        <v>0</v>
      </c>
      <c r="J362" s="404">
        <f>INDEX(Capacity!$I$15:$T$15,,MATCH(MONTH(A362),Capacity!$I$6:$T$6,0))</f>
        <v>0</v>
      </c>
      <c r="K362" s="404">
        <f>INDEX(Capacity!$I$17:$T$17,,MATCH(MONTH(A362),Capacity!$I$6:$T$6,0))</f>
        <v>0</v>
      </c>
      <c r="L362" s="404" t="str">
        <f t="shared" ca="1" si="39"/>
        <v>Y</v>
      </c>
      <c r="M362" s="309" t="str">
        <f t="shared" ca="1" si="40"/>
        <v>Y</v>
      </c>
      <c r="N362" s="323"/>
    </row>
    <row r="363" spans="1:14" x14ac:dyDescent="0.2">
      <c r="A363" s="409">
        <v>43815</v>
      </c>
      <c r="B363" s="304">
        <v>350</v>
      </c>
      <c r="C363" s="304">
        <f t="shared" ca="1" si="41"/>
        <v>0.125</v>
      </c>
      <c r="D363" s="304">
        <f t="shared" ca="1" si="41"/>
        <v>0</v>
      </c>
      <c r="E363" s="304">
        <f t="shared" ca="1" si="41"/>
        <v>0</v>
      </c>
      <c r="F363" s="304">
        <f t="shared" ca="1" si="41"/>
        <v>0</v>
      </c>
      <c r="G363" s="304"/>
      <c r="H363" s="304">
        <f t="shared" ca="1" si="37"/>
        <v>0.125</v>
      </c>
      <c r="I363" s="404">
        <f t="shared" ca="1" si="38"/>
        <v>0</v>
      </c>
      <c r="J363" s="404">
        <f>INDEX(Capacity!$I$15:$T$15,,MATCH(MONTH(A363),Capacity!$I$6:$T$6,0))</f>
        <v>0</v>
      </c>
      <c r="K363" s="404">
        <f>INDEX(Capacity!$I$17:$T$17,,MATCH(MONTH(A363),Capacity!$I$6:$T$6,0))</f>
        <v>0</v>
      </c>
      <c r="L363" s="404" t="str">
        <f t="shared" ca="1" si="39"/>
        <v>Y</v>
      </c>
      <c r="M363" s="309" t="str">
        <f t="shared" ca="1" si="40"/>
        <v>Y</v>
      </c>
      <c r="N363" s="323"/>
    </row>
    <row r="364" spans="1:14" x14ac:dyDescent="0.2">
      <c r="A364" s="409">
        <v>43816</v>
      </c>
      <c r="B364" s="304">
        <v>351</v>
      </c>
      <c r="C364" s="304">
        <f t="shared" ca="1" si="41"/>
        <v>0.125</v>
      </c>
      <c r="D364" s="304">
        <f t="shared" ca="1" si="41"/>
        <v>0</v>
      </c>
      <c r="E364" s="304">
        <f t="shared" ca="1" si="41"/>
        <v>0</v>
      </c>
      <c r="F364" s="304">
        <f t="shared" ca="1" si="41"/>
        <v>0</v>
      </c>
      <c r="G364" s="304"/>
      <c r="H364" s="304">
        <f t="shared" ca="1" si="37"/>
        <v>0.125</v>
      </c>
      <c r="I364" s="404">
        <f t="shared" ca="1" si="38"/>
        <v>0</v>
      </c>
      <c r="J364" s="404">
        <f>INDEX(Capacity!$I$15:$T$15,,MATCH(MONTH(A364),Capacity!$I$6:$T$6,0))</f>
        <v>0</v>
      </c>
      <c r="K364" s="404">
        <f>INDEX(Capacity!$I$17:$T$17,,MATCH(MONTH(A364),Capacity!$I$6:$T$6,0))</f>
        <v>0</v>
      </c>
      <c r="L364" s="404" t="str">
        <f t="shared" ca="1" si="39"/>
        <v>Y</v>
      </c>
      <c r="M364" s="309" t="str">
        <f t="shared" ca="1" si="40"/>
        <v>Y</v>
      </c>
      <c r="N364" s="323"/>
    </row>
    <row r="365" spans="1:14" x14ac:dyDescent="0.2">
      <c r="A365" s="409">
        <v>43817</v>
      </c>
      <c r="B365" s="304">
        <v>352</v>
      </c>
      <c r="C365" s="304">
        <f t="shared" ca="1" si="41"/>
        <v>0.125</v>
      </c>
      <c r="D365" s="304">
        <f t="shared" ca="1" si="41"/>
        <v>0</v>
      </c>
      <c r="E365" s="304">
        <f t="shared" ca="1" si="41"/>
        <v>0</v>
      </c>
      <c r="F365" s="304">
        <f t="shared" ca="1" si="41"/>
        <v>0</v>
      </c>
      <c r="G365" s="304"/>
      <c r="H365" s="304">
        <f t="shared" ca="1" si="37"/>
        <v>0.125</v>
      </c>
      <c r="I365" s="404">
        <f t="shared" ca="1" si="38"/>
        <v>0</v>
      </c>
      <c r="J365" s="404">
        <f>INDEX(Capacity!$I$15:$T$15,,MATCH(MONTH(A365),Capacity!$I$6:$T$6,0))</f>
        <v>0</v>
      </c>
      <c r="K365" s="404">
        <f>INDEX(Capacity!$I$17:$T$17,,MATCH(MONTH(A365),Capacity!$I$6:$T$6,0))</f>
        <v>0</v>
      </c>
      <c r="L365" s="404" t="str">
        <f t="shared" ca="1" si="39"/>
        <v>Y</v>
      </c>
      <c r="M365" s="309" t="str">
        <f t="shared" ca="1" si="40"/>
        <v>Y</v>
      </c>
      <c r="N365" s="323"/>
    </row>
    <row r="366" spans="1:14" x14ac:dyDescent="0.2">
      <c r="A366" s="409">
        <v>43818</v>
      </c>
      <c r="B366" s="304">
        <v>353</v>
      </c>
      <c r="C366" s="304">
        <f t="shared" ca="1" si="41"/>
        <v>0.125</v>
      </c>
      <c r="D366" s="304">
        <f t="shared" ca="1" si="41"/>
        <v>0</v>
      </c>
      <c r="E366" s="304">
        <f t="shared" ca="1" si="41"/>
        <v>0</v>
      </c>
      <c r="F366" s="304">
        <f t="shared" ca="1" si="41"/>
        <v>0</v>
      </c>
      <c r="G366" s="304"/>
      <c r="H366" s="304">
        <f t="shared" ca="1" si="37"/>
        <v>0.125</v>
      </c>
      <c r="I366" s="404">
        <f t="shared" ca="1" si="38"/>
        <v>0</v>
      </c>
      <c r="J366" s="404">
        <f>INDEX(Capacity!$I$15:$T$15,,MATCH(MONTH(A366),Capacity!$I$6:$T$6,0))</f>
        <v>0</v>
      </c>
      <c r="K366" s="404">
        <f>INDEX(Capacity!$I$17:$T$17,,MATCH(MONTH(A366),Capacity!$I$6:$T$6,0))</f>
        <v>0</v>
      </c>
      <c r="L366" s="404" t="str">
        <f t="shared" ca="1" si="39"/>
        <v>Y</v>
      </c>
      <c r="M366" s="309" t="str">
        <f t="shared" ca="1" si="40"/>
        <v>Y</v>
      </c>
      <c r="N366" s="323"/>
    </row>
    <row r="367" spans="1:14" x14ac:dyDescent="0.2">
      <c r="A367" s="409">
        <v>43819</v>
      </c>
      <c r="B367" s="304">
        <v>354</v>
      </c>
      <c r="C367" s="304">
        <f t="shared" ca="1" si="41"/>
        <v>0.125</v>
      </c>
      <c r="D367" s="304">
        <f t="shared" ca="1" si="41"/>
        <v>0</v>
      </c>
      <c r="E367" s="304">
        <f t="shared" ca="1" si="41"/>
        <v>0</v>
      </c>
      <c r="F367" s="304">
        <f t="shared" ca="1" si="41"/>
        <v>0</v>
      </c>
      <c r="G367" s="304"/>
      <c r="H367" s="304">
        <f t="shared" ca="1" si="37"/>
        <v>0.125</v>
      </c>
      <c r="I367" s="404">
        <f t="shared" ca="1" si="38"/>
        <v>0</v>
      </c>
      <c r="J367" s="404">
        <f>INDEX(Capacity!$I$15:$T$15,,MATCH(MONTH(A367),Capacity!$I$6:$T$6,0))</f>
        <v>0</v>
      </c>
      <c r="K367" s="404">
        <f>INDEX(Capacity!$I$17:$T$17,,MATCH(MONTH(A367),Capacity!$I$6:$T$6,0))</f>
        <v>0</v>
      </c>
      <c r="L367" s="404" t="str">
        <f t="shared" ca="1" si="39"/>
        <v>Y</v>
      </c>
      <c r="M367" s="309" t="str">
        <f t="shared" ca="1" si="40"/>
        <v>Y</v>
      </c>
      <c r="N367" s="323"/>
    </row>
    <row r="368" spans="1:14" x14ac:dyDescent="0.2">
      <c r="A368" s="409">
        <v>43820</v>
      </c>
      <c r="B368" s="304">
        <v>355</v>
      </c>
      <c r="C368" s="304">
        <f t="shared" ca="1" si="41"/>
        <v>0.125</v>
      </c>
      <c r="D368" s="304">
        <f t="shared" ca="1" si="41"/>
        <v>0</v>
      </c>
      <c r="E368" s="304">
        <f t="shared" ca="1" si="41"/>
        <v>0</v>
      </c>
      <c r="F368" s="304">
        <f t="shared" ca="1" si="41"/>
        <v>0</v>
      </c>
      <c r="G368" s="304"/>
      <c r="H368" s="304">
        <f t="shared" ca="1" si="37"/>
        <v>0.125</v>
      </c>
      <c r="I368" s="404">
        <f t="shared" ca="1" si="38"/>
        <v>0</v>
      </c>
      <c r="J368" s="404">
        <f>INDEX(Capacity!$I$15:$T$15,,MATCH(MONTH(A368),Capacity!$I$6:$T$6,0))</f>
        <v>0</v>
      </c>
      <c r="K368" s="404">
        <f>INDEX(Capacity!$I$17:$T$17,,MATCH(MONTH(A368),Capacity!$I$6:$T$6,0))</f>
        <v>0</v>
      </c>
      <c r="L368" s="404" t="str">
        <f t="shared" ca="1" si="39"/>
        <v>Y</v>
      </c>
      <c r="M368" s="309" t="str">
        <f t="shared" ca="1" si="40"/>
        <v>Y</v>
      </c>
      <c r="N368" s="323"/>
    </row>
    <row r="369" spans="1:14" x14ac:dyDescent="0.2">
      <c r="A369" s="409">
        <v>43821</v>
      </c>
      <c r="B369" s="304">
        <v>356</v>
      </c>
      <c r="C369" s="304">
        <f t="shared" ca="1" si="41"/>
        <v>0.125</v>
      </c>
      <c r="D369" s="304">
        <f t="shared" ca="1" si="41"/>
        <v>0</v>
      </c>
      <c r="E369" s="304">
        <f t="shared" ca="1" si="41"/>
        <v>0</v>
      </c>
      <c r="F369" s="304">
        <f t="shared" ca="1" si="41"/>
        <v>0</v>
      </c>
      <c r="G369" s="304"/>
      <c r="H369" s="304">
        <f t="shared" ca="1" si="37"/>
        <v>0.125</v>
      </c>
      <c r="I369" s="404">
        <f t="shared" ca="1" si="38"/>
        <v>0</v>
      </c>
      <c r="J369" s="404">
        <f>INDEX(Capacity!$I$15:$T$15,,MATCH(MONTH(A369),Capacity!$I$6:$T$6,0))</f>
        <v>0</v>
      </c>
      <c r="K369" s="404">
        <f>INDEX(Capacity!$I$17:$T$17,,MATCH(MONTH(A369),Capacity!$I$6:$T$6,0))</f>
        <v>0</v>
      </c>
      <c r="L369" s="404" t="str">
        <f t="shared" ca="1" si="39"/>
        <v>Y</v>
      </c>
      <c r="M369" s="309" t="str">
        <f t="shared" ca="1" si="40"/>
        <v>Y</v>
      </c>
      <c r="N369" s="323"/>
    </row>
    <row r="370" spans="1:14" x14ac:dyDescent="0.2">
      <c r="A370" s="409">
        <v>43822</v>
      </c>
      <c r="B370" s="304">
        <v>357</v>
      </c>
      <c r="C370" s="304">
        <f t="shared" ca="1" si="41"/>
        <v>0.125</v>
      </c>
      <c r="D370" s="304">
        <f t="shared" ca="1" si="41"/>
        <v>0</v>
      </c>
      <c r="E370" s="304">
        <f t="shared" ca="1" si="41"/>
        <v>0</v>
      </c>
      <c r="F370" s="304">
        <f t="shared" ca="1" si="41"/>
        <v>0</v>
      </c>
      <c r="G370" s="304"/>
      <c r="H370" s="304">
        <f t="shared" ca="1" si="37"/>
        <v>0.125</v>
      </c>
      <c r="I370" s="404">
        <f t="shared" ca="1" si="38"/>
        <v>0</v>
      </c>
      <c r="J370" s="404">
        <f>INDEX(Capacity!$I$15:$T$15,,MATCH(MONTH(A370),Capacity!$I$6:$T$6,0))</f>
        <v>0</v>
      </c>
      <c r="K370" s="404">
        <f>INDEX(Capacity!$I$17:$T$17,,MATCH(MONTH(A370),Capacity!$I$6:$T$6,0))</f>
        <v>0</v>
      </c>
      <c r="L370" s="404" t="str">
        <f t="shared" ca="1" si="39"/>
        <v>Y</v>
      </c>
      <c r="M370" s="309" t="str">
        <f t="shared" ca="1" si="40"/>
        <v>Y</v>
      </c>
      <c r="N370" s="323"/>
    </row>
    <row r="371" spans="1:14" x14ac:dyDescent="0.2">
      <c r="A371" s="409">
        <v>43823</v>
      </c>
      <c r="B371" s="304">
        <v>358</v>
      </c>
      <c r="C371" s="304">
        <f t="shared" ca="1" si="41"/>
        <v>0.125</v>
      </c>
      <c r="D371" s="304">
        <f t="shared" ca="1" si="41"/>
        <v>0</v>
      </c>
      <c r="E371" s="304">
        <f t="shared" ca="1" si="41"/>
        <v>0</v>
      </c>
      <c r="F371" s="304">
        <f t="shared" ca="1" si="41"/>
        <v>0</v>
      </c>
      <c r="G371" s="304"/>
      <c r="H371" s="304">
        <f t="shared" ca="1" si="37"/>
        <v>0.125</v>
      </c>
      <c r="I371" s="404">
        <f t="shared" ca="1" si="38"/>
        <v>0</v>
      </c>
      <c r="J371" s="404">
        <f>INDEX(Capacity!$I$15:$T$15,,MATCH(MONTH(A371),Capacity!$I$6:$T$6,0))</f>
        <v>0</v>
      </c>
      <c r="K371" s="404">
        <f>INDEX(Capacity!$I$17:$T$17,,MATCH(MONTH(A371),Capacity!$I$6:$T$6,0))</f>
        <v>0</v>
      </c>
      <c r="L371" s="404" t="str">
        <f t="shared" ca="1" si="39"/>
        <v>Y</v>
      </c>
      <c r="M371" s="309" t="str">
        <f t="shared" ca="1" si="40"/>
        <v>Y</v>
      </c>
      <c r="N371" s="323"/>
    </row>
    <row r="372" spans="1:14" x14ac:dyDescent="0.2">
      <c r="A372" s="409">
        <v>43824</v>
      </c>
      <c r="B372" s="304">
        <v>359</v>
      </c>
      <c r="C372" s="304">
        <f t="shared" ca="1" si="41"/>
        <v>0</v>
      </c>
      <c r="D372" s="304">
        <f t="shared" ca="1" si="41"/>
        <v>0</v>
      </c>
      <c r="E372" s="304">
        <f t="shared" ca="1" si="41"/>
        <v>0</v>
      </c>
      <c r="F372" s="304">
        <f t="shared" ca="1" si="41"/>
        <v>0</v>
      </c>
      <c r="G372" s="304"/>
      <c r="H372" s="304">
        <f t="shared" ca="1" si="37"/>
        <v>0</v>
      </c>
      <c r="I372" s="404">
        <f t="shared" ca="1" si="38"/>
        <v>0</v>
      </c>
      <c r="J372" s="404">
        <f>INDEX(Capacity!$I$15:$T$15,,MATCH(MONTH(A372),Capacity!$I$6:$T$6,0))</f>
        <v>0</v>
      </c>
      <c r="K372" s="404">
        <f>INDEX(Capacity!$I$17:$T$17,,MATCH(MONTH(A372),Capacity!$I$6:$T$6,0))</f>
        <v>0</v>
      </c>
      <c r="L372" s="404" t="str">
        <f t="shared" ca="1" si="39"/>
        <v>Y</v>
      </c>
      <c r="M372" s="309" t="str">
        <f t="shared" ca="1" si="40"/>
        <v>Y</v>
      </c>
      <c r="N372" s="323"/>
    </row>
    <row r="373" spans="1:14" x14ac:dyDescent="0.2">
      <c r="A373" s="409">
        <v>43825</v>
      </c>
      <c r="B373" s="304">
        <v>360</v>
      </c>
      <c r="C373" s="304">
        <f t="shared" ca="1" si="41"/>
        <v>0</v>
      </c>
      <c r="D373" s="304">
        <f t="shared" ca="1" si="41"/>
        <v>0</v>
      </c>
      <c r="E373" s="304">
        <f t="shared" ca="1" si="41"/>
        <v>0</v>
      </c>
      <c r="F373" s="304">
        <f t="shared" ca="1" si="41"/>
        <v>0</v>
      </c>
      <c r="G373" s="304"/>
      <c r="H373" s="304">
        <f t="shared" ca="1" si="37"/>
        <v>0</v>
      </c>
      <c r="I373" s="404">
        <f t="shared" ca="1" si="38"/>
        <v>0</v>
      </c>
      <c r="J373" s="404">
        <f>INDEX(Capacity!$I$15:$T$15,,MATCH(MONTH(A373),Capacity!$I$6:$T$6,0))</f>
        <v>0</v>
      </c>
      <c r="K373" s="404">
        <f>INDEX(Capacity!$I$17:$T$17,,MATCH(MONTH(A373),Capacity!$I$6:$T$6,0))</f>
        <v>0</v>
      </c>
      <c r="L373" s="404" t="str">
        <f t="shared" ca="1" si="39"/>
        <v>Y</v>
      </c>
      <c r="M373" s="309" t="str">
        <f t="shared" ca="1" si="40"/>
        <v>Y</v>
      </c>
      <c r="N373" s="323"/>
    </row>
    <row r="374" spans="1:14" x14ac:dyDescent="0.2">
      <c r="A374" s="409">
        <v>43826</v>
      </c>
      <c r="B374" s="304">
        <v>361</v>
      </c>
      <c r="C374" s="304">
        <f t="shared" ca="1" si="41"/>
        <v>0</v>
      </c>
      <c r="D374" s="304">
        <f t="shared" ca="1" si="41"/>
        <v>0</v>
      </c>
      <c r="E374" s="304">
        <f t="shared" ca="1" si="41"/>
        <v>0</v>
      </c>
      <c r="F374" s="304">
        <f t="shared" ca="1" si="41"/>
        <v>0</v>
      </c>
      <c r="G374" s="304"/>
      <c r="H374" s="304">
        <f t="shared" ca="1" si="37"/>
        <v>0</v>
      </c>
      <c r="I374" s="404">
        <f t="shared" ca="1" si="38"/>
        <v>0</v>
      </c>
      <c r="J374" s="404">
        <f>INDEX(Capacity!$I$15:$T$15,,MATCH(MONTH(A374),Capacity!$I$6:$T$6,0))</f>
        <v>0</v>
      </c>
      <c r="K374" s="404">
        <f>INDEX(Capacity!$I$17:$T$17,,MATCH(MONTH(A374),Capacity!$I$6:$T$6,0))</f>
        <v>0</v>
      </c>
      <c r="L374" s="404" t="str">
        <f t="shared" ca="1" si="39"/>
        <v>Y</v>
      </c>
      <c r="M374" s="309" t="str">
        <f t="shared" ca="1" si="40"/>
        <v>Y</v>
      </c>
      <c r="N374" s="323"/>
    </row>
    <row r="375" spans="1:14" x14ac:dyDescent="0.2">
      <c r="A375" s="409">
        <v>43827</v>
      </c>
      <c r="B375" s="304">
        <v>362</v>
      </c>
      <c r="C375" s="304">
        <f t="shared" ca="1" si="41"/>
        <v>0</v>
      </c>
      <c r="D375" s="304">
        <f t="shared" ca="1" si="41"/>
        <v>0</v>
      </c>
      <c r="E375" s="304">
        <f t="shared" ca="1" si="41"/>
        <v>0</v>
      </c>
      <c r="F375" s="304">
        <f t="shared" ca="1" si="41"/>
        <v>0</v>
      </c>
      <c r="G375" s="304"/>
      <c r="H375" s="304">
        <f t="shared" ca="1" si="37"/>
        <v>0</v>
      </c>
      <c r="I375" s="404">
        <f t="shared" ca="1" si="38"/>
        <v>0</v>
      </c>
      <c r="J375" s="404">
        <f>INDEX(Capacity!$I$15:$T$15,,MATCH(MONTH(A375),Capacity!$I$6:$T$6,0))</f>
        <v>0</v>
      </c>
      <c r="K375" s="404">
        <f>INDEX(Capacity!$I$17:$T$17,,MATCH(MONTH(A375),Capacity!$I$6:$T$6,0))</f>
        <v>0</v>
      </c>
      <c r="L375" s="404" t="str">
        <f t="shared" ca="1" si="39"/>
        <v>Y</v>
      </c>
      <c r="M375" s="309" t="str">
        <f t="shared" ca="1" si="40"/>
        <v>Y</v>
      </c>
      <c r="N375" s="323"/>
    </row>
    <row r="376" spans="1:14" x14ac:dyDescent="0.2">
      <c r="A376" s="409">
        <v>43828</v>
      </c>
      <c r="B376" s="304">
        <v>363</v>
      </c>
      <c r="C376" s="304">
        <f t="shared" ca="1" si="41"/>
        <v>0</v>
      </c>
      <c r="D376" s="304">
        <f t="shared" ca="1" si="41"/>
        <v>0</v>
      </c>
      <c r="E376" s="304">
        <f t="shared" ca="1" si="41"/>
        <v>0</v>
      </c>
      <c r="F376" s="304">
        <f t="shared" ca="1" si="41"/>
        <v>0</v>
      </c>
      <c r="G376" s="304"/>
      <c r="H376" s="304">
        <f t="shared" ca="1" si="37"/>
        <v>0</v>
      </c>
      <c r="I376" s="404">
        <f t="shared" ca="1" si="38"/>
        <v>0</v>
      </c>
      <c r="J376" s="404">
        <f>INDEX(Capacity!$I$15:$T$15,,MATCH(MONTH(A376),Capacity!$I$6:$T$6,0))</f>
        <v>0</v>
      </c>
      <c r="K376" s="404">
        <f>INDEX(Capacity!$I$17:$T$17,,MATCH(MONTH(A376),Capacity!$I$6:$T$6,0))</f>
        <v>0</v>
      </c>
      <c r="L376" s="404" t="str">
        <f t="shared" ca="1" si="39"/>
        <v>Y</v>
      </c>
      <c r="M376" s="309" t="str">
        <f t="shared" ca="1" si="40"/>
        <v>Y</v>
      </c>
      <c r="N376" s="323"/>
    </row>
    <row r="377" spans="1:14" x14ac:dyDescent="0.2">
      <c r="A377" s="409">
        <v>43829</v>
      </c>
      <c r="B377" s="304">
        <v>364</v>
      </c>
      <c r="C377" s="304">
        <f t="shared" ca="1" si="41"/>
        <v>0</v>
      </c>
      <c r="D377" s="304">
        <f t="shared" ca="1" si="41"/>
        <v>0</v>
      </c>
      <c r="E377" s="304">
        <f t="shared" ca="1" si="41"/>
        <v>0</v>
      </c>
      <c r="F377" s="304">
        <f t="shared" ca="1" si="41"/>
        <v>0</v>
      </c>
      <c r="G377" s="304"/>
      <c r="H377" s="304">
        <f t="shared" ca="1" si="37"/>
        <v>0</v>
      </c>
      <c r="I377" s="404">
        <f t="shared" ca="1" si="38"/>
        <v>0</v>
      </c>
      <c r="J377" s="404">
        <f>INDEX(Capacity!$I$15:$T$15,,MATCH(MONTH(A377),Capacity!$I$6:$T$6,0))</f>
        <v>0</v>
      </c>
      <c r="K377" s="404">
        <f>INDEX(Capacity!$I$17:$T$17,,MATCH(MONTH(A377),Capacity!$I$6:$T$6,0))</f>
        <v>0</v>
      </c>
      <c r="L377" s="404" t="str">
        <f t="shared" ca="1" si="39"/>
        <v>Y</v>
      </c>
      <c r="M377" s="309" t="str">
        <f t="shared" ca="1" si="40"/>
        <v>Y</v>
      </c>
      <c r="N377" s="323"/>
    </row>
    <row r="378" spans="1:14" ht="15" thickBot="1" x14ac:dyDescent="0.25">
      <c r="A378" s="410">
        <v>43830</v>
      </c>
      <c r="B378" s="329">
        <v>365</v>
      </c>
      <c r="C378" s="304">
        <f t="shared" ca="1" si="41"/>
        <v>0</v>
      </c>
      <c r="D378" s="304">
        <f t="shared" ca="1" si="41"/>
        <v>0</v>
      </c>
      <c r="E378" s="304">
        <f t="shared" ca="1" si="41"/>
        <v>0</v>
      </c>
      <c r="F378" s="304">
        <f t="shared" ca="1" si="41"/>
        <v>0</v>
      </c>
      <c r="G378" s="304"/>
      <c r="H378" s="304">
        <f t="shared" ca="1" si="37"/>
        <v>0</v>
      </c>
      <c r="I378" s="404">
        <f t="shared" ca="1" si="38"/>
        <v>0</v>
      </c>
      <c r="J378" s="411">
        <f>INDEX(Capacity!$I$15:$T$15,,MATCH(MONTH(A378),Capacity!$I$6:$T$6,0))</f>
        <v>0</v>
      </c>
      <c r="K378" s="411">
        <f>INDEX(Capacity!$I$17:$T$17,,MATCH(MONTH(A378),Capacity!$I$6:$T$6,0))</f>
        <v>0</v>
      </c>
      <c r="L378" s="411" t="str">
        <f t="shared" ca="1" si="39"/>
        <v>Y</v>
      </c>
      <c r="M378" s="330" t="str">
        <f t="shared" ca="1" si="40"/>
        <v>Y</v>
      </c>
      <c r="N378" s="323"/>
    </row>
    <row r="379" spans="1:14" hidden="1" x14ac:dyDescent="0.2">
      <c r="A379" s="22" t="s">
        <v>105</v>
      </c>
      <c r="B379" s="323"/>
      <c r="C379" s="323"/>
      <c r="D379" s="323"/>
      <c r="E379" s="323"/>
      <c r="F379" s="323"/>
      <c r="G379" s="323"/>
      <c r="H379" s="323"/>
      <c r="I379" s="323"/>
      <c r="J379" s="323"/>
      <c r="K379" s="323"/>
      <c r="L379" s="323"/>
      <c r="M379" s="323"/>
      <c r="N379" s="323"/>
    </row>
  </sheetData>
  <conditionalFormatting sqref="C5:H5">
    <cfRule type="expression" dxfId="83" priority="1">
      <formula>C$5="Enter vessel class in (1) Vessel Inputs"</formula>
    </cfRule>
  </conditionalFormatting>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FF1F9-D965-43A9-A956-D37CD5AC78C8}">
  <sheetPr codeName="Sheet17">
    <tabColor theme="5" tint="0.59999389629810485"/>
  </sheetPr>
  <dimension ref="A1:L9"/>
  <sheetViews>
    <sheetView showGridLines="0" workbookViewId="0">
      <selection sqref="A1:XFD2"/>
    </sheetView>
  </sheetViews>
  <sheetFormatPr defaultRowHeight="15" x14ac:dyDescent="0.25"/>
  <cols>
    <col min="11" max="11" width="11.42578125" customWidth="1"/>
    <col min="12" max="12" width="6.140625" customWidth="1"/>
  </cols>
  <sheetData>
    <row r="1" spans="1:12" ht="18.75" x14ac:dyDescent="0.3">
      <c r="A1" s="9" t="s">
        <v>255</v>
      </c>
      <c r="L1" s="71"/>
    </row>
    <row r="2" spans="1:12" ht="18.75" x14ac:dyDescent="0.3">
      <c r="A2" s="9"/>
      <c r="L2" s="71"/>
    </row>
    <row r="3" spans="1:12" x14ac:dyDescent="0.25">
      <c r="A3" s="444" t="s">
        <v>256</v>
      </c>
      <c r="B3" s="444"/>
      <c r="C3" s="444"/>
      <c r="D3" s="444"/>
      <c r="E3" s="444"/>
      <c r="F3" s="444"/>
      <c r="G3" s="444"/>
      <c r="H3" s="444"/>
      <c r="I3" s="444"/>
      <c r="J3" s="444"/>
      <c r="K3" s="444"/>
      <c r="L3" s="71"/>
    </row>
    <row r="4" spans="1:12" x14ac:dyDescent="0.25">
      <c r="A4" s="444"/>
      <c r="B4" s="444"/>
      <c r="C4" s="444"/>
      <c r="D4" s="444"/>
      <c r="E4" s="444"/>
      <c r="F4" s="444"/>
      <c r="G4" s="444"/>
      <c r="H4" s="444"/>
      <c r="I4" s="444"/>
      <c r="J4" s="444"/>
      <c r="K4" s="444"/>
      <c r="L4" s="71"/>
    </row>
    <row r="5" spans="1:12" x14ac:dyDescent="0.25">
      <c r="L5" s="71"/>
    </row>
    <row r="6" spans="1:12" x14ac:dyDescent="0.25">
      <c r="A6" s="445" t="s">
        <v>257</v>
      </c>
      <c r="B6" s="445"/>
      <c r="C6" s="445"/>
      <c r="D6" s="445"/>
      <c r="E6" s="445"/>
      <c r="F6" s="445"/>
      <c r="G6" s="445"/>
      <c r="H6" s="445"/>
      <c r="I6" s="445"/>
      <c r="J6" s="445"/>
      <c r="K6" s="445"/>
      <c r="L6" s="71"/>
    </row>
    <row r="7" spans="1:12" x14ac:dyDescent="0.25">
      <c r="A7" s="445"/>
      <c r="B7" s="445"/>
      <c r="C7" s="445"/>
      <c r="D7" s="445"/>
      <c r="E7" s="445"/>
      <c r="F7" s="445"/>
      <c r="G7" s="445"/>
      <c r="H7" s="445"/>
      <c r="I7" s="445"/>
      <c r="J7" s="445"/>
      <c r="K7" s="445"/>
      <c r="L7" s="71"/>
    </row>
    <row r="8" spans="1:12" x14ac:dyDescent="0.25">
      <c r="A8" s="445"/>
      <c r="B8" s="445"/>
      <c r="C8" s="445"/>
      <c r="D8" s="445"/>
      <c r="E8" s="445"/>
      <c r="F8" s="445"/>
      <c r="G8" s="445"/>
      <c r="H8" s="445"/>
      <c r="I8" s="445"/>
      <c r="J8" s="445"/>
      <c r="K8" s="445"/>
      <c r="L8" s="71"/>
    </row>
    <row r="9" spans="1:12" ht="15.75" thickBot="1" x14ac:dyDescent="0.3">
      <c r="A9" s="72"/>
      <c r="B9" s="72"/>
      <c r="C9" s="72"/>
      <c r="D9" s="72"/>
      <c r="E9" s="72"/>
      <c r="F9" s="72"/>
      <c r="G9" s="72"/>
      <c r="H9" s="72"/>
      <c r="I9" s="72"/>
      <c r="J9" s="72"/>
      <c r="K9" s="72"/>
      <c r="L9" s="73"/>
    </row>
  </sheetData>
  <mergeCells count="2">
    <mergeCell ref="A3:K4"/>
    <mergeCell ref="A6:K8"/>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0BE0A0-A29B-4CCA-871B-6629F5656001}">
  <sheetPr codeName="Sheet19">
    <tabColor theme="5" tint="0.59999389629810485"/>
  </sheetPr>
  <dimension ref="A1:M44"/>
  <sheetViews>
    <sheetView showGridLines="0" topLeftCell="A8" zoomScale="90" zoomScaleNormal="90" workbookViewId="0">
      <selection activeCell="B36" sqref="B36"/>
    </sheetView>
  </sheetViews>
  <sheetFormatPr defaultColWidth="9.140625" defaultRowHeight="14.25" x14ac:dyDescent="0.2"/>
  <cols>
    <col min="1" max="1" width="50.5703125" style="32" customWidth="1"/>
    <col min="2" max="5" width="28.85546875" style="32" customWidth="1"/>
    <col min="6" max="6" width="9.140625" style="32" hidden="1" customWidth="1"/>
    <col min="7" max="16384" width="9.140625" style="32"/>
  </cols>
  <sheetData>
    <row r="1" spans="1:9" ht="18" x14ac:dyDescent="0.25">
      <c r="A1" s="43" t="s">
        <v>258</v>
      </c>
      <c r="B1" s="304"/>
      <c r="C1" s="304"/>
      <c r="D1" s="304"/>
      <c r="E1" s="304"/>
      <c r="F1" s="304"/>
      <c r="G1" s="304"/>
      <c r="H1" s="304"/>
      <c r="I1" s="304"/>
    </row>
    <row r="3" spans="1:9" ht="15.75" x14ac:dyDescent="0.25">
      <c r="A3" s="28" t="s">
        <v>259</v>
      </c>
      <c r="B3" s="304"/>
      <c r="C3" s="304"/>
      <c r="D3" s="304"/>
      <c r="E3" s="304"/>
      <c r="F3" s="304"/>
      <c r="G3" s="304"/>
      <c r="H3" s="304"/>
      <c r="I3" s="304"/>
    </row>
    <row r="4" spans="1:9" ht="15.75" x14ac:dyDescent="0.25">
      <c r="A4" s="28"/>
      <c r="B4" s="304"/>
      <c r="C4" s="304"/>
      <c r="D4" s="304"/>
      <c r="E4" s="304"/>
      <c r="F4" s="304"/>
      <c r="G4" s="304"/>
      <c r="H4" s="304"/>
      <c r="I4" s="304"/>
    </row>
    <row r="5" spans="1:9" x14ac:dyDescent="0.2">
      <c r="A5" s="304"/>
      <c r="B5" s="304" t="s">
        <v>260</v>
      </c>
      <c r="C5" s="412">
        <v>7.0000000000000007E-2</v>
      </c>
      <c r="D5" s="304"/>
      <c r="E5" s="304"/>
      <c r="F5" s="304"/>
      <c r="G5" s="304"/>
      <c r="H5" s="304"/>
      <c r="I5" s="304"/>
    </row>
    <row r="6" spans="1:9" ht="30" x14ac:dyDescent="0.25">
      <c r="A6" s="108" t="s">
        <v>60</v>
      </c>
      <c r="B6" s="21" t="str">
        <f t="shared" ref="B6:E6" ca="1" si="0">IF(COLUMN()-COLUMN(ComplCosts_Start_Col)=0,"Tugboats",IF(COLUMN()-COLUMN(ComplCosts_Start_Col)=1,"Commercial Fishing Vessels",IF(COLUMN()-COLUMN(ComplCosts_Start_Col)=2,"Excursion",IF(COLUMN()-COLUMN(ComplCosts_Start_Col)=3,"Ferries",IF(OFFSET(Vessels_Start_Table,COLUMN()-COLUMN(ComplCosts_Start_Col)+1,0)="","Enter vessel class in (1) Vessel Inputs",OFFSET(Vessels_Start_Table,COLUMN()-COLUMN(ComplCosts_Start_Col)+1,0))))))</f>
        <v>Tugboats</v>
      </c>
      <c r="C6" s="21" t="str">
        <f t="shared" ca="1" si="0"/>
        <v>Commercial Fishing Vessels</v>
      </c>
      <c r="D6" s="21" t="str">
        <f t="shared" ca="1" si="0"/>
        <v>Excursion</v>
      </c>
      <c r="E6" s="21" t="str">
        <f t="shared" ca="1" si="0"/>
        <v>Ferries</v>
      </c>
      <c r="F6" s="22" t="s">
        <v>105</v>
      </c>
      <c r="G6" s="304"/>
      <c r="H6" s="304"/>
      <c r="I6" s="304"/>
    </row>
    <row r="7" spans="1:9" x14ac:dyDescent="0.2">
      <c r="A7" s="413" t="s">
        <v>167</v>
      </c>
      <c r="B7" s="414">
        <f ca="1">IFERROR(VLOOKUP(B6,Table_Demand,Col_Dem_NoVessels,FALSE),"Unknown; user input required")</f>
        <v>0</v>
      </c>
      <c r="C7" s="414">
        <f t="shared" ref="C7:E7" ca="1" si="1">IFERROR(VLOOKUP(C6,Table_Demand,Col_Dem_NoVessels,FALSE),"Unknown; user input required")</f>
        <v>0</v>
      </c>
      <c r="D7" s="414">
        <f t="shared" ca="1" si="1"/>
        <v>0</v>
      </c>
      <c r="E7" s="414">
        <f t="shared" ca="1" si="1"/>
        <v>0</v>
      </c>
      <c r="F7" s="323"/>
      <c r="G7" s="304"/>
      <c r="H7" s="304"/>
      <c r="I7" s="304"/>
    </row>
    <row r="8" spans="1:9" x14ac:dyDescent="0.2">
      <c r="A8" s="415" t="s">
        <v>169</v>
      </c>
      <c r="B8" s="404">
        <f t="shared" ref="B8:E8" ca="1" si="2">IFERROR(VLOOKUP(B6,Table_Demand,Col_Dem_NoVessels,FALSE)*VLOOKUP(B6,InputTable_VesselClass,Col_Percent_Holdingtank,FALSE),"Unknown; user input required")</f>
        <v>0</v>
      </c>
      <c r="C8" s="404">
        <f t="shared" ca="1" si="2"/>
        <v>0</v>
      </c>
      <c r="D8" s="404">
        <f t="shared" ca="1" si="2"/>
        <v>0</v>
      </c>
      <c r="E8" s="404">
        <f t="shared" ca="1" si="2"/>
        <v>0</v>
      </c>
      <c r="F8" s="323"/>
      <c r="G8" s="304"/>
      <c r="H8" s="304"/>
      <c r="I8" s="304"/>
    </row>
    <row r="9" spans="1:9" ht="15" thickBot="1" x14ac:dyDescent="0.25">
      <c r="A9" s="416" t="s">
        <v>170</v>
      </c>
      <c r="B9" s="417">
        <f t="shared" ref="B9:E9" ca="1" si="3">IFERROR(VLOOKUP(B6,Table_Demand,Col_Dem_NoVessels,FALSE)*(1-VLOOKUP(B6,InputTable_VesselClass,Col_Percent_Holdingtank,FALSE)),"Unknown; user input required")</f>
        <v>0</v>
      </c>
      <c r="C9" s="417">
        <f t="shared" ca="1" si="3"/>
        <v>0</v>
      </c>
      <c r="D9" s="417">
        <f t="shared" ca="1" si="3"/>
        <v>0</v>
      </c>
      <c r="E9" s="417">
        <f t="shared" ca="1" si="3"/>
        <v>0</v>
      </c>
      <c r="F9" s="323"/>
      <c r="G9" s="304"/>
      <c r="H9" s="304"/>
      <c r="I9" s="304"/>
    </row>
    <row r="10" spans="1:9" ht="15" thickTop="1" x14ac:dyDescent="0.2">
      <c r="A10" s="418" t="s">
        <v>261</v>
      </c>
      <c r="B10" s="419" t="str">
        <f ca="1">IFERROR(Capacity!V14,"Unknown; user input required")</f>
        <v>Unknown; user input required</v>
      </c>
      <c r="C10" s="419" t="str">
        <f ca="1">IFERROR(Capacity!W14,"Unknown; user input required")</f>
        <v>Unknown; user input required</v>
      </c>
      <c r="D10" s="419" t="str">
        <f ca="1">IFERROR(Capacity!X14,"Unknown; user input required")</f>
        <v>Unknown; user input required</v>
      </c>
      <c r="E10" s="419" t="str">
        <f ca="1">IFERROR(Capacity!Y14,"Unknown; user input required")</f>
        <v>Unknown; user input required</v>
      </c>
      <c r="F10" s="323"/>
      <c r="G10" s="304"/>
      <c r="H10" s="304"/>
      <c r="I10" s="304"/>
    </row>
    <row r="11" spans="1:9" x14ac:dyDescent="0.2">
      <c r="A11" s="418" t="s">
        <v>250</v>
      </c>
      <c r="B11" s="331">
        <f t="shared" ref="B11:E11" ca="1" si="4">IFERROR(INDEX(SeasonStats,MATCH($A11,SeasonStats_col1,0),MATCH(B$6,SeasonStats_row1,0)),"Unknown; user input required")</f>
        <v>351</v>
      </c>
      <c r="C11" s="331">
        <f t="shared" ca="1" si="4"/>
        <v>95</v>
      </c>
      <c r="D11" s="331">
        <f t="shared" ca="1" si="4"/>
        <v>175</v>
      </c>
      <c r="E11" s="331">
        <f t="shared" ca="1" si="4"/>
        <v>175</v>
      </c>
      <c r="F11" s="323"/>
      <c r="G11" s="304"/>
      <c r="H11" s="304"/>
      <c r="I11" s="304"/>
    </row>
    <row r="12" spans="1:9" x14ac:dyDescent="0.2">
      <c r="A12" s="418" t="s">
        <v>262</v>
      </c>
      <c r="B12" s="403">
        <f t="shared" ref="B12:E12" ca="1" si="5">IFERROR(IF(VLOOKUP(B$6,InputTable_VesselClass,Col_Input_AvgDays,FALSE)="","Unknown; user input required",VLOOKUP(B$6,InputTable_VesselClass,Col_Input_AvgDays,FALSE)),"Unknown; user input required")</f>
        <v>7.5</v>
      </c>
      <c r="C12" s="403">
        <f t="shared" ca="1" si="5"/>
        <v>2</v>
      </c>
      <c r="D12" s="403">
        <f t="shared" ca="1" si="5"/>
        <v>0.5</v>
      </c>
      <c r="E12" s="403">
        <f t="shared" ca="1" si="5"/>
        <v>0.5</v>
      </c>
      <c r="F12" s="323"/>
      <c r="G12" s="304"/>
      <c r="H12" s="304"/>
      <c r="I12" s="304"/>
    </row>
    <row r="13" spans="1:9" ht="15.75" thickBot="1" x14ac:dyDescent="0.3">
      <c r="A13" s="112" t="s">
        <v>177</v>
      </c>
      <c r="B13" s="420" t="str">
        <f ca="1">IFERROR(B10*B11/B12,"Unknown; user input required")</f>
        <v>Unknown; user input required</v>
      </c>
      <c r="C13" s="420" t="str">
        <f ca="1">IFERROR(C10*C11/C12,"Unknown; user input required")</f>
        <v>Unknown; user input required</v>
      </c>
      <c r="D13" s="420" t="str">
        <f t="shared" ref="D13:E13" ca="1" si="6">IFERROR(D10*D11/D12,"Unknown; user input required")</f>
        <v>Unknown; user input required</v>
      </c>
      <c r="E13" s="420" t="str">
        <f t="shared" ca="1" si="6"/>
        <v>Unknown; user input required</v>
      </c>
      <c r="F13" s="323"/>
      <c r="G13" s="304"/>
      <c r="H13" s="304"/>
      <c r="I13" s="304"/>
    </row>
    <row r="14" spans="1:9" ht="15" thickTop="1" x14ac:dyDescent="0.2">
      <c r="A14" s="418" t="s">
        <v>86</v>
      </c>
      <c r="B14" s="405">
        <f t="shared" ref="B14:E14" ca="1" si="7">IFERROR(IF(VLOOKUP(B$6,Table_Inputs_Costs,Col_Input_FuelPrice,FALSE)="","Unknown; user input required",VLOOKUP(B$6,Table_Inputs_Costs,Col_Input_FuelPrice,FALSE)),"Unknown; user input required")</f>
        <v>2.2559999999999998</v>
      </c>
      <c r="C14" s="405">
        <f t="shared" ca="1" si="7"/>
        <v>2.2559999999999998</v>
      </c>
      <c r="D14" s="405">
        <f t="shared" ca="1" si="7"/>
        <v>2.2559999999999998</v>
      </c>
      <c r="E14" s="405">
        <f t="shared" ca="1" si="7"/>
        <v>2.2559999999999998</v>
      </c>
      <c r="F14" s="421"/>
      <c r="G14" s="304"/>
      <c r="H14" s="304"/>
      <c r="I14" s="304"/>
    </row>
    <row r="15" spans="1:9" x14ac:dyDescent="0.2">
      <c r="A15" s="418" t="s">
        <v>263</v>
      </c>
      <c r="B15" s="304">
        <f t="shared" ref="B15:E15" ca="1" si="8">IFERROR(IF(VLOOKUP(B$6,InputTable_VesselClass,Col_Input_Distance,0)="","Unknown; user input required",VLOOKUP(B$6,InputTable_VesselClass,Col_Input_Distance,0)),"Unknown; user input required")</f>
        <v>0</v>
      </c>
      <c r="C15" s="304">
        <f t="shared" ca="1" si="8"/>
        <v>0</v>
      </c>
      <c r="D15" s="304">
        <f t="shared" ca="1" si="8"/>
        <v>0</v>
      </c>
      <c r="E15" s="304">
        <f t="shared" ca="1" si="8"/>
        <v>0</v>
      </c>
      <c r="F15" s="323"/>
      <c r="G15" s="304"/>
      <c r="H15" s="304"/>
      <c r="I15" s="304"/>
    </row>
    <row r="16" spans="1:9" x14ac:dyDescent="0.2">
      <c r="A16" s="418" t="s">
        <v>264</v>
      </c>
      <c r="B16" s="403">
        <f t="shared" ref="B16:E16" ca="1" si="9">IFERROR(IF(VLOOKUP(B$6,Table_Inputs_Costs,Col_Input_FuelCons,FALSE)="","Unknown; user input required",VLOOKUP(B$6,Table_Inputs_Costs,Col_Input_FuelCons,FALSE)),"Unknown; user input required")</f>
        <v>98.2</v>
      </c>
      <c r="C16" s="403">
        <f t="shared" ca="1" si="9"/>
        <v>30.1</v>
      </c>
      <c r="D16" s="403">
        <f t="shared" ca="1" si="9"/>
        <v>82.7</v>
      </c>
      <c r="E16" s="403">
        <f t="shared" ca="1" si="9"/>
        <v>82.7</v>
      </c>
      <c r="F16" s="323"/>
      <c r="G16" s="304"/>
      <c r="H16" s="304"/>
      <c r="I16" s="304"/>
    </row>
    <row r="17" spans="1:13" x14ac:dyDescent="0.2">
      <c r="A17" s="418" t="s">
        <v>265</v>
      </c>
      <c r="B17" s="403">
        <f t="shared" ref="B17:E17" ca="1" si="10">IFERROR(IF(VLOOKUP(B$6,Table_Inputs_Costs,Col_Input_Speed,FALSE)="","Unknown; user input required",VLOOKUP(B$6,Table_Inputs_Costs,Col_Input_Speed,FALSE)),"Unknown; user input required")</f>
        <v>11.75</v>
      </c>
      <c r="C17" s="403">
        <f t="shared" ca="1" si="10"/>
        <v>13</v>
      </c>
      <c r="D17" s="403">
        <f t="shared" ca="1" si="10"/>
        <v>30.5</v>
      </c>
      <c r="E17" s="403">
        <f t="shared" ca="1" si="10"/>
        <v>13.674290718038527</v>
      </c>
      <c r="F17" s="323"/>
      <c r="G17" s="304"/>
      <c r="H17" s="304"/>
      <c r="I17" s="304"/>
      <c r="J17" s="304"/>
      <c r="K17" s="304"/>
      <c r="L17" s="304"/>
      <c r="M17" s="304"/>
    </row>
    <row r="18" spans="1:13" x14ac:dyDescent="0.2">
      <c r="A18" s="418" t="s">
        <v>250</v>
      </c>
      <c r="B18" s="331">
        <f t="shared" ref="B18:E18" ca="1" si="11">IFERROR(INDEX(SeasonStats,MATCH($A18,SeasonStats_col1,0),MATCH(B$6,SeasonStats_row1,0)),"Unknown; user input required")</f>
        <v>351</v>
      </c>
      <c r="C18" s="331">
        <f t="shared" ca="1" si="11"/>
        <v>95</v>
      </c>
      <c r="D18" s="331">
        <f t="shared" ca="1" si="11"/>
        <v>175</v>
      </c>
      <c r="E18" s="331">
        <f t="shared" ca="1" si="11"/>
        <v>175</v>
      </c>
      <c r="F18" s="323"/>
      <c r="G18" s="304"/>
      <c r="H18" s="304"/>
      <c r="I18" s="304"/>
      <c r="J18" s="304"/>
      <c r="K18" s="304"/>
      <c r="L18" s="304"/>
      <c r="M18" s="304"/>
    </row>
    <row r="19" spans="1:13" x14ac:dyDescent="0.2">
      <c r="A19" s="418" t="s">
        <v>262</v>
      </c>
      <c r="B19" s="403">
        <f t="shared" ref="B19:E19" ca="1" si="12">IFERROR(IF(VLOOKUP(B$6,InputTable_VesselClass,Col_Input_AvgDays,FALSE)="","Unknown; user input required",VLOOKUP(B$6,InputTable_VesselClass,Col_Input_AvgDays,FALSE)),"Unknown; user input required")</f>
        <v>7.5</v>
      </c>
      <c r="C19" s="403">
        <f t="shared" ca="1" si="12"/>
        <v>2</v>
      </c>
      <c r="D19" s="403">
        <f t="shared" ca="1" si="12"/>
        <v>0.5</v>
      </c>
      <c r="E19" s="403">
        <f t="shared" ca="1" si="12"/>
        <v>0.5</v>
      </c>
      <c r="F19" s="323"/>
      <c r="G19" s="304"/>
      <c r="H19" s="304"/>
      <c r="I19" s="304"/>
      <c r="J19" s="304"/>
      <c r="K19" s="304"/>
      <c r="L19" s="304"/>
      <c r="M19" s="304"/>
    </row>
    <row r="20" spans="1:13" ht="15.75" thickBot="1" x14ac:dyDescent="0.3">
      <c r="A20" s="112" t="s">
        <v>179</v>
      </c>
      <c r="B20" s="420">
        <f ca="1">IFERROR(B14*B16/B17*B15*B18/B19,"Unknown; user input required")</f>
        <v>0</v>
      </c>
      <c r="C20" s="420">
        <f t="shared" ref="C20:E20" ca="1" si="13">IFERROR(C14*C16/C17*C15*C18/C19,"Unknown; user input required")</f>
        <v>0</v>
      </c>
      <c r="D20" s="420">
        <f t="shared" ca="1" si="13"/>
        <v>0</v>
      </c>
      <c r="E20" s="420">
        <f t="shared" ca="1" si="13"/>
        <v>0</v>
      </c>
      <c r="F20" s="422"/>
      <c r="G20" s="304"/>
      <c r="H20" s="304"/>
      <c r="I20" s="304"/>
      <c r="J20" s="304"/>
      <c r="K20" s="304"/>
      <c r="L20" s="304"/>
      <c r="M20" s="304"/>
    </row>
    <row r="21" spans="1:13" ht="15" thickTop="1" x14ac:dyDescent="0.2">
      <c r="A21" s="418" t="s">
        <v>266</v>
      </c>
      <c r="B21" s="304">
        <f ca="1">IFERROR(IF(VLOOKUP(B$6,InputTable_VesselClass,Col_Input_Distance,0)="",VLOOKUP(B$6,InputTable_VesselClass,Col_Def_Distance,0),VLOOKUP(B$6,InputTable_VesselClass,Col_Input_Distance,0)),"Unknown; user input required")</f>
        <v>0</v>
      </c>
      <c r="C21" s="304">
        <f ca="1">IFERROR(IF(VLOOKUP(C$6,InputTable_VesselClass,Col_Input_Distance,0)="",VLOOKUP(C$6,InputTable_VesselClass,Col_Def_Distance,0),VLOOKUP(C$6,InputTable_VesselClass,Col_Input_Distance,0)),"Unknown; user input required")</f>
        <v>0</v>
      </c>
      <c r="D21" s="304">
        <f ca="1">IFERROR(IF(VLOOKUP(D$6,InputTable_VesselClass,Col_Input_Distance,0)="",VLOOKUP(D$6,InputTable_VesselClass,Col_Def_Distance,0),VLOOKUP(D$6,InputTable_VesselClass,Col_Input_Distance,0)),"Unknown; user input required")</f>
        <v>0</v>
      </c>
      <c r="E21" s="304">
        <f ca="1">IFERROR(IF(VLOOKUP(E$6,InputTable_VesselClass,Col_Input_Distance,0)="",VLOOKUP(E$6,InputTable_VesselClass,Col_Def_Distance,0),VLOOKUP(E$6,InputTable_VesselClass,Col_Input_Distance,0)),"Unknown; user input required")</f>
        <v>0</v>
      </c>
      <c r="F21" s="323"/>
      <c r="G21" s="304"/>
      <c r="H21" s="304"/>
      <c r="I21" s="304"/>
      <c r="J21" s="304"/>
      <c r="K21" s="304"/>
      <c r="L21" s="304"/>
      <c r="M21" s="304"/>
    </row>
    <row r="22" spans="1:13" x14ac:dyDescent="0.2">
      <c r="A22" s="418" t="s">
        <v>267</v>
      </c>
      <c r="B22" s="419">
        <f t="shared" ref="B22:E22" ca="1" si="14">IFERROR(IF(VLOOKUP(B$6,Table_Inputs_Costs,Col_Input_HrlyRev,FALSE)="","Unknown; user input required",VLOOKUP(B$6,Table_Inputs_Costs,Col_Input_HrlyRev,FALSE)),"Unknown; user input required")</f>
        <v>1300</v>
      </c>
      <c r="C22" s="419">
        <f t="shared" ca="1" si="14"/>
        <v>1757.5</v>
      </c>
      <c r="D22" s="419">
        <f t="shared" ca="1" si="14"/>
        <v>1300</v>
      </c>
      <c r="E22" s="419">
        <f t="shared" ca="1" si="14"/>
        <v>1267.175</v>
      </c>
      <c r="F22" s="323"/>
      <c r="G22" s="304"/>
      <c r="H22" s="304"/>
      <c r="I22" s="304"/>
      <c r="J22" s="304"/>
      <c r="K22" s="304"/>
      <c r="L22" s="304"/>
      <c r="M22" s="304"/>
    </row>
    <row r="23" spans="1:13" x14ac:dyDescent="0.2">
      <c r="A23" s="418" t="s">
        <v>265</v>
      </c>
      <c r="B23" s="403">
        <f t="shared" ref="B23:E23" ca="1" si="15">IFERROR(IF(VLOOKUP(B$6,Table_Inputs_Costs,Col_Input_Speed,FALSE)="","Unknown; user input required",VLOOKUP(B$6,Table_Inputs_Costs,Col_Input_Speed,FALSE)),"Unknown; user input required")</f>
        <v>11.75</v>
      </c>
      <c r="C23" s="403">
        <f t="shared" ca="1" si="15"/>
        <v>13</v>
      </c>
      <c r="D23" s="403">
        <f t="shared" ca="1" si="15"/>
        <v>30.5</v>
      </c>
      <c r="E23" s="403">
        <f t="shared" ca="1" si="15"/>
        <v>13.674290718038527</v>
      </c>
      <c r="F23" s="323"/>
      <c r="G23" s="304"/>
      <c r="H23" s="304"/>
      <c r="I23" s="304"/>
      <c r="J23" s="304"/>
      <c r="K23" s="304"/>
      <c r="L23" s="304"/>
      <c r="M23" s="304"/>
    </row>
    <row r="24" spans="1:13" x14ac:dyDescent="0.2">
      <c r="A24" s="418" t="s">
        <v>250</v>
      </c>
      <c r="B24" s="331">
        <f t="shared" ref="B24:E24" ca="1" si="16">IFERROR(INDEX(SeasonStats,MATCH($A24,SeasonStats_col1,0),MATCH(B$6,SeasonStats_row1,0)),"Unknown; user input required")</f>
        <v>351</v>
      </c>
      <c r="C24" s="331">
        <f t="shared" ca="1" si="16"/>
        <v>95</v>
      </c>
      <c r="D24" s="331">
        <f t="shared" ca="1" si="16"/>
        <v>175</v>
      </c>
      <c r="E24" s="331">
        <f t="shared" ca="1" si="16"/>
        <v>175</v>
      </c>
      <c r="F24" s="323"/>
      <c r="G24" s="304"/>
      <c r="H24" s="304"/>
      <c r="I24" s="304"/>
      <c r="J24" s="304"/>
      <c r="K24" s="304"/>
      <c r="L24" s="304"/>
      <c r="M24" s="304"/>
    </row>
    <row r="25" spans="1:13" x14ac:dyDescent="0.2">
      <c r="A25" s="418" t="s">
        <v>262</v>
      </c>
      <c r="B25" s="403">
        <f t="shared" ref="B25:E25" ca="1" si="17">IFERROR(IF(VLOOKUP(B$6,InputTable_VesselClass,Col_Input_AvgDays,FALSE)="","Unknown; user input required",VLOOKUP(B$6,InputTable_VesselClass,Col_Input_AvgDays,FALSE)),"Unknown; user input required")</f>
        <v>7.5</v>
      </c>
      <c r="C25" s="403">
        <f t="shared" ca="1" si="17"/>
        <v>2</v>
      </c>
      <c r="D25" s="403">
        <f t="shared" ca="1" si="17"/>
        <v>0.5</v>
      </c>
      <c r="E25" s="403">
        <f t="shared" ca="1" si="17"/>
        <v>0.5</v>
      </c>
      <c r="F25" s="323"/>
      <c r="G25" s="304"/>
      <c r="H25" s="304"/>
      <c r="I25" s="304"/>
      <c r="J25" s="304"/>
      <c r="K25" s="304"/>
      <c r="L25" s="304"/>
      <c r="M25" s="304"/>
    </row>
    <row r="26" spans="1:13" ht="15.75" thickBot="1" x14ac:dyDescent="0.3">
      <c r="A26" s="112" t="s">
        <v>181</v>
      </c>
      <c r="B26" s="420">
        <f ca="1">IFERROR(B21/B23*B22*B24/B25,"Unknown; user input required")</f>
        <v>0</v>
      </c>
      <c r="C26" s="420">
        <f t="shared" ref="C26:E26" ca="1" si="18">IFERROR(C21/C23*C22*C24/C25,"Unknown; user input required")</f>
        <v>0</v>
      </c>
      <c r="D26" s="420">
        <f t="shared" ca="1" si="18"/>
        <v>0</v>
      </c>
      <c r="E26" s="420">
        <f t="shared" ca="1" si="18"/>
        <v>0</v>
      </c>
      <c r="F26" s="323"/>
      <c r="G26" s="304"/>
      <c r="H26" s="304"/>
      <c r="I26" s="304"/>
      <c r="J26" s="304"/>
      <c r="K26" s="304"/>
      <c r="L26" s="304"/>
      <c r="M26" s="304"/>
    </row>
    <row r="27" spans="1:13" ht="15" thickTop="1" x14ac:dyDescent="0.2">
      <c r="A27" s="418" t="s">
        <v>268</v>
      </c>
      <c r="B27" s="404">
        <f t="shared" ref="B27:E27" ca="1" si="19">IFERROR(VLOOKUP(B6,Table_Demand,Col_Demand_PerPumpout,FALSE),"Unknown; user input required")</f>
        <v>495</v>
      </c>
      <c r="C27" s="404">
        <f t="shared" ca="1" si="19"/>
        <v>154</v>
      </c>
      <c r="D27" s="404">
        <f t="shared" ca="1" si="19"/>
        <v>785.4</v>
      </c>
      <c r="E27" s="404">
        <f t="shared" ca="1" si="19"/>
        <v>1029.3</v>
      </c>
      <c r="F27" s="323"/>
      <c r="G27" s="304"/>
      <c r="H27" s="304"/>
      <c r="I27" s="304"/>
      <c r="J27" s="304"/>
      <c r="K27" s="304"/>
      <c r="L27" s="304"/>
      <c r="M27" s="304"/>
    </row>
    <row r="28" spans="1:13" x14ac:dyDescent="0.2">
      <c r="A28" s="418" t="s">
        <v>78</v>
      </c>
      <c r="B28" s="331" t="str">
        <f t="shared" ref="B28:E28" si="20">IFERROR(Avg_WkgFlow,"Unknown; user input required")</f>
        <v>Unknown; user input required</v>
      </c>
      <c r="C28" s="331" t="str">
        <f t="shared" si="20"/>
        <v>Unknown; user input required</v>
      </c>
      <c r="D28" s="331" t="str">
        <f t="shared" si="20"/>
        <v>Unknown; user input required</v>
      </c>
      <c r="E28" s="331" t="str">
        <f t="shared" si="20"/>
        <v>Unknown; user input required</v>
      </c>
      <c r="F28" s="323"/>
      <c r="G28" s="304"/>
      <c r="H28" s="304"/>
      <c r="I28" s="304"/>
      <c r="J28" s="304"/>
      <c r="K28" s="304"/>
      <c r="L28" s="304"/>
      <c r="M28" s="304"/>
    </row>
    <row r="29" spans="1:13" x14ac:dyDescent="0.2">
      <c r="A29" s="418" t="s">
        <v>269</v>
      </c>
      <c r="B29" s="331">
        <f ca="1">IFERROR(VLOOKUP(B6,InputTable_VesselClass,Col_Buffer,FALSE),"Unknown; user input required")</f>
        <v>0</v>
      </c>
      <c r="C29" s="331">
        <f ca="1">IFERROR(VLOOKUP(C6,InputTable_VesselClass,Col_Buffer,FALSE),"Unknown; user input required")</f>
        <v>0</v>
      </c>
      <c r="D29" s="331">
        <f ca="1">IFERROR(VLOOKUP(D6,InputTable_VesselClass,Col_Buffer,FALSE),"Unknown; user input required")</f>
        <v>0</v>
      </c>
      <c r="E29" s="331">
        <f ca="1">IFERROR(VLOOKUP(E6,InputTable_VesselClass,Col_Buffer,FALSE),"Unknown; user input required")</f>
        <v>0</v>
      </c>
      <c r="F29" s="323"/>
      <c r="G29" s="304"/>
      <c r="H29" s="304"/>
      <c r="I29" s="304"/>
      <c r="J29" s="304"/>
      <c r="K29" s="304"/>
      <c r="L29" s="304"/>
      <c r="M29" s="304"/>
    </row>
    <row r="30" spans="1:13" x14ac:dyDescent="0.2">
      <c r="A30" s="418" t="s">
        <v>270</v>
      </c>
      <c r="B30" s="403" t="str">
        <f ca="1">IFERROR(B27/B28+B29,"Unknown; user input required")</f>
        <v>Unknown; user input required</v>
      </c>
      <c r="C30" s="403" t="str">
        <f t="shared" ref="C30:F30" ca="1" si="21">IFERROR(C27/C28+C29,"Unknown; user input required")</f>
        <v>Unknown; user input required</v>
      </c>
      <c r="D30" s="403" t="str">
        <f t="shared" ca="1" si="21"/>
        <v>Unknown; user input required</v>
      </c>
      <c r="E30" s="403" t="str">
        <f t="shared" ca="1" si="21"/>
        <v>Unknown; user input required</v>
      </c>
      <c r="F30" s="403" t="str">
        <f t="shared" si="21"/>
        <v>Unknown; user input required</v>
      </c>
      <c r="G30" s="304"/>
      <c r="H30" s="304"/>
      <c r="I30" s="304"/>
      <c r="J30" s="304"/>
      <c r="K30" s="304"/>
      <c r="L30" s="304"/>
      <c r="M30" s="304"/>
    </row>
    <row r="31" spans="1:13" x14ac:dyDescent="0.2">
      <c r="A31" s="418" t="s">
        <v>250</v>
      </c>
      <c r="B31" s="331">
        <f t="shared" ref="B31:E31" ca="1" si="22">IFERROR(INDEX(SeasonStats,MATCH($A31,SeasonStats_col1,0),MATCH(B$6,SeasonStats_row1,0)),"Unknown; user input required")</f>
        <v>351</v>
      </c>
      <c r="C31" s="331">
        <f t="shared" ca="1" si="22"/>
        <v>95</v>
      </c>
      <c r="D31" s="331">
        <f t="shared" ca="1" si="22"/>
        <v>175</v>
      </c>
      <c r="E31" s="331">
        <f t="shared" ca="1" si="22"/>
        <v>175</v>
      </c>
      <c r="F31" s="323"/>
      <c r="G31" s="304"/>
      <c r="H31" s="304"/>
      <c r="I31" s="304"/>
      <c r="J31" s="304"/>
      <c r="K31" s="304"/>
      <c r="L31" s="304"/>
      <c r="M31" s="304"/>
    </row>
    <row r="32" spans="1:13" x14ac:dyDescent="0.2">
      <c r="A32" s="418" t="s">
        <v>262</v>
      </c>
      <c r="B32" s="403">
        <f t="shared" ref="B32:E32" ca="1" si="23">IFERROR(IF(VLOOKUP(B$6,InputTable_VesselClass,Col_Input_AvgDays,FALSE)="","Unknown; user input required",VLOOKUP(B$6,InputTable_VesselClass,Col_Input_AvgDays,FALSE)),"Unknown; user input required")</f>
        <v>7.5</v>
      </c>
      <c r="C32" s="403">
        <f t="shared" ca="1" si="23"/>
        <v>2</v>
      </c>
      <c r="D32" s="403">
        <f t="shared" ca="1" si="23"/>
        <v>0.5</v>
      </c>
      <c r="E32" s="403">
        <f t="shared" ca="1" si="23"/>
        <v>0.5</v>
      </c>
      <c r="F32" s="323"/>
      <c r="G32" s="304"/>
      <c r="H32" s="304"/>
      <c r="I32" s="304"/>
      <c r="J32" s="304"/>
      <c r="K32" s="304"/>
      <c r="L32" s="304"/>
      <c r="M32" s="304"/>
    </row>
    <row r="33" spans="1:9" x14ac:dyDescent="0.2">
      <c r="A33" s="418" t="s">
        <v>267</v>
      </c>
      <c r="B33" s="419">
        <f t="shared" ref="B33:E33" ca="1" si="24">IFERROR(IF(VLOOKUP(B$6,Table_Inputs_Costs,Col_Input_HrlyRev,FALSE)="","Unknown; user input required",VLOOKUP(B$6,Table_Inputs_Costs,Col_Input_HrlyRev,FALSE)),"Unknown; user input required")</f>
        <v>1300</v>
      </c>
      <c r="C33" s="419">
        <f t="shared" ca="1" si="24"/>
        <v>1757.5</v>
      </c>
      <c r="D33" s="419">
        <f t="shared" ca="1" si="24"/>
        <v>1300</v>
      </c>
      <c r="E33" s="419">
        <f t="shared" ca="1" si="24"/>
        <v>1267.175</v>
      </c>
      <c r="F33" s="423"/>
      <c r="G33" s="304"/>
      <c r="H33" s="304"/>
      <c r="I33" s="304"/>
    </row>
    <row r="34" spans="1:9" ht="15.75" thickBot="1" x14ac:dyDescent="0.3">
      <c r="A34" s="112" t="s">
        <v>182</v>
      </c>
      <c r="B34" s="420" t="str">
        <f ca="1">IFERROR(B30*B31/B32/60*B33,"Unknown; user input required")</f>
        <v>Unknown; user input required</v>
      </c>
      <c r="C34" s="420" t="str">
        <f t="shared" ref="C34:E34" ca="1" si="25">IFERROR(C30*C31/C32/60*C33,"Unknown; user input required")</f>
        <v>Unknown; user input required</v>
      </c>
      <c r="D34" s="420" t="str">
        <f t="shared" ca="1" si="25"/>
        <v>Unknown; user input required</v>
      </c>
      <c r="E34" s="420" t="str">
        <f t="shared" ca="1" si="25"/>
        <v>Unknown; user input required</v>
      </c>
      <c r="F34" s="323"/>
      <c r="G34" s="304"/>
      <c r="H34" s="304"/>
      <c r="I34" s="304"/>
    </row>
    <row r="35" spans="1:9" ht="15" thickTop="1" x14ac:dyDescent="0.2">
      <c r="A35" s="418" t="s">
        <v>271</v>
      </c>
      <c r="B35" s="403" t="str">
        <f ca="1">IFERROR(B27/B28+B29,"Unknown; user input required")</f>
        <v>Unknown; user input required</v>
      </c>
      <c r="C35" s="403" t="str">
        <f t="shared" ref="C35:D35" ca="1" si="26">IFERROR(C27/C28+C29,"Unknown; user input required")</f>
        <v>Unknown; user input required</v>
      </c>
      <c r="D35" s="403" t="str">
        <f t="shared" ca="1" si="26"/>
        <v>Unknown; user input required</v>
      </c>
      <c r="E35" s="403" t="str">
        <f ca="1">IFERROR(E27/E28+E29,"Unknown; user input required")</f>
        <v>Unknown; user input required</v>
      </c>
      <c r="F35" s="323"/>
      <c r="G35" s="304"/>
      <c r="H35" s="304"/>
      <c r="I35" s="304"/>
    </row>
    <row r="36" spans="1:9" ht="16.5" x14ac:dyDescent="0.2">
      <c r="A36" s="418" t="s">
        <v>272</v>
      </c>
      <c r="B36" s="403" t="str">
        <f ca="1">IFERROR(SUMPRODUCT($B$35:$F$35,$B$7:$F$7)/SUM($B$7:$F$7),"Unknown; user input required")</f>
        <v>Unknown; user input required</v>
      </c>
      <c r="C36" s="403" t="str">
        <f ca="1">IFERROR(SUMPRODUCT($B$35:$F$35,$B$7:$F$7)/SUM($B$7:$F$7),"Unknown; user input required")</f>
        <v>Unknown; user input required</v>
      </c>
      <c r="D36" s="403" t="str">
        <f ca="1">IFERROR(SUMPRODUCT($B$35:$F$35,$B$7:$F$7)/SUM($B$7:$F$7),"Unknown; user input required")</f>
        <v>Unknown; user input required</v>
      </c>
      <c r="E36" s="403" t="str">
        <f ca="1">IFERROR(SUMPRODUCT($B$35:$F$35,$B$7:$F$7)/SUM($B$7:$F$7),"Unknown; user input required")</f>
        <v>Unknown; user input required</v>
      </c>
      <c r="F36" s="403" t="str">
        <f ca="1">IFERROR(SUMPRODUCT($B$7:$F$7,$B$27:$F$27)/SUM($B$7:$F$7)/AVERAGE($B$28:$F$28)+F29,"Unknown; user input required")</f>
        <v>Unknown; user input required</v>
      </c>
      <c r="G36" s="304"/>
      <c r="H36" s="304"/>
      <c r="I36" s="304"/>
    </row>
    <row r="37" spans="1:9" x14ac:dyDescent="0.2">
      <c r="A37" s="418" t="s">
        <v>250</v>
      </c>
      <c r="B37" s="331">
        <f t="shared" ref="B37:E37" ca="1" si="27">IFERROR(INDEX(SeasonStats,MATCH($A37,SeasonStats_col1,0),MATCH(B$6,SeasonStats_row1,0)),"Unknown; user input required")</f>
        <v>351</v>
      </c>
      <c r="C37" s="331">
        <f t="shared" ca="1" si="27"/>
        <v>95</v>
      </c>
      <c r="D37" s="331">
        <f t="shared" ca="1" si="27"/>
        <v>175</v>
      </c>
      <c r="E37" s="331">
        <f t="shared" ca="1" si="27"/>
        <v>175</v>
      </c>
      <c r="F37" s="323"/>
      <c r="G37" s="304"/>
      <c r="H37" s="304"/>
      <c r="I37" s="304"/>
    </row>
    <row r="38" spans="1:9" x14ac:dyDescent="0.2">
      <c r="A38" s="418" t="s">
        <v>262</v>
      </c>
      <c r="B38" s="403">
        <f t="shared" ref="B38:E38" ca="1" si="28">IFERROR(IF(VLOOKUP(B$6,InputTable_VesselClass,Col_Input_AvgDays,FALSE)="","Unknown; user input required",VLOOKUP(B$6,InputTable_VesselClass,Col_Input_AvgDays,FALSE)),"Unknown; user input required")</f>
        <v>7.5</v>
      </c>
      <c r="C38" s="403">
        <f t="shared" ca="1" si="28"/>
        <v>2</v>
      </c>
      <c r="D38" s="403">
        <f t="shared" ca="1" si="28"/>
        <v>0.5</v>
      </c>
      <c r="E38" s="403">
        <f t="shared" ca="1" si="28"/>
        <v>0.5</v>
      </c>
      <c r="F38" s="323"/>
      <c r="G38" s="304"/>
      <c r="H38" s="304"/>
      <c r="I38" s="304"/>
    </row>
    <row r="39" spans="1:9" x14ac:dyDescent="0.2">
      <c r="A39" s="418" t="s">
        <v>267</v>
      </c>
      <c r="B39" s="419">
        <f t="shared" ref="B39:E39" ca="1" si="29">IFERROR(IF(VLOOKUP(B$6,Table_Inputs_Costs,Col_Input_HrlyRev,FALSE)="","Unknown; user input required",VLOOKUP(B$6,Table_Inputs_Costs,Col_Input_HrlyRev,FALSE)),"Unknown; user input required")</f>
        <v>1300</v>
      </c>
      <c r="C39" s="419">
        <f t="shared" ca="1" si="29"/>
        <v>1757.5</v>
      </c>
      <c r="D39" s="419">
        <f t="shared" ca="1" si="29"/>
        <v>1300</v>
      </c>
      <c r="E39" s="419">
        <f t="shared" ca="1" si="29"/>
        <v>1267.175</v>
      </c>
      <c r="F39" s="423"/>
      <c r="G39" s="304"/>
      <c r="H39" s="304"/>
      <c r="I39" s="304"/>
    </row>
    <row r="40" spans="1:9" x14ac:dyDescent="0.2">
      <c r="A40" s="418" t="s">
        <v>273</v>
      </c>
      <c r="B40" s="424">
        <f ca="1">IFERROR(1-Output!$C$40,"Unknown; user input required")</f>
        <v>0</v>
      </c>
      <c r="C40" s="424">
        <f ca="1">IFERROR(1-Output!$C$40,"Unknown; user input required")</f>
        <v>0</v>
      </c>
      <c r="D40" s="424">
        <f ca="1">IFERROR(1-Output!$C$40,"Unknown; user input required")</f>
        <v>0</v>
      </c>
      <c r="E40" s="424">
        <f ca="1">IFERROR(1-Output!$C$40,"Unknown; user input required")</f>
        <v>0</v>
      </c>
      <c r="F40" s="323"/>
      <c r="G40" s="304"/>
      <c r="H40" s="304"/>
      <c r="I40" s="304"/>
    </row>
    <row r="41" spans="1:9" ht="15.75" thickBot="1" x14ac:dyDescent="0.3">
      <c r="A41" s="112" t="s">
        <v>183</v>
      </c>
      <c r="B41" s="420" t="str">
        <f ca="1">IFERROR(B36*B37/B38/60*B39*B40,"Unknown; user input required")</f>
        <v>Unknown; user input required</v>
      </c>
      <c r="C41" s="420" t="str">
        <f t="shared" ref="C41:E41" ca="1" si="30">IFERROR(C36*C37/C38/60*C39*C40,"Unknown; user input required")</f>
        <v>Unknown; user input required</v>
      </c>
      <c r="D41" s="420" t="str">
        <f t="shared" ca="1" si="30"/>
        <v>Unknown; user input required</v>
      </c>
      <c r="E41" s="420" t="str">
        <f t="shared" ca="1" si="30"/>
        <v>Unknown; user input required</v>
      </c>
      <c r="F41" s="323"/>
      <c r="G41" s="304"/>
      <c r="H41" s="304"/>
      <c r="I41" s="304"/>
    </row>
    <row r="42" spans="1:9" ht="15.75" thickTop="1" x14ac:dyDescent="0.25">
      <c r="A42" s="113" t="s">
        <v>184</v>
      </c>
      <c r="B42" s="425" t="str">
        <f ca="1">IF(ISERROR(SEARCH("Unknown",_xlfn.CONCAT(B7:B41))),SUM(B13,B20,B26,B34,B41),"User input(s) missing")</f>
        <v>User input(s) missing</v>
      </c>
      <c r="C42" s="425" t="str">
        <f t="shared" ref="C42:F42" ca="1" si="31">IF(ISERROR(SEARCH("Unknown",_xlfn.CONCAT(C7:C41))),SUM(C13,C20,C26,C34,C41),"User input(s) missing")</f>
        <v>User input(s) missing</v>
      </c>
      <c r="D42" s="425" t="str">
        <f t="shared" ca="1" si="31"/>
        <v>User input(s) missing</v>
      </c>
      <c r="E42" s="425" t="str">
        <f t="shared" ca="1" si="31"/>
        <v>User input(s) missing</v>
      </c>
      <c r="F42" s="425" t="str">
        <f t="shared" ca="1" si="31"/>
        <v>User input(s) missing</v>
      </c>
      <c r="G42" s="304"/>
      <c r="H42" s="304"/>
      <c r="I42" s="304"/>
    </row>
    <row r="43" spans="1:9" ht="46.5" customHeight="1" x14ac:dyDescent="0.2">
      <c r="A43" s="426" t="s">
        <v>274</v>
      </c>
      <c r="B43" s="426"/>
      <c r="C43" s="426"/>
      <c r="D43" s="426"/>
      <c r="E43" s="426"/>
      <c r="F43" s="323"/>
      <c r="G43" s="304"/>
      <c r="H43" s="304"/>
      <c r="I43" s="304"/>
    </row>
    <row r="44" spans="1:9" hidden="1" x14ac:dyDescent="0.2">
      <c r="A44" s="22" t="s">
        <v>105</v>
      </c>
      <c r="B44" s="323"/>
      <c r="C44" s="323"/>
      <c r="D44" s="323"/>
      <c r="E44" s="323"/>
      <c r="F44" s="323"/>
      <c r="G44" s="304"/>
      <c r="H44" s="304"/>
      <c r="I44" s="304"/>
    </row>
  </sheetData>
  <conditionalFormatting sqref="B6:E6">
    <cfRule type="expression" dxfId="82" priority="207">
      <formula>B$6="Enter vessel class in (1) Vessel Inputs"</formula>
    </cfRule>
  </conditionalFormatting>
  <dataValidations count="1">
    <dataValidation type="list" allowBlank="1" showInputMessage="1" showErrorMessage="1" sqref="C5" xr:uid="{C0CFBB31-3E4F-43DA-91C0-DF6D7805C4FE}">
      <formula1>"0.03,0.07"</formula1>
    </dataValidation>
  </dataValidation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AF7A0E-6EE6-4DB1-9D64-F902374050B3}">
  <sheetPr codeName="Sheet2">
    <tabColor theme="5" tint="0.59999389629810485"/>
  </sheetPr>
  <dimension ref="A1:L6"/>
  <sheetViews>
    <sheetView showGridLines="0" workbookViewId="0">
      <selection activeCell="F4" sqref="F4"/>
    </sheetView>
  </sheetViews>
  <sheetFormatPr defaultRowHeight="15" x14ac:dyDescent="0.25"/>
  <cols>
    <col min="11" max="11" width="13" customWidth="1"/>
    <col min="12" max="12" width="6.140625" customWidth="1"/>
  </cols>
  <sheetData>
    <row r="1" spans="1:12" ht="18.75" x14ac:dyDescent="0.3">
      <c r="A1" s="9" t="s">
        <v>275</v>
      </c>
      <c r="L1" s="71"/>
    </row>
    <row r="2" spans="1:12" ht="18.75" x14ac:dyDescent="0.3">
      <c r="A2" s="9"/>
      <c r="L2" s="71"/>
    </row>
    <row r="3" spans="1:12" ht="31.5" customHeight="1" x14ac:dyDescent="0.25">
      <c r="A3" s="225" t="s">
        <v>276</v>
      </c>
      <c r="B3" s="225"/>
      <c r="C3" s="225"/>
      <c r="D3" s="225"/>
      <c r="E3" s="225"/>
      <c r="F3" s="225"/>
      <c r="G3" s="225"/>
      <c r="H3" s="225"/>
      <c r="I3" s="225"/>
      <c r="J3" s="225"/>
      <c r="K3" s="225"/>
      <c r="L3" s="71"/>
    </row>
    <row r="4" spans="1:12" x14ac:dyDescent="0.25">
      <c r="L4" s="71"/>
    </row>
    <row r="5" spans="1:12" ht="72.599999999999994" customHeight="1" x14ac:dyDescent="0.25">
      <c r="A5" s="226" t="s">
        <v>277</v>
      </c>
      <c r="B5" s="226"/>
      <c r="C5" s="226"/>
      <c r="D5" s="226"/>
      <c r="E5" s="226"/>
      <c r="F5" s="226"/>
      <c r="G5" s="226"/>
      <c r="H5" s="226"/>
      <c r="I5" s="226"/>
      <c r="J5" s="226"/>
      <c r="K5" s="226"/>
      <c r="L5" s="71"/>
    </row>
    <row r="6" spans="1:12" ht="15.75" thickBot="1" x14ac:dyDescent="0.3">
      <c r="A6" s="72"/>
      <c r="B6" s="72"/>
      <c r="C6" s="72"/>
      <c r="D6" s="72"/>
      <c r="E6" s="72"/>
      <c r="F6" s="72"/>
      <c r="G6" s="72"/>
      <c r="H6" s="72"/>
      <c r="I6" s="72"/>
      <c r="J6" s="72"/>
      <c r="K6" s="72"/>
      <c r="L6" s="73"/>
    </row>
  </sheetData>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731DD6-D8F7-43DA-AD66-AA64A23D2A0D}">
  <sheetPr codeName="Sheet3">
    <tabColor theme="5" tint="0.59999389629810485"/>
  </sheetPr>
  <dimension ref="A1:K41"/>
  <sheetViews>
    <sheetView showGridLines="0" zoomScale="80" zoomScaleNormal="80" workbookViewId="0">
      <selection activeCell="B8" sqref="B8"/>
    </sheetView>
  </sheetViews>
  <sheetFormatPr defaultColWidth="8.85546875" defaultRowHeight="15" x14ac:dyDescent="0.25"/>
  <cols>
    <col min="1" max="1" width="58.140625" customWidth="1"/>
    <col min="2" max="2" width="53.42578125" customWidth="1"/>
    <col min="3" max="3" width="23.85546875" customWidth="1"/>
    <col min="4" max="4" width="18.85546875" customWidth="1"/>
    <col min="5" max="5" width="21.5703125" customWidth="1"/>
    <col min="6" max="7" width="17.140625" customWidth="1"/>
    <col min="8" max="8" width="15.5703125" customWidth="1"/>
    <col min="9" max="9" width="19.5703125" customWidth="1"/>
    <col min="10" max="10" width="22.140625" customWidth="1"/>
    <col min="11" max="11" width="28.5703125" customWidth="1"/>
  </cols>
  <sheetData>
    <row r="1" spans="1:11" ht="23.25" x14ac:dyDescent="0.35">
      <c r="A1" s="74" t="s">
        <v>278</v>
      </c>
    </row>
    <row r="2" spans="1:11" ht="16.5" thickBot="1" x14ac:dyDescent="0.3">
      <c r="A2" s="429"/>
      <c r="B2" s="446" t="s">
        <v>279</v>
      </c>
      <c r="C2" s="446"/>
      <c r="D2" s="446"/>
      <c r="E2" s="446"/>
      <c r="F2" s="446"/>
      <c r="G2" s="446"/>
      <c r="H2" s="446"/>
      <c r="I2" s="446"/>
      <c r="J2" s="446"/>
      <c r="K2" s="446"/>
    </row>
    <row r="3" spans="1:11" ht="96" thickTop="1" thickBot="1" x14ac:dyDescent="0.3">
      <c r="A3" s="1" t="s">
        <v>60</v>
      </c>
      <c r="B3" s="1" t="s">
        <v>280</v>
      </c>
      <c r="C3" s="7" t="s">
        <v>281</v>
      </c>
      <c r="D3" s="7" t="s">
        <v>282</v>
      </c>
      <c r="E3" s="430" t="s">
        <v>454</v>
      </c>
      <c r="F3" s="431" t="s">
        <v>283</v>
      </c>
      <c r="G3" s="431" t="s">
        <v>284</v>
      </c>
      <c r="H3" s="431" t="s">
        <v>285</v>
      </c>
      <c r="I3" s="431" t="s">
        <v>286</v>
      </c>
      <c r="J3" s="431" t="s">
        <v>287</v>
      </c>
      <c r="K3" s="432" t="s">
        <v>455</v>
      </c>
    </row>
    <row r="4" spans="1:11" ht="18.75" thickBot="1" x14ac:dyDescent="0.3">
      <c r="A4" s="2" t="s">
        <v>288</v>
      </c>
      <c r="B4" s="2" t="s">
        <v>289</v>
      </c>
      <c r="C4" s="3">
        <v>0</v>
      </c>
      <c r="D4" s="3">
        <v>77</v>
      </c>
      <c r="E4" s="4">
        <v>0</v>
      </c>
      <c r="F4" s="3">
        <v>91</v>
      </c>
      <c r="G4" s="8">
        <f>SUM(E4:F4)/SUM(C4:F4)</f>
        <v>0.54166666666666663</v>
      </c>
      <c r="H4" s="5">
        <v>3506</v>
      </c>
      <c r="I4" s="3">
        <v>85</v>
      </c>
      <c r="J4" s="3">
        <v>8.4</v>
      </c>
      <c r="K4" s="150">
        <v>421000000</v>
      </c>
    </row>
    <row r="5" spans="1:11" ht="18.75" thickBot="1" x14ac:dyDescent="0.3">
      <c r="A5" s="2" t="s">
        <v>108</v>
      </c>
      <c r="B5" s="2" t="s">
        <v>290</v>
      </c>
      <c r="C5" s="3">
        <v>0</v>
      </c>
      <c r="D5" s="3">
        <v>35</v>
      </c>
      <c r="E5" s="4">
        <v>0</v>
      </c>
      <c r="F5" s="3">
        <v>28</v>
      </c>
      <c r="G5" s="8">
        <f t="shared" ref="G5:G15" si="0">SUM(E5:F5)/SUM(C5:F5)</f>
        <v>0.44444444444444442</v>
      </c>
      <c r="H5" s="3">
        <v>187</v>
      </c>
      <c r="I5" s="3">
        <v>174</v>
      </c>
      <c r="J5" s="3">
        <v>8.4</v>
      </c>
      <c r="K5" s="150">
        <v>17200000</v>
      </c>
    </row>
    <row r="6" spans="1:11" ht="18.75" thickBot="1" x14ac:dyDescent="0.3">
      <c r="A6" s="2" t="s">
        <v>291</v>
      </c>
      <c r="B6" s="2" t="s">
        <v>292</v>
      </c>
      <c r="C6" s="3">
        <v>0</v>
      </c>
      <c r="D6" s="3">
        <v>5</v>
      </c>
      <c r="E6" s="4">
        <v>1</v>
      </c>
      <c r="F6" s="3">
        <v>0</v>
      </c>
      <c r="G6" s="8">
        <f t="shared" si="0"/>
        <v>0.16666666666666666</v>
      </c>
      <c r="H6" s="3">
        <v>610</v>
      </c>
      <c r="I6" s="3">
        <v>174</v>
      </c>
      <c r="J6" s="3">
        <v>8.4</v>
      </c>
      <c r="K6" s="150">
        <v>4460000</v>
      </c>
    </row>
    <row r="7" spans="1:11" ht="18.75" thickBot="1" x14ac:dyDescent="0.3">
      <c r="A7" s="2" t="s">
        <v>109</v>
      </c>
      <c r="B7" s="2" t="s">
        <v>456</v>
      </c>
      <c r="C7" s="5">
        <v>875</v>
      </c>
      <c r="D7" s="3">
        <v>109</v>
      </c>
      <c r="E7" s="6">
        <v>5564</v>
      </c>
      <c r="F7" s="3">
        <v>0</v>
      </c>
      <c r="G7" s="8">
        <f t="shared" si="0"/>
        <v>0.84972510690287106</v>
      </c>
      <c r="H7" s="3">
        <v>282</v>
      </c>
      <c r="I7" s="3">
        <v>174</v>
      </c>
      <c r="J7" s="3">
        <v>7.3</v>
      </c>
      <c r="K7" s="150">
        <v>420000000</v>
      </c>
    </row>
    <row r="8" spans="1:11" ht="18.75" thickBot="1" x14ac:dyDescent="0.3">
      <c r="A8" s="2" t="s">
        <v>293</v>
      </c>
      <c r="B8" s="2" t="s">
        <v>294</v>
      </c>
      <c r="C8" s="3">
        <v>0</v>
      </c>
      <c r="D8" s="3">
        <v>957</v>
      </c>
      <c r="E8" s="4">
        <v>14</v>
      </c>
      <c r="F8" s="3">
        <v>0</v>
      </c>
      <c r="G8" s="8">
        <f t="shared" si="0"/>
        <v>1.4418125643666324E-2</v>
      </c>
      <c r="H8" s="3">
        <v>25</v>
      </c>
      <c r="I8" s="3">
        <v>60</v>
      </c>
      <c r="J8" s="3">
        <v>11</v>
      </c>
      <c r="K8" s="150">
        <v>15700000</v>
      </c>
    </row>
    <row r="9" spans="1:11" ht="18.75" thickBot="1" x14ac:dyDescent="0.3">
      <c r="A9" s="2" t="s">
        <v>295</v>
      </c>
      <c r="B9" s="2" t="s">
        <v>296</v>
      </c>
      <c r="C9" s="3">
        <v>0</v>
      </c>
      <c r="D9" s="3">
        <v>52</v>
      </c>
      <c r="E9" s="4">
        <v>2</v>
      </c>
      <c r="F9" s="3">
        <v>0</v>
      </c>
      <c r="G9" s="8">
        <f t="shared" si="0"/>
        <v>3.7037037037037035E-2</v>
      </c>
      <c r="H9" s="3">
        <v>24</v>
      </c>
      <c r="I9" s="3">
        <v>136</v>
      </c>
      <c r="J9" s="3">
        <v>11</v>
      </c>
      <c r="K9" s="150">
        <v>1870000</v>
      </c>
    </row>
    <row r="10" spans="1:11" ht="18.75" thickBot="1" x14ac:dyDescent="0.3">
      <c r="A10" s="2" t="s">
        <v>297</v>
      </c>
      <c r="B10" s="2" t="s">
        <v>298</v>
      </c>
      <c r="C10" s="5">
        <v>2805</v>
      </c>
      <c r="D10" s="5">
        <v>2805</v>
      </c>
      <c r="E10" s="4" t="s">
        <v>299</v>
      </c>
      <c r="F10" s="3">
        <v>0</v>
      </c>
      <c r="G10" s="8">
        <f t="shared" si="0"/>
        <v>0</v>
      </c>
      <c r="H10" s="3">
        <v>4</v>
      </c>
      <c r="I10" s="3">
        <v>31</v>
      </c>
      <c r="J10" s="3">
        <v>11</v>
      </c>
      <c r="K10" s="150">
        <v>7650000</v>
      </c>
    </row>
    <row r="11" spans="1:11" ht="18.75" thickBot="1" x14ac:dyDescent="0.3">
      <c r="A11" s="2" t="s">
        <v>300</v>
      </c>
      <c r="B11" s="2" t="s">
        <v>301</v>
      </c>
      <c r="C11" s="3">
        <v>44</v>
      </c>
      <c r="D11" s="3">
        <v>578</v>
      </c>
      <c r="E11" s="4" t="s">
        <v>299</v>
      </c>
      <c r="F11" s="3">
        <v>0</v>
      </c>
      <c r="G11" s="8">
        <f t="shared" si="0"/>
        <v>0</v>
      </c>
      <c r="H11" s="3">
        <v>4</v>
      </c>
      <c r="I11" s="3">
        <v>88</v>
      </c>
      <c r="J11" s="3">
        <v>11</v>
      </c>
      <c r="K11" s="150">
        <v>2410000</v>
      </c>
    </row>
    <row r="12" spans="1:11" ht="18.75" thickBot="1" x14ac:dyDescent="0.3">
      <c r="A12" s="2" t="s">
        <v>106</v>
      </c>
      <c r="B12" s="2" t="s">
        <v>302</v>
      </c>
      <c r="C12" s="3">
        <v>0</v>
      </c>
      <c r="D12" s="5">
        <v>5424</v>
      </c>
      <c r="E12" s="4" t="s">
        <v>299</v>
      </c>
      <c r="F12" s="3">
        <v>0</v>
      </c>
      <c r="G12" s="8">
        <f t="shared" si="0"/>
        <v>0</v>
      </c>
      <c r="H12" s="3">
        <v>6</v>
      </c>
      <c r="I12" s="3">
        <v>350</v>
      </c>
      <c r="J12" s="3">
        <v>11</v>
      </c>
      <c r="K12" s="150">
        <v>125000000</v>
      </c>
    </row>
    <row r="13" spans="1:11" ht="18.75" thickBot="1" x14ac:dyDescent="0.3">
      <c r="A13" s="2" t="s">
        <v>107</v>
      </c>
      <c r="B13" s="2" t="s">
        <v>303</v>
      </c>
      <c r="C13" s="5">
        <v>62250</v>
      </c>
      <c r="D13" s="5">
        <v>7694</v>
      </c>
      <c r="E13" s="4" t="s">
        <v>299</v>
      </c>
      <c r="F13" s="3">
        <v>0</v>
      </c>
      <c r="G13" s="8">
        <f t="shared" si="0"/>
        <v>0</v>
      </c>
      <c r="H13" s="3">
        <v>7</v>
      </c>
      <c r="I13" s="3">
        <v>94</v>
      </c>
      <c r="J13" s="3">
        <v>11</v>
      </c>
      <c r="K13" s="150">
        <v>506000000</v>
      </c>
    </row>
    <row r="14" spans="1:11" ht="18.75" thickBot="1" x14ac:dyDescent="0.3">
      <c r="A14" s="2" t="s">
        <v>304</v>
      </c>
      <c r="B14" s="2" t="s">
        <v>305</v>
      </c>
      <c r="C14" s="3">
        <v>0</v>
      </c>
      <c r="D14" s="3">
        <v>0</v>
      </c>
      <c r="E14" s="4">
        <v>587</v>
      </c>
      <c r="F14" s="3">
        <v>0</v>
      </c>
      <c r="G14" s="8">
        <f t="shared" si="0"/>
        <v>1</v>
      </c>
      <c r="H14" s="3">
        <v>695</v>
      </c>
      <c r="I14" s="3">
        <v>8</v>
      </c>
      <c r="J14" s="3">
        <v>11</v>
      </c>
      <c r="K14" s="151">
        <v>0</v>
      </c>
    </row>
    <row r="15" spans="1:11" ht="18.75" thickBot="1" x14ac:dyDescent="0.3">
      <c r="A15" s="2" t="s">
        <v>306</v>
      </c>
      <c r="B15" s="2" t="s">
        <v>307</v>
      </c>
      <c r="C15" s="5">
        <v>140876</v>
      </c>
      <c r="D15" s="3">
        <v>1565</v>
      </c>
      <c r="E15" s="6">
        <v>1422850</v>
      </c>
      <c r="F15" s="3">
        <v>0</v>
      </c>
      <c r="G15" s="8">
        <f t="shared" si="0"/>
        <v>0.90900030729110437</v>
      </c>
      <c r="H15" s="3">
        <v>8</v>
      </c>
      <c r="I15" s="3">
        <v>34</v>
      </c>
      <c r="J15" s="3">
        <v>8.4</v>
      </c>
      <c r="K15" s="150">
        <v>325000000</v>
      </c>
    </row>
    <row r="16" spans="1:11" ht="16.5" thickBot="1" x14ac:dyDescent="0.3">
      <c r="B16" s="130" t="s">
        <v>308</v>
      </c>
      <c r="C16" s="131"/>
      <c r="D16" s="131"/>
      <c r="E16" s="131"/>
      <c r="F16" s="131"/>
      <c r="G16" s="131"/>
      <c r="H16" s="131"/>
      <c r="I16" s="131"/>
      <c r="J16" s="132"/>
      <c r="K16" s="152">
        <v>1850000000</v>
      </c>
    </row>
    <row r="17" spans="1:7" ht="15.75" thickTop="1" x14ac:dyDescent="0.25">
      <c r="B17" s="447" t="s">
        <v>309</v>
      </c>
      <c r="C17" s="448"/>
      <c r="D17" s="448"/>
      <c r="E17" s="448"/>
      <c r="F17" s="448"/>
      <c r="G17" s="448"/>
    </row>
    <row r="18" spans="1:7" x14ac:dyDescent="0.25">
      <c r="B18" s="449"/>
      <c r="C18" s="449"/>
      <c r="D18" s="449"/>
      <c r="E18" s="449"/>
      <c r="F18" s="449"/>
      <c r="G18" s="449"/>
    </row>
    <row r="19" spans="1:7" ht="68.25" customHeight="1" x14ac:dyDescent="0.3">
      <c r="A19" s="9"/>
      <c r="B19" s="449"/>
      <c r="C19" s="449"/>
      <c r="D19" s="449"/>
      <c r="E19" s="449"/>
      <c r="F19" s="449"/>
      <c r="G19" s="449"/>
    </row>
    <row r="20" spans="1:7" ht="23.25" x14ac:dyDescent="0.35">
      <c r="A20" s="74" t="s">
        <v>310</v>
      </c>
    </row>
    <row r="21" spans="1:7" x14ac:dyDescent="0.25">
      <c r="A21" s="148" t="s">
        <v>60</v>
      </c>
      <c r="B21" s="149" t="s">
        <v>310</v>
      </c>
    </row>
    <row r="22" spans="1:7" x14ac:dyDescent="0.25">
      <c r="A22" s="310" t="s">
        <v>106</v>
      </c>
      <c r="B22" s="407">
        <v>7.5</v>
      </c>
    </row>
    <row r="23" spans="1:7" x14ac:dyDescent="0.25">
      <c r="A23" s="310" t="s">
        <v>107</v>
      </c>
      <c r="B23" s="407">
        <v>2</v>
      </c>
    </row>
    <row r="24" spans="1:7" x14ac:dyDescent="0.25">
      <c r="A24" s="310" t="s">
        <v>108</v>
      </c>
      <c r="B24" s="407">
        <v>0.5</v>
      </c>
    </row>
    <row r="25" spans="1:7" x14ac:dyDescent="0.25">
      <c r="A25" s="351" t="s">
        <v>109</v>
      </c>
      <c r="B25" s="413">
        <v>0.5</v>
      </c>
    </row>
    <row r="26" spans="1:7" ht="15.75" x14ac:dyDescent="0.25">
      <c r="A26" s="10"/>
    </row>
    <row r="27" spans="1:7" ht="15.75" x14ac:dyDescent="0.25">
      <c r="A27" s="10"/>
    </row>
    <row r="28" spans="1:7" ht="15.75" x14ac:dyDescent="0.25">
      <c r="A28" s="10"/>
    </row>
    <row r="29" spans="1:7" ht="15.75" x14ac:dyDescent="0.25">
      <c r="A29" s="10"/>
    </row>
    <row r="30" spans="1:7" ht="15.75" x14ac:dyDescent="0.25">
      <c r="A30" s="10"/>
    </row>
    <row r="31" spans="1:7" ht="15.75" x14ac:dyDescent="0.25">
      <c r="A31" s="10"/>
    </row>
    <row r="32" spans="1:7" ht="15.75" x14ac:dyDescent="0.25">
      <c r="A32" s="10"/>
    </row>
    <row r="33" spans="1:1" ht="15.75" x14ac:dyDescent="0.25">
      <c r="A33" s="10"/>
    </row>
    <row r="34" spans="1:1" ht="15.75" x14ac:dyDescent="0.25">
      <c r="A34" s="10"/>
    </row>
    <row r="35" spans="1:1" ht="15.75" x14ac:dyDescent="0.25">
      <c r="A35" s="10"/>
    </row>
    <row r="36" spans="1:1" ht="15.75" x14ac:dyDescent="0.25">
      <c r="A36" s="10"/>
    </row>
    <row r="37" spans="1:1" ht="15.75" x14ac:dyDescent="0.25">
      <c r="A37" s="10"/>
    </row>
    <row r="38" spans="1:1" ht="15.75" x14ac:dyDescent="0.25">
      <c r="A38" s="10"/>
    </row>
    <row r="39" spans="1:1" ht="15.75" x14ac:dyDescent="0.25">
      <c r="A39" s="10"/>
    </row>
    <row r="40" spans="1:1" ht="15.75" x14ac:dyDescent="0.25">
      <c r="A40" s="10"/>
    </row>
    <row r="41" spans="1:1" ht="15.75" x14ac:dyDescent="0.25">
      <c r="A41" s="10"/>
    </row>
  </sheetData>
  <mergeCells count="2">
    <mergeCell ref="B2:K2"/>
    <mergeCell ref="B17:G19"/>
  </mergeCells>
  <dataValidations count="1">
    <dataValidation type="list" allowBlank="1" showInputMessage="1" showErrorMessage="1" sqref="A22:A25" xr:uid="{06E4C58C-48DC-4E5D-BABE-2A85A564B7D8}">
      <formula1>$A$4:$A$15</formula1>
    </dataValidation>
  </dataValidations>
  <pageMargins left="0.7" right="0.7" top="0.75" bottom="0.75" header="0.3" footer="0.3"/>
  <pageSetup orientation="portrait" r:id="rId1"/>
  <tableParts count="2">
    <tablePart r:id="rId2"/>
    <tablePart r:id="rId3"/>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268BB1-FF3E-4D45-B701-765C44673027}">
  <sheetPr codeName="Sheet5">
    <tabColor theme="5" tint="0.59999389629810485"/>
  </sheetPr>
  <dimension ref="A1:E7"/>
  <sheetViews>
    <sheetView showGridLines="0" zoomScale="90" zoomScaleNormal="90" workbookViewId="0">
      <selection activeCell="E2" sqref="E2"/>
    </sheetView>
  </sheetViews>
  <sheetFormatPr defaultRowHeight="15" x14ac:dyDescent="0.25"/>
  <cols>
    <col min="1" max="1" width="16" customWidth="1"/>
    <col min="2" max="2" width="18.5703125" customWidth="1"/>
    <col min="3" max="3" width="17" customWidth="1"/>
    <col min="4" max="4" width="16.85546875" customWidth="1"/>
    <col min="5" max="5" width="16" customWidth="1"/>
  </cols>
  <sheetData>
    <row r="1" spans="1:5" ht="23.25" x14ac:dyDescent="0.35">
      <c r="A1" s="74" t="s">
        <v>311</v>
      </c>
    </row>
    <row r="2" spans="1:5" x14ac:dyDescent="0.25">
      <c r="A2">
        <f>COLUMN()</f>
        <v>1</v>
      </c>
      <c r="B2">
        <f>COLUMN()</f>
        <v>2</v>
      </c>
      <c r="C2">
        <f>COLUMN()</f>
        <v>3</v>
      </c>
      <c r="D2">
        <f>COLUMN()</f>
        <v>4</v>
      </c>
      <c r="E2">
        <f>COLUMN()</f>
        <v>5</v>
      </c>
    </row>
    <row r="3" spans="1:5" ht="48.75" customHeight="1" x14ac:dyDescent="0.25">
      <c r="A3" s="155" t="s">
        <v>71</v>
      </c>
      <c r="B3" s="156" t="s">
        <v>312</v>
      </c>
      <c r="C3" s="156" t="s">
        <v>313</v>
      </c>
      <c r="D3" s="156" t="s">
        <v>314</v>
      </c>
      <c r="E3" s="157" t="s">
        <v>315</v>
      </c>
    </row>
    <row r="4" spans="1:5" x14ac:dyDescent="0.25">
      <c r="A4" s="153" t="s">
        <v>135</v>
      </c>
      <c r="B4" s="11">
        <v>5000</v>
      </c>
      <c r="C4" s="11">
        <v>5000</v>
      </c>
      <c r="D4" s="11">
        <f>AVERAGE(B4:C4)</f>
        <v>5000</v>
      </c>
      <c r="E4" s="154">
        <v>87.5</v>
      </c>
    </row>
    <row r="5" spans="1:5" x14ac:dyDescent="0.25">
      <c r="A5" s="153" t="s">
        <v>138</v>
      </c>
      <c r="B5" s="11">
        <v>5000</v>
      </c>
      <c r="C5" s="11">
        <v>5000</v>
      </c>
      <c r="D5" s="11">
        <f t="shared" ref="D5:D7" si="0">AVERAGE(B5:C5)</f>
        <v>5000</v>
      </c>
      <c r="E5" s="154">
        <v>87.5</v>
      </c>
    </row>
    <row r="6" spans="1:5" x14ac:dyDescent="0.25">
      <c r="A6" s="153" t="s">
        <v>141</v>
      </c>
      <c r="B6" s="11">
        <v>240</v>
      </c>
      <c r="C6" s="11">
        <v>1000</v>
      </c>
      <c r="D6" s="11">
        <f t="shared" si="0"/>
        <v>620</v>
      </c>
      <c r="E6" s="154">
        <v>87.5</v>
      </c>
    </row>
    <row r="7" spans="1:5" x14ac:dyDescent="0.25">
      <c r="A7" s="158" t="s">
        <v>143</v>
      </c>
      <c r="B7" s="159">
        <v>80000</v>
      </c>
      <c r="C7" s="159">
        <v>280000</v>
      </c>
      <c r="D7" s="159">
        <f t="shared" si="0"/>
        <v>180000</v>
      </c>
      <c r="E7" s="160">
        <v>87.5</v>
      </c>
    </row>
  </sheetData>
  <pageMargins left="0.7" right="0.7" top="0.75" bottom="0.75" header="0.3" footer="0.3"/>
  <pageSetup orientation="portrait" r:id="rId1"/>
  <tableParts count="1">
    <tablePart r:id="rId2"/>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9EE6AC-E5EC-46E1-A5B0-3571782B354B}">
  <sheetPr codeName="Sheet6">
    <tabColor theme="5" tint="0.59999389629810485"/>
  </sheetPr>
  <dimension ref="A1:I107"/>
  <sheetViews>
    <sheetView showGridLines="0" topLeftCell="A22" zoomScale="90" zoomScaleNormal="90" workbookViewId="0">
      <selection activeCell="C79" sqref="C79"/>
    </sheetView>
  </sheetViews>
  <sheetFormatPr defaultRowHeight="15" x14ac:dyDescent="0.25"/>
  <cols>
    <col min="1" max="1" width="36.5703125" customWidth="1"/>
    <col min="2" max="3" width="29.42578125" customWidth="1"/>
    <col min="4" max="4" width="27.42578125" customWidth="1"/>
    <col min="5" max="5" width="35.85546875" customWidth="1"/>
    <col min="6" max="6" width="18.85546875" customWidth="1"/>
    <col min="7" max="7" width="28.5703125" customWidth="1"/>
    <col min="8" max="8" width="39.140625" customWidth="1"/>
    <col min="9" max="9" width="35.85546875" customWidth="1"/>
  </cols>
  <sheetData>
    <row r="1" spans="1:2" ht="21" x14ac:dyDescent="0.35">
      <c r="A1" s="102" t="s">
        <v>316</v>
      </c>
    </row>
    <row r="2" spans="1:2" ht="15.75" thickBot="1" x14ac:dyDescent="0.3"/>
    <row r="3" spans="1:2" ht="15.75" thickBot="1" x14ac:dyDescent="0.3">
      <c r="A3" s="168" t="s">
        <v>109</v>
      </c>
      <c r="B3" s="169"/>
    </row>
    <row r="4" spans="1:2" x14ac:dyDescent="0.25">
      <c r="A4" s="161" t="s">
        <v>317</v>
      </c>
      <c r="B4" s="165" t="s">
        <v>318</v>
      </c>
    </row>
    <row r="5" spans="1:2" ht="90" x14ac:dyDescent="0.25">
      <c r="A5" s="162" t="s">
        <v>319</v>
      </c>
      <c r="B5" s="170">
        <v>2580196.1607678472</v>
      </c>
    </row>
    <row r="6" spans="1:2" ht="90" x14ac:dyDescent="0.25">
      <c r="A6" s="163" t="s">
        <v>319</v>
      </c>
      <c r="B6" s="171">
        <v>1779607.3185362932</v>
      </c>
    </row>
    <row r="7" spans="1:2" ht="90" x14ac:dyDescent="0.25">
      <c r="A7" s="163" t="s">
        <v>319</v>
      </c>
      <c r="B7" s="171">
        <v>1298834.4691061792</v>
      </c>
    </row>
    <row r="8" spans="1:2" ht="90" x14ac:dyDescent="0.25">
      <c r="A8" s="163" t="s">
        <v>319</v>
      </c>
      <c r="B8" s="171">
        <v>1689838.4565086986</v>
      </c>
    </row>
    <row r="9" spans="1:2" ht="90" x14ac:dyDescent="0.25">
      <c r="A9" s="163" t="s">
        <v>319</v>
      </c>
      <c r="B9" s="171">
        <v>1542652.5176964612</v>
      </c>
    </row>
    <row r="10" spans="1:2" ht="90" x14ac:dyDescent="0.25">
      <c r="A10" s="163" t="s">
        <v>319</v>
      </c>
      <c r="B10" s="171">
        <v>2104507.1985602886</v>
      </c>
    </row>
    <row r="11" spans="1:2" ht="90" x14ac:dyDescent="0.25">
      <c r="A11" s="164" t="s">
        <v>319</v>
      </c>
      <c r="B11" s="172">
        <v>1397885.1271745653</v>
      </c>
    </row>
    <row r="12" spans="1:2" ht="90" x14ac:dyDescent="0.25">
      <c r="A12" s="162" t="s">
        <v>320</v>
      </c>
      <c r="B12" s="171">
        <v>1128000</v>
      </c>
    </row>
    <row r="13" spans="1:2" ht="90" x14ac:dyDescent="0.25">
      <c r="A13" s="163" t="s">
        <v>320</v>
      </c>
      <c r="B13" s="171">
        <v>1158000</v>
      </c>
    </row>
    <row r="14" spans="1:2" ht="90" x14ac:dyDescent="0.25">
      <c r="A14" s="163" t="s">
        <v>320</v>
      </c>
      <c r="B14" s="171">
        <v>1354000</v>
      </c>
    </row>
    <row r="15" spans="1:2" ht="90" x14ac:dyDescent="0.25">
      <c r="A15" s="163" t="s">
        <v>320</v>
      </c>
      <c r="B15" s="171">
        <v>710000</v>
      </c>
    </row>
    <row r="16" spans="1:2" ht="90" x14ac:dyDescent="0.25">
      <c r="A16" s="163" t="s">
        <v>320</v>
      </c>
      <c r="B16" s="171">
        <v>907000</v>
      </c>
    </row>
    <row r="17" spans="1:2" ht="90" x14ac:dyDescent="0.25">
      <c r="A17" s="163" t="s">
        <v>320</v>
      </c>
      <c r="B17" s="171">
        <v>797000</v>
      </c>
    </row>
    <row r="18" spans="1:2" ht="90" x14ac:dyDescent="0.25">
      <c r="A18" s="163" t="s">
        <v>320</v>
      </c>
      <c r="B18" s="171">
        <v>961000</v>
      </c>
    </row>
    <row r="19" spans="1:2" ht="90" x14ac:dyDescent="0.25">
      <c r="A19" s="164" t="s">
        <v>320</v>
      </c>
      <c r="B19" s="173">
        <v>841000</v>
      </c>
    </row>
    <row r="20" spans="1:2" ht="150" x14ac:dyDescent="0.25">
      <c r="A20" s="174" t="s">
        <v>321</v>
      </c>
      <c r="B20" s="166">
        <v>1195422.8796223449</v>
      </c>
    </row>
    <row r="21" spans="1:2" ht="135" x14ac:dyDescent="0.25">
      <c r="A21" s="174" t="s">
        <v>322</v>
      </c>
      <c r="B21" s="166">
        <v>319659.57753240515</v>
      </c>
    </row>
    <row r="22" spans="1:2" ht="150" x14ac:dyDescent="0.25">
      <c r="A22" s="162" t="s">
        <v>323</v>
      </c>
      <c r="B22" s="170">
        <v>265830.2130766678</v>
      </c>
    </row>
    <row r="23" spans="1:2" ht="150" x14ac:dyDescent="0.25">
      <c r="A23" s="163" t="s">
        <v>323</v>
      </c>
      <c r="B23" s="171">
        <v>160341.40909392634</v>
      </c>
    </row>
    <row r="24" spans="1:2" ht="150" x14ac:dyDescent="0.25">
      <c r="A24" s="163" t="s">
        <v>323</v>
      </c>
      <c r="B24" s="171">
        <v>66278.410620643888</v>
      </c>
    </row>
    <row r="25" spans="1:2" ht="150" x14ac:dyDescent="0.25">
      <c r="A25" s="164" t="s">
        <v>323</v>
      </c>
      <c r="B25" s="172">
        <v>45664.990375041496</v>
      </c>
    </row>
    <row r="26" spans="1:2" ht="120" x14ac:dyDescent="0.25">
      <c r="A26" s="162" t="s">
        <v>324</v>
      </c>
      <c r="B26" s="170">
        <v>3419267.2597215553</v>
      </c>
    </row>
    <row r="27" spans="1:2" ht="120" x14ac:dyDescent="0.25">
      <c r="A27" s="163" t="s">
        <v>324</v>
      </c>
      <c r="B27" s="171">
        <v>2774639.7016322608</v>
      </c>
    </row>
    <row r="28" spans="1:2" ht="120" x14ac:dyDescent="0.25">
      <c r="A28" s="163" t="s">
        <v>324</v>
      </c>
      <c r="B28" s="171">
        <v>3292072.4721555444</v>
      </c>
    </row>
    <row r="29" spans="1:2" ht="120" x14ac:dyDescent="0.25">
      <c r="A29" s="163" t="s">
        <v>324</v>
      </c>
      <c r="B29" s="171">
        <v>2535360.6332213152</v>
      </c>
    </row>
    <row r="30" spans="1:2" ht="120" x14ac:dyDescent="0.25">
      <c r="A30" s="163" t="s">
        <v>324</v>
      </c>
      <c r="B30" s="171">
        <v>3314953.7580412864</v>
      </c>
    </row>
    <row r="31" spans="1:2" ht="120" x14ac:dyDescent="0.25">
      <c r="A31" s="163" t="s">
        <v>324</v>
      </c>
      <c r="B31" s="171">
        <v>2526832.4277484394</v>
      </c>
    </row>
    <row r="32" spans="1:2" ht="120" x14ac:dyDescent="0.25">
      <c r="A32" s="164" t="s">
        <v>324</v>
      </c>
      <c r="B32" s="172">
        <v>2830510.0139222271</v>
      </c>
    </row>
    <row r="33" spans="1:3" ht="120" x14ac:dyDescent="0.25">
      <c r="A33" s="175" t="s">
        <v>325</v>
      </c>
      <c r="B33" s="167">
        <v>378970.00499625283</v>
      </c>
    </row>
    <row r="34" spans="1:3" ht="120" x14ac:dyDescent="0.25">
      <c r="A34" s="162" t="s">
        <v>326</v>
      </c>
      <c r="B34" s="170">
        <v>4451000</v>
      </c>
    </row>
    <row r="35" spans="1:3" ht="120" x14ac:dyDescent="0.25">
      <c r="A35" s="163" t="s">
        <v>326</v>
      </c>
      <c r="B35" s="171">
        <v>4407000</v>
      </c>
    </row>
    <row r="36" spans="1:3" ht="120" x14ac:dyDescent="0.25">
      <c r="A36" s="164" t="s">
        <v>326</v>
      </c>
      <c r="B36" s="172">
        <v>4476000</v>
      </c>
    </row>
    <row r="37" spans="1:3" ht="105" x14ac:dyDescent="0.25">
      <c r="A37" s="176" t="s">
        <v>327</v>
      </c>
      <c r="B37" s="167">
        <v>3149759</v>
      </c>
    </row>
    <row r="38" spans="1:3" ht="135" x14ac:dyDescent="0.25">
      <c r="A38" s="176" t="s">
        <v>328</v>
      </c>
      <c r="B38" s="167">
        <v>4229004.439112179</v>
      </c>
    </row>
    <row r="39" spans="1:3" x14ac:dyDescent="0.25">
      <c r="A39" s="177" t="s">
        <v>233</v>
      </c>
      <c r="B39" s="178">
        <f>AVERAGE(B5:B38)</f>
        <v>1884943.7776241892</v>
      </c>
    </row>
    <row r="40" spans="1:3" ht="15.75" thickBot="1" x14ac:dyDescent="0.3">
      <c r="A40" s="91"/>
      <c r="B40" s="91"/>
      <c r="C40" s="91"/>
    </row>
    <row r="41" spans="1:3" ht="15.75" thickBot="1" x14ac:dyDescent="0.3">
      <c r="A41" s="105" t="s">
        <v>106</v>
      </c>
      <c r="B41" s="106"/>
      <c r="C41" s="107"/>
    </row>
    <row r="42" spans="1:3" x14ac:dyDescent="0.25">
      <c r="A42" s="85" t="s">
        <v>329</v>
      </c>
      <c r="B42" s="86"/>
      <c r="C42" s="87"/>
    </row>
    <row r="43" spans="1:3" x14ac:dyDescent="0.25">
      <c r="A43" s="88" t="s">
        <v>330</v>
      </c>
      <c r="C43" s="71"/>
    </row>
    <row r="44" spans="1:3" x14ac:dyDescent="0.25">
      <c r="A44" s="66" t="s">
        <v>331</v>
      </c>
      <c r="C44" s="71"/>
    </row>
    <row r="45" spans="1:3" x14ac:dyDescent="0.25">
      <c r="A45" s="90" t="s">
        <v>173</v>
      </c>
      <c r="B45" s="103" t="s">
        <v>332</v>
      </c>
      <c r="C45" s="104" t="s">
        <v>333</v>
      </c>
    </row>
    <row r="46" spans="1:3" x14ac:dyDescent="0.25">
      <c r="A46" s="90" t="s">
        <v>334</v>
      </c>
      <c r="B46" t="s">
        <v>335</v>
      </c>
      <c r="C46" s="71" t="s">
        <v>335</v>
      </c>
    </row>
    <row r="47" spans="1:3" x14ac:dyDescent="0.25">
      <c r="A47" s="90" t="s">
        <v>336</v>
      </c>
      <c r="B47" t="s">
        <v>337</v>
      </c>
      <c r="C47" s="71" t="s">
        <v>337</v>
      </c>
    </row>
    <row r="48" spans="1:3" x14ac:dyDescent="0.25">
      <c r="A48" s="90" t="s">
        <v>338</v>
      </c>
      <c r="C48" s="71"/>
    </row>
    <row r="49" spans="1:3" x14ac:dyDescent="0.25">
      <c r="A49" s="236" t="s">
        <v>339</v>
      </c>
      <c r="B49" s="84">
        <v>684.53</v>
      </c>
      <c r="C49" s="94">
        <f t="shared" ref="C49:C54" si="0">B49*PPI_2004</f>
        <v>926.51963151834195</v>
      </c>
    </row>
    <row r="50" spans="1:3" x14ac:dyDescent="0.25">
      <c r="A50" s="236" t="s">
        <v>340</v>
      </c>
      <c r="B50" s="84">
        <v>162.13</v>
      </c>
      <c r="C50" s="94">
        <f t="shared" si="0"/>
        <v>219.44491528211881</v>
      </c>
    </row>
    <row r="51" spans="1:3" x14ac:dyDescent="0.25">
      <c r="A51" s="236" t="s">
        <v>341</v>
      </c>
      <c r="B51" s="84">
        <v>36.03</v>
      </c>
      <c r="C51" s="94">
        <f t="shared" si="0"/>
        <v>48.767040631682853</v>
      </c>
    </row>
    <row r="52" spans="1:3" x14ac:dyDescent="0.25">
      <c r="A52" s="236" t="s">
        <v>342</v>
      </c>
      <c r="B52" s="84">
        <v>18.010000000000002</v>
      </c>
      <c r="C52" s="94">
        <f t="shared" si="0"/>
        <v>24.376752755387407</v>
      </c>
    </row>
    <row r="53" spans="1:3" x14ac:dyDescent="0.25">
      <c r="A53" s="237" t="s">
        <v>343</v>
      </c>
      <c r="B53" s="84">
        <v>900.7</v>
      </c>
      <c r="C53" s="94">
        <f>B53*PPI_2004</f>
        <v>1219.1083401875312</v>
      </c>
    </row>
    <row r="54" spans="1:3" x14ac:dyDescent="0.25">
      <c r="A54" s="236" t="s">
        <v>344</v>
      </c>
      <c r="B54" s="84">
        <v>304.33999999999997</v>
      </c>
      <c r="C54" s="94">
        <f t="shared" si="0"/>
        <v>411.92786971541381</v>
      </c>
    </row>
    <row r="55" spans="1:3" x14ac:dyDescent="0.25">
      <c r="A55" s="236" t="s">
        <v>345</v>
      </c>
      <c r="B55" s="84">
        <v>97.62</v>
      </c>
      <c r="C55" s="94">
        <f t="shared" ref="C55:C64" si="1">B55*PPI_2004</f>
        <v>132.1298503043264</v>
      </c>
    </row>
    <row r="56" spans="1:3" x14ac:dyDescent="0.25">
      <c r="A56" s="236" t="s">
        <v>346</v>
      </c>
      <c r="B56" s="84">
        <v>114.85</v>
      </c>
      <c r="C56" s="94">
        <f t="shared" si="1"/>
        <v>155.45086362888637</v>
      </c>
    </row>
    <row r="57" spans="1:3" x14ac:dyDescent="0.25">
      <c r="A57" s="236" t="s">
        <v>347</v>
      </c>
      <c r="B57" s="84">
        <v>57.42</v>
      </c>
      <c r="C57" s="94">
        <f t="shared" si="1"/>
        <v>77.718664253989161</v>
      </c>
    </row>
    <row r="58" spans="1:3" x14ac:dyDescent="0.25">
      <c r="A58" s="237" t="s">
        <v>348</v>
      </c>
      <c r="B58" s="84">
        <v>574.24</v>
      </c>
      <c r="C58" s="94">
        <f t="shared" si="1"/>
        <v>777.24078302352382</v>
      </c>
    </row>
    <row r="59" spans="1:3" x14ac:dyDescent="0.25">
      <c r="A59" s="238" t="s">
        <v>349</v>
      </c>
      <c r="B59" s="84">
        <f>B53+B58</f>
        <v>1474.94</v>
      </c>
      <c r="C59" s="94">
        <f t="shared" si="1"/>
        <v>1996.349123211055</v>
      </c>
    </row>
    <row r="60" spans="1:3" x14ac:dyDescent="0.25">
      <c r="A60" s="238" t="s">
        <v>350</v>
      </c>
      <c r="B60" s="84">
        <v>176.99</v>
      </c>
      <c r="C60" s="94">
        <f t="shared" si="1"/>
        <v>239.55810495147236</v>
      </c>
    </row>
    <row r="61" spans="1:3" x14ac:dyDescent="0.25">
      <c r="A61" s="90" t="s">
        <v>351</v>
      </c>
      <c r="B61" s="109">
        <v>500</v>
      </c>
      <c r="C61" s="94">
        <f t="shared" si="1"/>
        <v>676.75604540220445</v>
      </c>
    </row>
    <row r="62" spans="1:3" x14ac:dyDescent="0.25">
      <c r="A62" s="90" t="s">
        <v>352</v>
      </c>
      <c r="B62" s="109">
        <v>173.41</v>
      </c>
      <c r="C62" s="94">
        <f t="shared" si="1"/>
        <v>234.71253166639255</v>
      </c>
    </row>
    <row r="63" spans="1:3" x14ac:dyDescent="0.25">
      <c r="A63" s="90" t="s">
        <v>353</v>
      </c>
      <c r="B63" s="84">
        <v>583</v>
      </c>
      <c r="C63" s="94">
        <f t="shared" si="1"/>
        <v>789.09754893897036</v>
      </c>
    </row>
    <row r="64" spans="1:3" x14ac:dyDescent="0.25">
      <c r="A64" s="238" t="s">
        <v>354</v>
      </c>
      <c r="B64" s="84">
        <v>202.2</v>
      </c>
      <c r="C64" s="94">
        <f t="shared" si="1"/>
        <v>273.68014476065144</v>
      </c>
    </row>
    <row r="65" spans="1:3" x14ac:dyDescent="0.25">
      <c r="A65" s="238" t="s">
        <v>355</v>
      </c>
      <c r="C65" s="71"/>
    </row>
    <row r="66" spans="1:3" x14ac:dyDescent="0.25">
      <c r="A66" s="237" t="s">
        <v>356</v>
      </c>
      <c r="B66" s="84">
        <f>B59+B60+B63</f>
        <v>2234.9300000000003</v>
      </c>
      <c r="C66" s="94">
        <v>2344.54</v>
      </c>
    </row>
    <row r="67" spans="1:3" x14ac:dyDescent="0.25">
      <c r="A67" s="239" t="s">
        <v>357</v>
      </c>
      <c r="B67" s="84">
        <f>B59+B60+B64</f>
        <v>1854.13</v>
      </c>
      <c r="C67" s="94">
        <v>1959.66</v>
      </c>
    </row>
    <row r="68" spans="1:3" x14ac:dyDescent="0.25">
      <c r="A68" s="92" t="s">
        <v>358</v>
      </c>
      <c r="B68">
        <v>340</v>
      </c>
      <c r="C68" s="71"/>
    </row>
    <row r="69" spans="1:3" x14ac:dyDescent="0.25">
      <c r="A69" s="92" t="s">
        <v>359</v>
      </c>
      <c r="B69">
        <v>3.2</v>
      </c>
      <c r="C69" s="71"/>
    </row>
    <row r="70" spans="1:3" ht="15.75" thickBot="1" x14ac:dyDescent="0.3">
      <c r="A70" s="240" t="s">
        <v>360</v>
      </c>
      <c r="B70" s="241">
        <f>B67*B68</f>
        <v>630404.20000000007</v>
      </c>
      <c r="C70" s="242">
        <f>B70*PPI_2004</f>
        <v>853259.70679388091</v>
      </c>
    </row>
    <row r="71" spans="1:3" x14ac:dyDescent="0.25">
      <c r="A71" s="85" t="s">
        <v>361</v>
      </c>
      <c r="B71" s="86" t="s">
        <v>362</v>
      </c>
      <c r="C71" s="87"/>
    </row>
    <row r="72" spans="1:3" x14ac:dyDescent="0.25">
      <c r="A72" s="88" t="s">
        <v>363</v>
      </c>
      <c r="C72" s="71"/>
    </row>
    <row r="73" spans="1:3" x14ac:dyDescent="0.25">
      <c r="A73" s="66" t="s">
        <v>364</v>
      </c>
      <c r="C73" s="71"/>
    </row>
    <row r="74" spans="1:3" x14ac:dyDescent="0.25">
      <c r="A74" s="90" t="s">
        <v>173</v>
      </c>
      <c r="B74" s="103" t="s">
        <v>365</v>
      </c>
      <c r="C74" s="104" t="s">
        <v>333</v>
      </c>
    </row>
    <row r="75" spans="1:3" x14ac:dyDescent="0.25">
      <c r="A75" s="92" t="s">
        <v>366</v>
      </c>
      <c r="B75" s="84">
        <v>425</v>
      </c>
      <c r="C75" s="94">
        <f>B75*PPI_2011</f>
        <v>436.78491131651265</v>
      </c>
    </row>
    <row r="76" spans="1:3" x14ac:dyDescent="0.25">
      <c r="A76" s="92" t="s">
        <v>358</v>
      </c>
      <c r="B76">
        <v>350</v>
      </c>
      <c r="C76" s="94"/>
    </row>
    <row r="77" spans="1:3" x14ac:dyDescent="0.25">
      <c r="A77" s="92" t="s">
        <v>367</v>
      </c>
      <c r="B77">
        <v>24</v>
      </c>
      <c r="C77" s="94"/>
    </row>
    <row r="78" spans="1:3" ht="15.75" thickBot="1" x14ac:dyDescent="0.3">
      <c r="A78" s="240" t="s">
        <v>360</v>
      </c>
      <c r="B78" s="241">
        <f>B75*B76*B77</f>
        <v>3570000</v>
      </c>
      <c r="C78" s="242">
        <f>B78*PPI_2011</f>
        <v>3668993.2550587063</v>
      </c>
    </row>
    <row r="79" spans="1:3" ht="15.75" thickBot="1" x14ac:dyDescent="0.3">
      <c r="A79" s="243" t="s">
        <v>233</v>
      </c>
      <c r="B79" s="244"/>
      <c r="C79" s="245">
        <f>AVERAGE(C78,C70)</f>
        <v>2261126.4809262934</v>
      </c>
    </row>
    <row r="80" spans="1:3" ht="15.75" thickBot="1" x14ac:dyDescent="0.3">
      <c r="A80" s="91"/>
      <c r="B80" s="76"/>
      <c r="C80" s="76"/>
    </row>
    <row r="81" spans="1:9" ht="15.75" thickBot="1" x14ac:dyDescent="0.3">
      <c r="A81" s="105" t="s">
        <v>107</v>
      </c>
      <c r="B81" s="106"/>
      <c r="C81" s="106"/>
      <c r="D81" s="106"/>
      <c r="E81" s="106"/>
      <c r="F81" s="106"/>
      <c r="G81" s="106"/>
      <c r="H81" s="106"/>
      <c r="I81" s="107"/>
    </row>
    <row r="82" spans="1:9" x14ac:dyDescent="0.25">
      <c r="A82" s="88" t="s">
        <v>368</v>
      </c>
      <c r="I82" s="71"/>
    </row>
    <row r="83" spans="1:9" x14ac:dyDescent="0.25">
      <c r="A83" s="88" t="s">
        <v>369</v>
      </c>
      <c r="I83" s="71"/>
    </row>
    <row r="84" spans="1:9" ht="15.75" thickBot="1" x14ac:dyDescent="0.3">
      <c r="A84" s="93" t="s">
        <v>370</v>
      </c>
      <c r="B84" s="72"/>
      <c r="C84" s="72"/>
      <c r="D84" s="72"/>
      <c r="E84" s="72"/>
      <c r="F84" s="72"/>
      <c r="G84" s="72"/>
      <c r="H84" s="72"/>
      <c r="I84" s="73"/>
    </row>
    <row r="85" spans="1:9" x14ac:dyDescent="0.25">
      <c r="A85" s="88"/>
      <c r="B85" s="97" t="s">
        <v>371</v>
      </c>
      <c r="C85" s="98"/>
      <c r="D85" s="98"/>
      <c r="E85" s="99"/>
      <c r="F85" s="97" t="s">
        <v>333</v>
      </c>
      <c r="G85" s="98"/>
      <c r="H85" s="98"/>
      <c r="I85" s="100"/>
    </row>
    <row r="86" spans="1:9" ht="33" customHeight="1" x14ac:dyDescent="0.25">
      <c r="A86" t="s">
        <v>173</v>
      </c>
      <c r="B86" s="75" t="s">
        <v>372</v>
      </c>
      <c r="C86" s="75" t="s">
        <v>373</v>
      </c>
      <c r="D86" s="75" t="s">
        <v>374</v>
      </c>
      <c r="E86" s="75" t="s">
        <v>375</v>
      </c>
      <c r="F86" s="75" t="s">
        <v>376</v>
      </c>
      <c r="G86" s="75" t="s">
        <v>377</v>
      </c>
      <c r="H86" s="75" t="s">
        <v>378</v>
      </c>
      <c r="I86" s="182" t="s">
        <v>379</v>
      </c>
    </row>
    <row r="87" spans="1:9" x14ac:dyDescent="0.25">
      <c r="A87" s="179" t="s">
        <v>380</v>
      </c>
      <c r="B87" s="77"/>
      <c r="E87" s="78"/>
      <c r="F87" s="81"/>
      <c r="G87" s="82"/>
      <c r="H87" s="82"/>
      <c r="I87" s="82"/>
    </row>
    <row r="88" spans="1:9" x14ac:dyDescent="0.25">
      <c r="A88" s="180" t="s">
        <v>381</v>
      </c>
      <c r="B88" s="79">
        <v>2500</v>
      </c>
      <c r="C88" s="76">
        <v>5200</v>
      </c>
      <c r="D88" s="76">
        <v>12600</v>
      </c>
      <c r="E88" s="80">
        <v>30400</v>
      </c>
      <c r="F88" s="83">
        <f t="shared" ref="F88:I95" si="2">B88*PPI_2010</f>
        <v>2730.8330567540661</v>
      </c>
      <c r="G88" s="84">
        <f t="shared" si="2"/>
        <v>5680.1327580484576</v>
      </c>
      <c r="H88" s="84">
        <f t="shared" si="2"/>
        <v>13763.398606040493</v>
      </c>
      <c r="I88" s="84">
        <f t="shared" si="2"/>
        <v>33206.929970129444</v>
      </c>
    </row>
    <row r="89" spans="1:9" x14ac:dyDescent="0.25">
      <c r="A89" s="180" t="s">
        <v>382</v>
      </c>
      <c r="B89" s="79">
        <v>1000</v>
      </c>
      <c r="C89" s="76">
        <v>2100</v>
      </c>
      <c r="D89" s="76">
        <v>5000</v>
      </c>
      <c r="E89" s="80">
        <v>12200</v>
      </c>
      <c r="F89" s="83">
        <f t="shared" si="2"/>
        <v>1092.3332227016265</v>
      </c>
      <c r="G89" s="84">
        <f t="shared" si="2"/>
        <v>2293.8997676734157</v>
      </c>
      <c r="H89" s="84">
        <f t="shared" si="2"/>
        <v>5461.6661135081322</v>
      </c>
      <c r="I89" s="84">
        <f t="shared" si="2"/>
        <v>13326.465316959842</v>
      </c>
    </row>
    <row r="90" spans="1:9" x14ac:dyDescent="0.25">
      <c r="A90" s="180" t="s">
        <v>383</v>
      </c>
      <c r="B90" s="79">
        <v>900</v>
      </c>
      <c r="C90" s="76">
        <v>5400</v>
      </c>
      <c r="D90" s="76">
        <v>9000</v>
      </c>
      <c r="E90" s="80">
        <v>18300</v>
      </c>
      <c r="F90" s="83">
        <f t="shared" si="2"/>
        <v>983.09990043146388</v>
      </c>
      <c r="G90" s="84">
        <f t="shared" si="2"/>
        <v>5898.5994025887831</v>
      </c>
      <c r="H90" s="84">
        <f t="shared" si="2"/>
        <v>9830.999004314639</v>
      </c>
      <c r="I90" s="84">
        <f t="shared" si="2"/>
        <v>19989.697975439765</v>
      </c>
    </row>
    <row r="91" spans="1:9" x14ac:dyDescent="0.25">
      <c r="A91" s="180" t="s">
        <v>384</v>
      </c>
      <c r="B91" s="79">
        <v>200</v>
      </c>
      <c r="C91" s="76">
        <v>300</v>
      </c>
      <c r="D91" s="76">
        <v>500</v>
      </c>
      <c r="E91" s="80">
        <v>1000</v>
      </c>
      <c r="F91" s="83">
        <f t="shared" si="2"/>
        <v>218.46664454032529</v>
      </c>
      <c r="G91" s="84">
        <f t="shared" si="2"/>
        <v>327.69996681048792</v>
      </c>
      <c r="H91" s="84">
        <f t="shared" si="2"/>
        <v>546.16661135081324</v>
      </c>
      <c r="I91" s="84">
        <f t="shared" si="2"/>
        <v>1092.3332227016265</v>
      </c>
    </row>
    <row r="92" spans="1:9" x14ac:dyDescent="0.25">
      <c r="A92" s="180" t="s">
        <v>385</v>
      </c>
      <c r="B92" s="79">
        <v>1000</v>
      </c>
      <c r="C92" s="76">
        <v>2100</v>
      </c>
      <c r="D92" s="76">
        <v>5000</v>
      </c>
      <c r="E92" s="80">
        <v>12200</v>
      </c>
      <c r="F92" s="83">
        <f t="shared" si="2"/>
        <v>1092.3332227016265</v>
      </c>
      <c r="G92" s="84">
        <f t="shared" si="2"/>
        <v>2293.8997676734157</v>
      </c>
      <c r="H92" s="84">
        <f t="shared" si="2"/>
        <v>5461.6661135081322</v>
      </c>
      <c r="I92" s="84">
        <f t="shared" si="2"/>
        <v>13326.465316959842</v>
      </c>
    </row>
    <row r="93" spans="1:9" x14ac:dyDescent="0.25">
      <c r="A93" s="180" t="s">
        <v>386</v>
      </c>
      <c r="B93" s="79">
        <v>2400</v>
      </c>
      <c r="C93" s="76">
        <v>7200</v>
      </c>
      <c r="D93" s="76">
        <v>10400</v>
      </c>
      <c r="E93" s="80">
        <v>10400</v>
      </c>
      <c r="F93" s="83">
        <f t="shared" si="2"/>
        <v>2621.5997344839034</v>
      </c>
      <c r="G93" s="84">
        <f t="shared" si="2"/>
        <v>7864.799203451711</v>
      </c>
      <c r="H93" s="84">
        <f t="shared" si="2"/>
        <v>11360.265516096915</v>
      </c>
      <c r="I93" s="84">
        <f t="shared" si="2"/>
        <v>11360.265516096915</v>
      </c>
    </row>
    <row r="94" spans="1:9" x14ac:dyDescent="0.25">
      <c r="A94" s="180" t="s">
        <v>387</v>
      </c>
      <c r="B94" s="79">
        <v>3000</v>
      </c>
      <c r="C94" s="76">
        <v>6300</v>
      </c>
      <c r="D94" s="76">
        <v>15200</v>
      </c>
      <c r="E94" s="80">
        <v>36800</v>
      </c>
      <c r="F94" s="83">
        <f t="shared" si="2"/>
        <v>3276.9996681048792</v>
      </c>
      <c r="G94" s="84">
        <f t="shared" si="2"/>
        <v>6881.6993030202466</v>
      </c>
      <c r="H94" s="84">
        <f t="shared" si="2"/>
        <v>16603.464985064722</v>
      </c>
      <c r="I94" s="84">
        <f t="shared" si="2"/>
        <v>40197.862595419851</v>
      </c>
    </row>
    <row r="95" spans="1:9" x14ac:dyDescent="0.25">
      <c r="A95" s="180" t="s">
        <v>388</v>
      </c>
      <c r="B95" s="79">
        <v>30000</v>
      </c>
      <c r="C95" s="76">
        <v>105000</v>
      </c>
      <c r="D95" s="76">
        <v>227000</v>
      </c>
      <c r="E95" s="80">
        <v>330000</v>
      </c>
      <c r="F95" s="83">
        <f t="shared" si="2"/>
        <v>32769.996681048797</v>
      </c>
      <c r="G95" s="84">
        <f t="shared" si="2"/>
        <v>114694.98838367077</v>
      </c>
      <c r="H95" s="84">
        <f t="shared" si="2"/>
        <v>247959.6415532692</v>
      </c>
      <c r="I95" s="84">
        <f t="shared" si="2"/>
        <v>360469.96349153674</v>
      </c>
    </row>
    <row r="96" spans="1:9" x14ac:dyDescent="0.25">
      <c r="A96" s="181" t="s">
        <v>389</v>
      </c>
      <c r="B96" s="79"/>
      <c r="C96" s="76"/>
      <c r="D96" s="76"/>
      <c r="E96" s="80"/>
      <c r="F96" s="77"/>
    </row>
    <row r="97" spans="1:9" x14ac:dyDescent="0.25">
      <c r="A97" s="180" t="s">
        <v>390</v>
      </c>
      <c r="B97" s="79">
        <v>13700</v>
      </c>
      <c r="C97" s="76">
        <v>65200</v>
      </c>
      <c r="D97" s="76">
        <v>141400</v>
      </c>
      <c r="E97" s="80">
        <v>141400</v>
      </c>
      <c r="F97" s="83">
        <f t="shared" ref="F97:I99" si="3">B97*PPI_2010</f>
        <v>14964.965151012282</v>
      </c>
      <c r="G97" s="84">
        <f t="shared" si="3"/>
        <v>71220.126120146044</v>
      </c>
      <c r="H97" s="84">
        <f t="shared" si="3"/>
        <v>154455.91769000998</v>
      </c>
      <c r="I97" s="84">
        <f t="shared" si="3"/>
        <v>154455.91769000998</v>
      </c>
    </row>
    <row r="98" spans="1:9" x14ac:dyDescent="0.25">
      <c r="A98" s="180" t="s">
        <v>391</v>
      </c>
      <c r="B98" s="79">
        <v>5400</v>
      </c>
      <c r="C98" s="76">
        <v>11400</v>
      </c>
      <c r="D98" s="76">
        <v>27700</v>
      </c>
      <c r="E98" s="80">
        <v>67000</v>
      </c>
      <c r="F98" s="83">
        <f t="shared" si="3"/>
        <v>5898.5994025887831</v>
      </c>
      <c r="G98" s="84">
        <f t="shared" si="3"/>
        <v>12452.598738798542</v>
      </c>
      <c r="H98" s="84">
        <f t="shared" si="3"/>
        <v>30257.630268835052</v>
      </c>
      <c r="I98" s="84">
        <f t="shared" si="3"/>
        <v>73186.325921008975</v>
      </c>
    </row>
    <row r="99" spans="1:9" x14ac:dyDescent="0.25">
      <c r="A99" s="181" t="s">
        <v>392</v>
      </c>
      <c r="B99" s="79">
        <v>60100</v>
      </c>
      <c r="C99" s="76">
        <v>210200</v>
      </c>
      <c r="D99" s="76">
        <v>453800</v>
      </c>
      <c r="E99" s="80">
        <v>659700</v>
      </c>
      <c r="F99" s="83">
        <f t="shared" si="3"/>
        <v>65649.22668436775</v>
      </c>
      <c r="G99" s="84">
        <f t="shared" si="3"/>
        <v>229608.44341188189</v>
      </c>
      <c r="H99" s="84">
        <f t="shared" si="3"/>
        <v>495700.8164619981</v>
      </c>
      <c r="I99" s="84">
        <f t="shared" si="3"/>
        <v>720612.22701626294</v>
      </c>
    </row>
    <row r="100" spans="1:9" x14ac:dyDescent="0.25">
      <c r="A100" s="88"/>
      <c r="I100" s="71"/>
    </row>
    <row r="101" spans="1:9" x14ac:dyDescent="0.25">
      <c r="A101" s="88"/>
      <c r="I101" s="71"/>
    </row>
    <row r="102" spans="1:9" ht="15.75" thickBot="1" x14ac:dyDescent="0.3">
      <c r="A102" s="89"/>
      <c r="B102" s="95">
        <f>AVERAGE(F99:I99)</f>
        <v>377892.67839362769</v>
      </c>
      <c r="C102" s="72"/>
      <c r="D102" s="72"/>
      <c r="E102" s="72"/>
      <c r="F102" s="72"/>
      <c r="G102" s="72"/>
      <c r="H102" s="72"/>
      <c r="I102" s="73"/>
    </row>
    <row r="103" spans="1:9" ht="15.75" thickBot="1" x14ac:dyDescent="0.3">
      <c r="B103" s="76"/>
    </row>
    <row r="104" spans="1:9" ht="15.75" thickBot="1" x14ac:dyDescent="0.3">
      <c r="A104" s="105" t="s">
        <v>108</v>
      </c>
      <c r="B104" s="107"/>
    </row>
    <row r="105" spans="1:9" x14ac:dyDescent="0.25">
      <c r="A105" s="101" t="s">
        <v>393</v>
      </c>
      <c r="B105" s="71"/>
    </row>
    <row r="106" spans="1:9" x14ac:dyDescent="0.25">
      <c r="A106" s="88"/>
      <c r="B106" s="71"/>
    </row>
    <row r="107" spans="1:9" ht="15.75" thickBot="1" x14ac:dyDescent="0.3">
      <c r="A107" s="89" t="s">
        <v>394</v>
      </c>
      <c r="B107" s="96">
        <f>AnnualCost_Ferry</f>
        <v>1884943.7776241892</v>
      </c>
    </row>
  </sheetData>
  <hyperlinks>
    <hyperlink ref="A84" r:id="rId1" display="https://www.poa.usace.army.mil/Portals/34/docs/civilworks/currentproj/vol2appendixbeconomicanalysis (2).pdf" xr:uid="{81876D87-C308-4F3E-82FE-6EF06B7976B7}"/>
    <hyperlink ref="A44" r:id="rId2" xr:uid="{04CE7D03-70E6-497B-9705-33BC616C1D22}"/>
    <hyperlink ref="A73" r:id="rId3" xr:uid="{B3A196A6-CC1C-4361-AAE7-728645A4D378}"/>
  </hyperlinks>
  <pageMargins left="0.7" right="0.7" top="0.75" bottom="0.75" header="0.3" footer="0.3"/>
  <pageSetup orientation="portrait" r:id="rId4"/>
  <tableParts count="3">
    <tablePart r:id="rId5"/>
    <tablePart r:id="rId6"/>
    <tablePart r:id="rId7"/>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C3CEF6-04DF-4CC6-8842-50684D149BC4}">
  <sheetPr codeName="Sheet7">
    <tabColor theme="5" tint="0.59999389629810485"/>
  </sheetPr>
  <dimension ref="A1:F21"/>
  <sheetViews>
    <sheetView showGridLines="0" zoomScale="90" zoomScaleNormal="90" workbookViewId="0">
      <selection activeCell="E6" sqref="E6"/>
    </sheetView>
  </sheetViews>
  <sheetFormatPr defaultColWidth="9.140625" defaultRowHeight="15" x14ac:dyDescent="0.25"/>
  <cols>
    <col min="1" max="1" width="45.85546875" bestFit="1" customWidth="1"/>
    <col min="2" max="2" width="13.85546875" customWidth="1"/>
    <col min="3" max="3" width="22.42578125" customWidth="1"/>
    <col min="4" max="4" width="19" customWidth="1"/>
    <col min="5" max="5" width="75.5703125" bestFit="1" customWidth="1"/>
    <col min="6" max="6" width="27.42578125" bestFit="1" customWidth="1"/>
  </cols>
  <sheetData>
    <row r="1" spans="1:6" ht="21" x14ac:dyDescent="0.35">
      <c r="A1" s="102" t="s">
        <v>395</v>
      </c>
    </row>
    <row r="3" spans="1:6" x14ac:dyDescent="0.25">
      <c r="A3" s="62" t="s">
        <v>396</v>
      </c>
    </row>
    <row r="4" spans="1:6" ht="15.75" thickBot="1" x14ac:dyDescent="0.3"/>
    <row r="5" spans="1:6" x14ac:dyDescent="0.25">
      <c r="A5" t="s">
        <v>173</v>
      </c>
      <c r="B5" s="183" t="s">
        <v>195</v>
      </c>
      <c r="C5" s="183" t="s">
        <v>397</v>
      </c>
      <c r="D5" t="s">
        <v>398</v>
      </c>
      <c r="E5" s="183" t="s">
        <v>317</v>
      </c>
      <c r="F5" s="87"/>
    </row>
    <row r="6" spans="1:6" ht="15.75" thickBot="1" x14ac:dyDescent="0.3">
      <c r="A6" s="62" t="s">
        <v>399</v>
      </c>
      <c r="B6">
        <v>2.2559999999999998</v>
      </c>
      <c r="C6" s="184" t="s">
        <v>400</v>
      </c>
      <c r="E6" s="110" t="s">
        <v>401</v>
      </c>
      <c r="F6" s="73"/>
    </row>
    <row r="7" spans="1:6" x14ac:dyDescent="0.25">
      <c r="A7" s="62" t="s">
        <v>402</v>
      </c>
      <c r="B7" s="62" t="s">
        <v>403</v>
      </c>
      <c r="C7" s="62" t="s">
        <v>404</v>
      </c>
      <c r="D7" s="62" t="s">
        <v>405</v>
      </c>
      <c r="E7" s="183" t="s">
        <v>317</v>
      </c>
      <c r="F7" s="62" t="s">
        <v>397</v>
      </c>
    </row>
    <row r="8" spans="1:6" x14ac:dyDescent="0.25">
      <c r="A8" t="s">
        <v>109</v>
      </c>
      <c r="B8">
        <v>1.1000000000000001</v>
      </c>
      <c r="C8">
        <v>43.44</v>
      </c>
      <c r="D8" s="109">
        <v>13.674290718038527</v>
      </c>
      <c r="E8" t="s">
        <v>406</v>
      </c>
      <c r="F8" t="s">
        <v>407</v>
      </c>
    </row>
    <row r="9" spans="1:6" x14ac:dyDescent="0.25">
      <c r="A9" t="s">
        <v>106</v>
      </c>
      <c r="B9">
        <v>9.5</v>
      </c>
      <c r="C9">
        <v>14</v>
      </c>
      <c r="D9">
        <f t="shared" ref="D9:D11" si="0">AVERAGE(B9:C9)</f>
        <v>11.75</v>
      </c>
      <c r="E9" s="110" t="s">
        <v>408</v>
      </c>
      <c r="F9" t="s">
        <v>407</v>
      </c>
    </row>
    <row r="10" spans="1:6" x14ac:dyDescent="0.25">
      <c r="A10" t="s">
        <v>107</v>
      </c>
      <c r="B10">
        <v>13</v>
      </c>
      <c r="C10">
        <v>13</v>
      </c>
      <c r="D10">
        <f t="shared" si="0"/>
        <v>13</v>
      </c>
      <c r="E10" s="110" t="s">
        <v>409</v>
      </c>
      <c r="F10" t="s">
        <v>407</v>
      </c>
    </row>
    <row r="11" spans="1:6" ht="30.75" thickBot="1" x14ac:dyDescent="0.3">
      <c r="A11" s="185" t="s">
        <v>108</v>
      </c>
      <c r="B11" s="185">
        <v>26</v>
      </c>
      <c r="C11" s="185">
        <v>35</v>
      </c>
      <c r="D11" s="185">
        <f t="shared" si="0"/>
        <v>30.5</v>
      </c>
      <c r="E11" s="186" t="s">
        <v>410</v>
      </c>
      <c r="F11" s="185" t="s">
        <v>407</v>
      </c>
    </row>
    <row r="12" spans="1:6" x14ac:dyDescent="0.25">
      <c r="A12" s="62" t="s">
        <v>411</v>
      </c>
      <c r="B12" s="62" t="s">
        <v>403</v>
      </c>
      <c r="C12" s="62" t="s">
        <v>404</v>
      </c>
      <c r="D12" s="62" t="s">
        <v>405</v>
      </c>
      <c r="E12" s="183" t="s">
        <v>317</v>
      </c>
      <c r="F12" s="87"/>
    </row>
    <row r="13" spans="1:6" x14ac:dyDescent="0.25">
      <c r="A13" t="s">
        <v>109</v>
      </c>
      <c r="B13" s="76">
        <v>818.14</v>
      </c>
      <c r="C13" s="76">
        <v>1716.21</v>
      </c>
      <c r="D13" s="76">
        <f>AVERAGE(B13:C13)</f>
        <v>1267.175</v>
      </c>
      <c r="E13" s="110" t="s">
        <v>412</v>
      </c>
      <c r="F13" s="71"/>
    </row>
    <row r="14" spans="1:6" x14ac:dyDescent="0.25">
      <c r="A14" t="s">
        <v>106</v>
      </c>
      <c r="B14" s="76">
        <v>600</v>
      </c>
      <c r="C14" s="76">
        <v>2000</v>
      </c>
      <c r="D14" s="76">
        <f t="shared" ref="D14:D15" si="1">AVERAGE(B14:C14)</f>
        <v>1300</v>
      </c>
      <c r="E14" s="110" t="s">
        <v>413</v>
      </c>
      <c r="F14" s="71"/>
    </row>
    <row r="15" spans="1:6" x14ac:dyDescent="0.25">
      <c r="A15" t="s">
        <v>107</v>
      </c>
      <c r="B15" s="76">
        <v>1249</v>
      </c>
      <c r="C15" s="76">
        <v>2266</v>
      </c>
      <c r="D15" s="76">
        <f t="shared" si="1"/>
        <v>1757.5</v>
      </c>
      <c r="E15" s="246" t="s">
        <v>414</v>
      </c>
      <c r="F15" s="71" t="s">
        <v>415</v>
      </c>
    </row>
    <row r="16" spans="1:6" ht="15.75" thickBot="1" x14ac:dyDescent="0.3">
      <c r="A16" t="s">
        <v>108</v>
      </c>
      <c r="B16" s="76"/>
      <c r="C16" s="76"/>
      <c r="D16" s="76">
        <v>1300</v>
      </c>
      <c r="E16" t="s">
        <v>416</v>
      </c>
      <c r="F16" s="73"/>
    </row>
    <row r="17" spans="1:6" x14ac:dyDescent="0.25">
      <c r="A17" s="62" t="s">
        <v>417</v>
      </c>
      <c r="B17" s="62" t="s">
        <v>403</v>
      </c>
      <c r="C17" s="62" t="s">
        <v>404</v>
      </c>
      <c r="D17" s="62" t="s">
        <v>405</v>
      </c>
      <c r="E17" s="183" t="s">
        <v>317</v>
      </c>
      <c r="F17" s="62" t="s">
        <v>397</v>
      </c>
    </row>
    <row r="18" spans="1:6" x14ac:dyDescent="0.25">
      <c r="A18" t="s">
        <v>109</v>
      </c>
      <c r="B18" s="111">
        <f>(733+94)/10</f>
        <v>82.7</v>
      </c>
      <c r="C18" s="111">
        <f>(733+94)/10</f>
        <v>82.7</v>
      </c>
      <c r="D18" s="111">
        <f>AVERAGE(B18:C18)</f>
        <v>82.7</v>
      </c>
      <c r="E18" s="110" t="s">
        <v>418</v>
      </c>
      <c r="F18" s="111" t="s">
        <v>419</v>
      </c>
    </row>
    <row r="19" spans="1:6" x14ac:dyDescent="0.25">
      <c r="A19" t="s">
        <v>106</v>
      </c>
      <c r="B19">
        <f>(500+79)/10</f>
        <v>57.9</v>
      </c>
      <c r="C19">
        <f>(1274+111)/10</f>
        <v>138.5</v>
      </c>
      <c r="D19" s="111">
        <f>AVERAGE(B19:C19)</f>
        <v>98.2</v>
      </c>
      <c r="E19" s="110" t="s">
        <v>418</v>
      </c>
      <c r="F19" s="111" t="s">
        <v>419</v>
      </c>
    </row>
    <row r="20" spans="1:6" x14ac:dyDescent="0.25">
      <c r="A20" t="s">
        <v>107</v>
      </c>
      <c r="B20">
        <f>(230+71)/10</f>
        <v>30.1</v>
      </c>
      <c r="C20">
        <f>(230+71)/10</f>
        <v>30.1</v>
      </c>
      <c r="D20" s="111">
        <f>AVERAGE(B20:C20)</f>
        <v>30.1</v>
      </c>
      <c r="E20" s="110" t="s">
        <v>418</v>
      </c>
      <c r="F20" s="111" t="s">
        <v>419</v>
      </c>
    </row>
    <row r="21" spans="1:6" x14ac:dyDescent="0.25">
      <c r="A21" t="s">
        <v>108</v>
      </c>
      <c r="B21" s="111">
        <f>(733+94)/10</f>
        <v>82.7</v>
      </c>
      <c r="C21" s="111">
        <f>(733+94)/10</f>
        <v>82.7</v>
      </c>
      <c r="D21" s="111">
        <f t="shared" ref="D21" si="2">AVERAGE(B21:C21)</f>
        <v>82.7</v>
      </c>
      <c r="E21" s="110" t="s">
        <v>418</v>
      </c>
      <c r="F21" s="111" t="s">
        <v>419</v>
      </c>
    </row>
  </sheetData>
  <hyperlinks>
    <hyperlink ref="E6" r:id="rId1" display="https://www.eia.gov/dnav/pet/pet_pri_refoth_dcu_nus_a.htm" xr:uid="{2E5D90DF-DF0F-4845-B1FF-BF909B9F6B86}"/>
    <hyperlink ref="E14" r:id="rId2" xr:uid="{15CEA456-4179-4BE5-BA26-E527A3C19E39}"/>
    <hyperlink ref="E11" r:id="rId3" display="https://www.bostonharborcruises.com/whale-watch/" xr:uid="{3103E30B-5907-4004-8842-5911A96ED4AE}"/>
    <hyperlink ref="E10" r:id="rId4" xr:uid="{24864B05-27B4-46DE-9200-CD1832CE9478}"/>
    <hyperlink ref="E9" r:id="rId5" xr:uid="{EE5E4EEC-BEF4-4AD3-ACDD-AFC9F08DA593}"/>
    <hyperlink ref="E21" r:id="rId6" xr:uid="{6AD404CE-538D-414C-A8DF-E4B69E4358F3}"/>
    <hyperlink ref="E20" r:id="rId7" xr:uid="{D5DE0552-BF98-46EE-BB13-770D2AAF8FF8}"/>
    <hyperlink ref="E18" r:id="rId8" xr:uid="{9EF86256-88CA-43D7-8C3E-CCA7877FB20A}"/>
    <hyperlink ref="E19" r:id="rId9" xr:uid="{D9D4E551-AD9F-49FF-A798-2EFE73C6561E}"/>
    <hyperlink ref="E13" r:id="rId10" xr:uid="{951D6235-EE15-4763-9F27-60BB6BA812DC}"/>
    <hyperlink ref="E15" r:id="rId11" display="https://reports.psmfc.org/pacfin/f?p=501:505:17395544389944:INITIAL:::F601_SELECTED_NODE:21&amp;cs=3rtK5mL6u_69za51veIWNtNxuJwY5K1rlJPXqvyGWWC2KHiJFCFKLiGOBvBesnQDHFvG8NlHaC1qq9-Kj-zxhVg; " xr:uid="{50A44196-916C-4A38-8BEE-50744CF29F31}"/>
  </hyperlinks>
  <pageMargins left="0.7" right="0.7" top="0.75" bottom="0.75" header="0.3" footer="0.3"/>
  <pageSetup orientation="portrait" r:id="rId12"/>
  <tableParts count="4">
    <tablePart r:id="rId13"/>
    <tablePart r:id="rId14"/>
    <tablePart r:id="rId15"/>
    <tablePart r:id="rId16"/>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76743-3AC7-4560-9DC8-17C003F0564E}">
  <sheetPr codeName="Sheet22">
    <tabColor theme="5" tint="0.59999389629810485"/>
  </sheetPr>
  <dimension ref="A1:O32"/>
  <sheetViews>
    <sheetView showGridLines="0" topLeftCell="A3" workbookViewId="0">
      <selection activeCell="O23" sqref="O23"/>
    </sheetView>
  </sheetViews>
  <sheetFormatPr defaultRowHeight="15" x14ac:dyDescent="0.25"/>
  <cols>
    <col min="1" max="1" width="20" customWidth="1"/>
    <col min="2" max="2" width="8" customWidth="1"/>
    <col min="14" max="14" width="16.85546875" customWidth="1"/>
    <col min="15" max="15" width="25.5703125" customWidth="1"/>
  </cols>
  <sheetData>
    <row r="1" spans="1:15" ht="21" x14ac:dyDescent="0.35">
      <c r="A1" s="102" t="s">
        <v>420</v>
      </c>
    </row>
    <row r="2" spans="1:15" x14ac:dyDescent="0.25">
      <c r="A2" t="s">
        <v>421</v>
      </c>
    </row>
    <row r="3" spans="1:15" x14ac:dyDescent="0.25">
      <c r="A3" s="12" t="s">
        <v>422</v>
      </c>
    </row>
    <row r="4" spans="1:15" x14ac:dyDescent="0.25">
      <c r="A4" s="12"/>
    </row>
    <row r="5" spans="1:15" ht="15.75" x14ac:dyDescent="0.25">
      <c r="A5" s="453" t="s">
        <v>423</v>
      </c>
      <c r="B5" s="451"/>
      <c r="C5" s="451"/>
      <c r="D5" s="451"/>
      <c r="E5" s="451"/>
      <c r="F5" s="451"/>
    </row>
    <row r="6" spans="1:15" ht="15.75" x14ac:dyDescent="0.25">
      <c r="A6" s="453" t="s">
        <v>424</v>
      </c>
      <c r="B6" s="451"/>
      <c r="C6" s="451"/>
      <c r="D6" s="451"/>
      <c r="E6" s="451"/>
      <c r="F6" s="451"/>
    </row>
    <row r="7" spans="1:15" x14ac:dyDescent="0.25">
      <c r="A7" s="451"/>
      <c r="B7" s="451"/>
      <c r="C7" s="451"/>
      <c r="D7" s="451"/>
      <c r="E7" s="451"/>
      <c r="F7" s="451"/>
    </row>
    <row r="8" spans="1:15" x14ac:dyDescent="0.25">
      <c r="A8" s="13" t="s">
        <v>425</v>
      </c>
      <c r="B8" s="450" t="s">
        <v>426</v>
      </c>
      <c r="C8" s="451"/>
      <c r="D8" s="451"/>
      <c r="E8" s="451"/>
      <c r="F8" s="451"/>
    </row>
    <row r="9" spans="1:15" x14ac:dyDescent="0.25">
      <c r="A9" s="13" t="s">
        <v>427</v>
      </c>
      <c r="B9" s="450" t="s">
        <v>428</v>
      </c>
      <c r="C9" s="451"/>
      <c r="D9" s="451"/>
      <c r="E9" s="451"/>
      <c r="F9" s="451"/>
    </row>
    <row r="10" spans="1:15" x14ac:dyDescent="0.25">
      <c r="A10" s="13" t="s">
        <v>429</v>
      </c>
      <c r="B10" s="450" t="s">
        <v>430</v>
      </c>
      <c r="C10" s="451"/>
      <c r="D10" s="451"/>
      <c r="E10" s="451"/>
      <c r="F10" s="451"/>
    </row>
    <row r="11" spans="1:15" x14ac:dyDescent="0.25">
      <c r="A11" s="13" t="s">
        <v>431</v>
      </c>
      <c r="B11" s="450" t="s">
        <v>430</v>
      </c>
      <c r="C11" s="451"/>
      <c r="D11" s="451"/>
      <c r="E11" s="451"/>
      <c r="F11" s="451"/>
    </row>
    <row r="12" spans="1:15" x14ac:dyDescent="0.25">
      <c r="A12" s="13" t="s">
        <v>432</v>
      </c>
      <c r="B12" s="450" t="s">
        <v>433</v>
      </c>
      <c r="C12" s="451"/>
      <c r="D12" s="451"/>
      <c r="E12" s="451"/>
      <c r="F12" s="451"/>
    </row>
    <row r="13" spans="1:15" x14ac:dyDescent="0.25">
      <c r="A13" s="13" t="s">
        <v>434</v>
      </c>
      <c r="B13" s="452" t="s">
        <v>435</v>
      </c>
      <c r="C13" s="451"/>
      <c r="D13" s="451"/>
      <c r="E13" s="451"/>
      <c r="F13" s="451"/>
    </row>
    <row r="15" spans="1:15" ht="15.75" thickBot="1" x14ac:dyDescent="0.3">
      <c r="A15" s="14" t="s">
        <v>436</v>
      </c>
      <c r="B15" s="14" t="s">
        <v>437</v>
      </c>
      <c r="C15" s="14" t="s">
        <v>438</v>
      </c>
      <c r="D15" s="14" t="s">
        <v>439</v>
      </c>
      <c r="E15" s="14" t="s">
        <v>440</v>
      </c>
      <c r="F15" s="14" t="s">
        <v>441</v>
      </c>
      <c r="G15" s="14" t="s">
        <v>442</v>
      </c>
      <c r="H15" s="14" t="s">
        <v>443</v>
      </c>
      <c r="I15" s="14" t="s">
        <v>444</v>
      </c>
      <c r="J15" s="14" t="s">
        <v>445</v>
      </c>
      <c r="K15" s="14" t="s">
        <v>446</v>
      </c>
      <c r="L15" s="14" t="s">
        <v>447</v>
      </c>
      <c r="M15" s="14" t="s">
        <v>448</v>
      </c>
      <c r="N15" s="120" t="s">
        <v>449</v>
      </c>
      <c r="O15" s="120" t="s">
        <v>450</v>
      </c>
    </row>
    <row r="16" spans="1:15" ht="15.75" thickTop="1" x14ac:dyDescent="0.25">
      <c r="A16" s="15">
        <v>2004</v>
      </c>
      <c r="B16" s="16">
        <v>99</v>
      </c>
      <c r="C16" s="16">
        <v>98.9</v>
      </c>
      <c r="D16" s="16">
        <v>99.4</v>
      </c>
      <c r="E16" s="16">
        <v>100.1</v>
      </c>
      <c r="F16" s="16">
        <v>100.3</v>
      </c>
      <c r="G16" s="16">
        <v>100.3</v>
      </c>
      <c r="H16" s="16">
        <v>101.5</v>
      </c>
      <c r="I16" s="16">
        <v>102.1</v>
      </c>
      <c r="J16" s="16">
        <v>103.2</v>
      </c>
      <c r="K16" s="16">
        <v>103.8</v>
      </c>
      <c r="L16" s="16">
        <v>103.7</v>
      </c>
      <c r="M16" s="16">
        <v>103.5</v>
      </c>
      <c r="N16" s="17">
        <f>AVERAGE(B16:M16)</f>
        <v>101.31666666666666</v>
      </c>
      <c r="O16">
        <f>$N$30/N16</f>
        <v>1.3535120908044089</v>
      </c>
    </row>
    <row r="17" spans="1:15" x14ac:dyDescent="0.25">
      <c r="A17" s="15">
        <v>2005</v>
      </c>
      <c r="B17" s="16">
        <v>104</v>
      </c>
      <c r="C17" s="16">
        <v>104.3</v>
      </c>
      <c r="D17" s="16">
        <v>105</v>
      </c>
      <c r="E17" s="16">
        <v>106</v>
      </c>
      <c r="F17" s="16">
        <v>104.9</v>
      </c>
      <c r="G17" s="16">
        <v>105.4</v>
      </c>
      <c r="H17" s="16">
        <v>105.9</v>
      </c>
      <c r="I17" s="16">
        <v>107</v>
      </c>
      <c r="J17" s="16">
        <v>108.1</v>
      </c>
      <c r="K17" s="16">
        <v>109.7</v>
      </c>
      <c r="L17" s="16">
        <v>108.5</v>
      </c>
      <c r="M17" s="16">
        <v>108</v>
      </c>
      <c r="N17" s="17">
        <f t="shared" ref="N17:N29" si="0">AVERAGE(B17:M17)</f>
        <v>106.39999999999999</v>
      </c>
      <c r="O17">
        <f t="shared" ref="O17:O29" si="1">$N$30/N17</f>
        <v>1.2888471177944865</v>
      </c>
    </row>
    <row r="18" spans="1:15" x14ac:dyDescent="0.25">
      <c r="A18" s="15">
        <v>2006</v>
      </c>
      <c r="B18" s="16">
        <v>109.4</v>
      </c>
      <c r="C18" s="16">
        <v>109.6</v>
      </c>
      <c r="D18" s="16">
        <v>111</v>
      </c>
      <c r="E18" s="16">
        <v>110.5</v>
      </c>
      <c r="F18" s="16">
        <v>111.1</v>
      </c>
      <c r="G18" s="16">
        <v>110.9</v>
      </c>
      <c r="H18" s="16">
        <v>111.5</v>
      </c>
      <c r="I18" s="16">
        <v>111.9</v>
      </c>
      <c r="J18" s="16">
        <v>112.2</v>
      </c>
      <c r="K18" s="16">
        <v>112.5</v>
      </c>
      <c r="L18" s="16">
        <v>111.6</v>
      </c>
      <c r="M18" s="16">
        <v>111.4</v>
      </c>
      <c r="N18" s="17">
        <f t="shared" si="0"/>
        <v>111.13333333333333</v>
      </c>
      <c r="O18">
        <f t="shared" si="1"/>
        <v>1.2339532093581287</v>
      </c>
    </row>
    <row r="19" spans="1:15" x14ac:dyDescent="0.25">
      <c r="A19" s="15">
        <v>2007</v>
      </c>
      <c r="B19" s="16">
        <v>110.6</v>
      </c>
      <c r="C19" s="16">
        <v>111.2</v>
      </c>
      <c r="D19" s="16">
        <v>111.4</v>
      </c>
      <c r="E19" s="16">
        <v>111.4</v>
      </c>
      <c r="F19" s="16">
        <v>111.5</v>
      </c>
      <c r="G19" s="16">
        <v>111.7</v>
      </c>
      <c r="H19" s="16">
        <v>113.6</v>
      </c>
      <c r="I19" s="16">
        <v>114.7</v>
      </c>
      <c r="J19" s="16">
        <v>115.3</v>
      </c>
      <c r="K19" s="16">
        <v>117.2</v>
      </c>
      <c r="L19" s="16">
        <v>116.5</v>
      </c>
      <c r="M19" s="16">
        <v>116.4</v>
      </c>
      <c r="N19" s="17">
        <f t="shared" si="0"/>
        <v>113.45833333333336</v>
      </c>
      <c r="O19">
        <f>$N$30/N19</f>
        <v>1.2086669114946749</v>
      </c>
    </row>
    <row r="20" spans="1:15" x14ac:dyDescent="0.25">
      <c r="A20" s="15">
        <v>2008</v>
      </c>
      <c r="B20" s="16">
        <v>119</v>
      </c>
      <c r="C20" s="16">
        <v>119.2</v>
      </c>
      <c r="D20" s="16">
        <v>120.6</v>
      </c>
      <c r="E20" s="16">
        <v>121.1</v>
      </c>
      <c r="F20" s="16">
        <v>124.7</v>
      </c>
      <c r="G20" s="16">
        <v>127</v>
      </c>
      <c r="H20" s="16">
        <v>130.4</v>
      </c>
      <c r="I20" s="16">
        <v>133.69999999999999</v>
      </c>
      <c r="J20" s="16">
        <v>135.1</v>
      </c>
      <c r="K20" s="16">
        <v>135</v>
      </c>
      <c r="L20" s="16">
        <v>130.6</v>
      </c>
      <c r="M20" s="16">
        <v>128</v>
      </c>
      <c r="N20" s="17">
        <f t="shared" si="0"/>
        <v>127.03333333333332</v>
      </c>
      <c r="O20">
        <f t="shared" si="1"/>
        <v>1.0795066911571769</v>
      </c>
    </row>
    <row r="21" spans="1:15" x14ac:dyDescent="0.25">
      <c r="A21" s="15">
        <v>2009</v>
      </c>
      <c r="B21" s="16">
        <v>122.4</v>
      </c>
      <c r="C21" s="16">
        <v>118.5</v>
      </c>
      <c r="D21" s="16">
        <v>117.7</v>
      </c>
      <c r="E21" s="16">
        <v>115.2</v>
      </c>
      <c r="F21" s="16">
        <v>111.3</v>
      </c>
      <c r="G21" s="16">
        <v>111.9</v>
      </c>
      <c r="H21" s="16">
        <v>113.3</v>
      </c>
      <c r="I21" s="16">
        <v>114</v>
      </c>
      <c r="J21" s="16">
        <v>115.7</v>
      </c>
      <c r="K21" s="16">
        <v>116.8</v>
      </c>
      <c r="L21" s="16">
        <v>118.3</v>
      </c>
      <c r="M21" s="16">
        <v>118.3</v>
      </c>
      <c r="N21" s="17">
        <f t="shared" si="0"/>
        <v>116.11666666666666</v>
      </c>
      <c r="O21">
        <f t="shared" si="1"/>
        <v>1.1809961245873406</v>
      </c>
    </row>
    <row r="22" spans="1:15" x14ac:dyDescent="0.25">
      <c r="A22" s="15">
        <v>2010</v>
      </c>
      <c r="B22" s="16">
        <v>120</v>
      </c>
      <c r="C22" s="16">
        <v>121.5</v>
      </c>
      <c r="D22" s="16">
        <v>119.8</v>
      </c>
      <c r="E22" s="16">
        <v>121</v>
      </c>
      <c r="F22" s="16">
        <v>123.1</v>
      </c>
      <c r="G22" s="16">
        <v>124.1</v>
      </c>
      <c r="H22" s="16">
        <v>129.30000000000001</v>
      </c>
      <c r="I22" s="16">
        <v>130</v>
      </c>
      <c r="J22" s="16">
        <v>129.9</v>
      </c>
      <c r="K22" s="16">
        <v>129.9</v>
      </c>
      <c r="L22" s="16">
        <v>128.80000000000001</v>
      </c>
      <c r="M22" s="16">
        <v>129.1</v>
      </c>
      <c r="N22" s="17">
        <f t="shared" si="0"/>
        <v>125.54166666666667</v>
      </c>
      <c r="O22">
        <f t="shared" si="1"/>
        <v>1.0923332227016265</v>
      </c>
    </row>
    <row r="23" spans="1:15" x14ac:dyDescent="0.25">
      <c r="A23" s="15">
        <v>2011</v>
      </c>
      <c r="B23" s="16">
        <v>130.4</v>
      </c>
      <c r="C23" s="16">
        <v>132.5</v>
      </c>
      <c r="D23" s="16">
        <v>134.4</v>
      </c>
      <c r="E23" s="16">
        <v>135.30000000000001</v>
      </c>
      <c r="F23" s="16">
        <v>136.4</v>
      </c>
      <c r="G23" s="16">
        <v>136.5</v>
      </c>
      <c r="H23" s="16">
        <v>134.30000000000001</v>
      </c>
      <c r="I23" s="16">
        <v>132.5</v>
      </c>
      <c r="J23" s="16">
        <v>132.6</v>
      </c>
      <c r="K23" s="16">
        <v>131.69999999999999</v>
      </c>
      <c r="L23" s="16">
        <v>132.69999999999999</v>
      </c>
      <c r="M23" s="16">
        <v>131.9</v>
      </c>
      <c r="N23" s="17">
        <f t="shared" si="0"/>
        <v>133.43333333333334</v>
      </c>
      <c r="O23">
        <f t="shared" si="1"/>
        <v>1.0277292030976768</v>
      </c>
    </row>
    <row r="24" spans="1:15" x14ac:dyDescent="0.25">
      <c r="A24" s="15">
        <v>2012</v>
      </c>
      <c r="B24" s="16">
        <v>132.30000000000001</v>
      </c>
      <c r="C24" s="16">
        <v>132.80000000000001</v>
      </c>
      <c r="D24" s="16">
        <v>135.9</v>
      </c>
      <c r="E24" s="16">
        <v>137.69999999999999</v>
      </c>
      <c r="F24" s="16">
        <v>138.1</v>
      </c>
      <c r="G24" s="16">
        <v>137.6</v>
      </c>
      <c r="H24" s="16">
        <v>137.30000000000001</v>
      </c>
      <c r="I24" s="16">
        <v>136.4</v>
      </c>
      <c r="J24" s="16">
        <v>137.5</v>
      </c>
      <c r="K24" s="16">
        <v>136.69999999999999</v>
      </c>
      <c r="L24" s="16">
        <v>136.80000000000001</v>
      </c>
      <c r="M24" s="16">
        <v>137.30000000000001</v>
      </c>
      <c r="N24" s="17">
        <f t="shared" si="0"/>
        <v>136.36666666666667</v>
      </c>
      <c r="O24">
        <f t="shared" si="1"/>
        <v>1.0056220972867271</v>
      </c>
    </row>
    <row r="25" spans="1:15" x14ac:dyDescent="0.25">
      <c r="A25" s="15">
        <v>2013</v>
      </c>
      <c r="B25" s="16">
        <v>137.5</v>
      </c>
      <c r="C25" s="16">
        <v>137.1</v>
      </c>
      <c r="D25" s="16">
        <v>136.30000000000001</v>
      </c>
      <c r="E25" s="16">
        <v>135.19999999999999</v>
      </c>
      <c r="F25" s="16">
        <v>135.80000000000001</v>
      </c>
      <c r="G25" s="16">
        <v>135.5</v>
      </c>
      <c r="H25" s="16">
        <v>135.9</v>
      </c>
      <c r="I25" s="16">
        <v>134.69999999999999</v>
      </c>
      <c r="J25" s="16">
        <v>132.5</v>
      </c>
      <c r="K25" s="16">
        <v>132.80000000000001</v>
      </c>
      <c r="L25" s="16">
        <v>132.80000000000001</v>
      </c>
      <c r="M25" s="16">
        <v>134.80000000000001</v>
      </c>
      <c r="N25" s="17">
        <f t="shared" si="0"/>
        <v>135.07499999999999</v>
      </c>
      <c r="O25">
        <f t="shared" si="1"/>
        <v>1.0152384477759271</v>
      </c>
    </row>
    <row r="26" spans="1:15" x14ac:dyDescent="0.25">
      <c r="A26" s="15">
        <v>2014</v>
      </c>
      <c r="B26" s="16">
        <v>136.1</v>
      </c>
      <c r="C26" s="16">
        <v>136.6</v>
      </c>
      <c r="D26" s="16">
        <v>136.69999999999999</v>
      </c>
      <c r="E26" s="16">
        <v>137</v>
      </c>
      <c r="F26" s="16">
        <v>136.9</v>
      </c>
      <c r="G26" s="16">
        <v>136.9</v>
      </c>
      <c r="H26" s="16">
        <v>136.80000000000001</v>
      </c>
      <c r="I26" s="16">
        <v>139.30000000000001</v>
      </c>
      <c r="J26" s="16">
        <v>140</v>
      </c>
      <c r="K26" s="16">
        <v>141.69999999999999</v>
      </c>
      <c r="L26" s="16">
        <v>142.69999999999999</v>
      </c>
      <c r="M26" s="16">
        <v>140.69999999999999</v>
      </c>
      <c r="N26" s="17">
        <f t="shared" si="0"/>
        <v>138.45000000000002</v>
      </c>
      <c r="O26">
        <f t="shared" si="1"/>
        <v>0.99048994823642711</v>
      </c>
    </row>
    <row r="27" spans="1:15" x14ac:dyDescent="0.25">
      <c r="A27" s="15">
        <v>2015</v>
      </c>
      <c r="B27" s="16">
        <v>139.19999999999999</v>
      </c>
      <c r="C27" s="16">
        <v>140.80000000000001</v>
      </c>
      <c r="D27" s="16">
        <v>140.30000000000001</v>
      </c>
      <c r="E27" s="16">
        <v>140.9</v>
      </c>
      <c r="F27" s="16">
        <v>140.19999999999999</v>
      </c>
      <c r="G27" s="16">
        <v>139.19999999999999</v>
      </c>
      <c r="H27" s="16">
        <v>139.69999999999999</v>
      </c>
      <c r="I27" s="16">
        <v>138</v>
      </c>
      <c r="J27" s="16">
        <v>138.4</v>
      </c>
      <c r="K27" s="16">
        <v>138.9</v>
      </c>
      <c r="L27" s="16">
        <v>136.4</v>
      </c>
      <c r="M27" s="16">
        <v>134.4</v>
      </c>
      <c r="N27" s="17">
        <f t="shared" si="0"/>
        <v>138.8666666666667</v>
      </c>
      <c r="O27">
        <f t="shared" si="1"/>
        <v>0.98751800288046077</v>
      </c>
    </row>
    <row r="28" spans="1:15" x14ac:dyDescent="0.25">
      <c r="A28" s="15">
        <v>2016</v>
      </c>
      <c r="B28" s="16">
        <v>133.30000000000001</v>
      </c>
      <c r="C28" s="16">
        <v>131.80000000000001</v>
      </c>
      <c r="D28" s="16">
        <v>131.30000000000001</v>
      </c>
      <c r="E28" s="16">
        <v>131.1</v>
      </c>
      <c r="F28" s="16">
        <v>131.19999999999999</v>
      </c>
      <c r="G28" s="16">
        <v>131.4</v>
      </c>
      <c r="H28" s="16">
        <v>130.6</v>
      </c>
      <c r="I28" s="16">
        <v>131</v>
      </c>
      <c r="J28" s="16">
        <v>130.1</v>
      </c>
      <c r="K28" s="16">
        <v>132.4</v>
      </c>
      <c r="L28" s="16">
        <v>132.6</v>
      </c>
      <c r="M28" s="16">
        <v>133</v>
      </c>
      <c r="N28" s="17">
        <f t="shared" si="0"/>
        <v>131.65</v>
      </c>
      <c r="O28">
        <f t="shared" si="1"/>
        <v>1.0416508418787189</v>
      </c>
    </row>
    <row r="29" spans="1:15" x14ac:dyDescent="0.25">
      <c r="A29" s="15">
        <v>2017</v>
      </c>
      <c r="B29" s="16">
        <v>130.5</v>
      </c>
      <c r="C29" s="16">
        <v>130.5</v>
      </c>
      <c r="D29" s="16">
        <v>129.80000000000001</v>
      </c>
      <c r="E29" s="16">
        <v>130.1</v>
      </c>
      <c r="F29" s="16">
        <v>130.19999999999999</v>
      </c>
      <c r="G29" s="16">
        <v>130.1</v>
      </c>
      <c r="H29" s="16">
        <v>130.5</v>
      </c>
      <c r="I29" s="16">
        <v>129.6</v>
      </c>
      <c r="J29" s="16">
        <v>127.7</v>
      </c>
      <c r="K29" s="16">
        <v>127.9</v>
      </c>
      <c r="L29" s="16">
        <v>130.5</v>
      </c>
      <c r="M29" s="16">
        <v>130.30000000000001</v>
      </c>
      <c r="N29" s="17">
        <f t="shared" si="0"/>
        <v>129.80833333333334</v>
      </c>
      <c r="O29">
        <f t="shared" si="1"/>
        <v>1.0564293509661682</v>
      </c>
    </row>
    <row r="30" spans="1:15" x14ac:dyDescent="0.25">
      <c r="A30" s="15">
        <v>2018</v>
      </c>
      <c r="B30" s="16">
        <v>132.19999999999999</v>
      </c>
      <c r="C30" s="16">
        <v>132.19999999999999</v>
      </c>
      <c r="D30" s="16">
        <v>133.19999999999999</v>
      </c>
      <c r="E30" s="16">
        <v>132.9</v>
      </c>
      <c r="F30" s="16">
        <v>135.6</v>
      </c>
      <c r="G30" s="16">
        <v>137.69999999999999</v>
      </c>
      <c r="H30" s="16">
        <v>139.5</v>
      </c>
      <c r="I30" s="16">
        <v>139.69999999999999</v>
      </c>
      <c r="J30" s="16">
        <v>139.69999999999999</v>
      </c>
      <c r="K30" s="16">
        <v>140.9</v>
      </c>
      <c r="L30" s="16">
        <v>141</v>
      </c>
      <c r="M30" s="16">
        <v>141</v>
      </c>
      <c r="N30" s="17">
        <f>AVERAGE(B30:M30)</f>
        <v>137.13333333333335</v>
      </c>
      <c r="O30">
        <f>$N$30/N30</f>
        <v>1</v>
      </c>
    </row>
    <row r="31" spans="1:15" x14ac:dyDescent="0.25">
      <c r="A31" s="15">
        <v>2019</v>
      </c>
      <c r="B31" s="229">
        <v>141.6</v>
      </c>
      <c r="C31" s="229">
        <v>142.1</v>
      </c>
      <c r="D31" s="229">
        <v>142.69999999999999</v>
      </c>
      <c r="E31" s="229">
        <v>143.19999999999999</v>
      </c>
      <c r="F31" s="229">
        <v>143.5</v>
      </c>
      <c r="G31" s="229">
        <v>143.69999999999999</v>
      </c>
      <c r="H31" s="229">
        <v>144.9</v>
      </c>
      <c r="I31" s="229">
        <v>142.6</v>
      </c>
      <c r="J31" s="229">
        <v>143.19999999999999</v>
      </c>
      <c r="K31" s="229">
        <v>142.69999999999999</v>
      </c>
      <c r="L31" s="229">
        <v>145.9</v>
      </c>
      <c r="M31" s="229">
        <v>146.80000000000001</v>
      </c>
      <c r="N31" s="17">
        <f>AVERAGE(B31:M31)</f>
        <v>143.57500000000002</v>
      </c>
      <c r="O31">
        <f>$N$30/N31</f>
        <v>0.95513378605838994</v>
      </c>
    </row>
    <row r="32" spans="1:15" x14ac:dyDescent="0.25">
      <c r="A32" s="230">
        <v>2020</v>
      </c>
      <c r="B32" s="229">
        <v>147.80000000000001</v>
      </c>
      <c r="C32" s="229">
        <v>143.1</v>
      </c>
      <c r="D32" s="229">
        <v>142.80000000000001</v>
      </c>
      <c r="E32" s="229">
        <v>138.4</v>
      </c>
      <c r="F32" s="229">
        <v>136.6</v>
      </c>
      <c r="G32" s="229">
        <v>136.80000000000001</v>
      </c>
      <c r="H32" s="16">
        <v>137.1</v>
      </c>
      <c r="I32" s="16">
        <v>137</v>
      </c>
      <c r="J32" s="16">
        <v>136.80000000000001</v>
      </c>
      <c r="K32" s="16">
        <v>137.30000000000001</v>
      </c>
      <c r="L32" s="16"/>
      <c r="M32" s="16"/>
      <c r="N32" s="17">
        <f>AVERAGE(B32:M32)</f>
        <v>139.36999999999998</v>
      </c>
      <c r="O32">
        <f>$N$30/N32</f>
        <v>0.98395159168639867</v>
      </c>
    </row>
  </sheetData>
  <mergeCells count="9">
    <mergeCell ref="B11:F11"/>
    <mergeCell ref="B12:F12"/>
    <mergeCell ref="B13:F13"/>
    <mergeCell ref="A5:F5"/>
    <mergeCell ref="A6:F6"/>
    <mergeCell ref="A7:F7"/>
    <mergeCell ref="B8:F8"/>
    <mergeCell ref="B9:F9"/>
    <mergeCell ref="B10:F10"/>
  </mergeCells>
  <hyperlinks>
    <hyperlink ref="A3" r:id="rId1" xr:uid="{FF4E4E79-F60F-43C5-8557-A8D8C25880F8}"/>
  </hyperlinks>
  <pageMargins left="0.7" right="0.7" top="0.75" bottom="0.75" header="0.3" footer="0.3"/>
  <pageSetup orientation="portrait"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111</vt:i4>
      </vt:variant>
    </vt:vector>
  </HeadingPairs>
  <TitlesOfParts>
    <vt:vector size="130" baseType="lpstr">
      <vt:lpstr>Instructions</vt:lpstr>
      <vt:lpstr>Data Dictionary</vt:lpstr>
      <vt:lpstr>Required Inputs</vt:lpstr>
      <vt:lpstr>(1) Vessel Inputs</vt:lpstr>
      <vt:lpstr>(2) Facility Inputs</vt:lpstr>
      <vt:lpstr>(3) Cost Inputs</vt:lpstr>
      <vt:lpstr>Output</vt:lpstr>
      <vt:lpstr>Screening Analysis --&gt;</vt:lpstr>
      <vt:lpstr>Demand</vt:lpstr>
      <vt:lpstr>Capacity</vt:lpstr>
      <vt:lpstr>Demand Scenario</vt:lpstr>
      <vt:lpstr>Cost Analysis --&gt;</vt:lpstr>
      <vt:lpstr>Compliance Costs</vt:lpstr>
      <vt:lpstr>Assumptions --&gt;</vt:lpstr>
      <vt:lpstr>Sewage Gen &amp; Pumpout Int</vt:lpstr>
      <vt:lpstr>Pumpout Fac Assumptions</vt:lpstr>
      <vt:lpstr>Bsln Cost Assumptions</vt:lpstr>
      <vt:lpstr>Compliance Cost Assumptions</vt:lpstr>
      <vt:lpstr>BLS PPI</vt:lpstr>
      <vt:lpstr>AnnualCost_Ferry</vt:lpstr>
      <vt:lpstr>AnnualCost_Fish</vt:lpstr>
      <vt:lpstr>AnnualCosts_Excursion</vt:lpstr>
      <vt:lpstr>AnnualCosts_Tug</vt:lpstr>
      <vt:lpstr>AssumpTable_Fac</vt:lpstr>
      <vt:lpstr>Assumptions</vt:lpstr>
      <vt:lpstr>Avg_WkgFlow</vt:lpstr>
      <vt:lpstr>AvgFacUseCost</vt:lpstr>
      <vt:lpstr>Base_Fee</vt:lpstr>
      <vt:lpstr>Base_Gallons</vt:lpstr>
      <vt:lpstr>Buffer</vt:lpstr>
      <vt:lpstr>Capacity_End_Col</vt:lpstr>
      <vt:lpstr>Capacity_End_Table</vt:lpstr>
      <vt:lpstr>Capacity_First_Row</vt:lpstr>
      <vt:lpstr>Capacity_Start_FacCostCols</vt:lpstr>
      <vt:lpstr>Capacity_Start_Table</vt:lpstr>
      <vt:lpstr>Capacity_Start_Table_Row</vt:lpstr>
      <vt:lpstr>Closing_Month</vt:lpstr>
      <vt:lpstr>Col_AssumpFac_AvgTankCap</vt:lpstr>
      <vt:lpstr>Col_AssumpFac_WorkFlow</vt:lpstr>
      <vt:lpstr>Col_Buffer</vt:lpstr>
      <vt:lpstr>Col_Dem_CrewPass</vt:lpstr>
      <vt:lpstr>Col_Dem_DaysBtwnPump</vt:lpstr>
      <vt:lpstr>Col_Dem_NoVessels</vt:lpstr>
      <vt:lpstr>Col_Demand_PerPumpout</vt:lpstr>
      <vt:lpstr>Col_Input_AvgDays</vt:lpstr>
      <vt:lpstr>Col_Input_BslnCosts</vt:lpstr>
      <vt:lpstr>Col_Input_CrewPass</vt:lpstr>
      <vt:lpstr>Col_Input_Distance</vt:lpstr>
      <vt:lpstr>Col_Input_FuelCons</vt:lpstr>
      <vt:lpstr>Col_Input_FuelPrice</vt:lpstr>
      <vt:lpstr>Col_Input_HrlyRev</vt:lpstr>
      <vt:lpstr>Col_Input_Num</vt:lpstr>
      <vt:lpstr>Col_Input_SeasonEnd</vt:lpstr>
      <vt:lpstr>Col_Input_SeasonEnd2</vt:lpstr>
      <vt:lpstr>Col_Input_SeasonStart</vt:lpstr>
      <vt:lpstr>Col_Input_SeasonStart2</vt:lpstr>
      <vt:lpstr>Col_Input_SewGen</vt:lpstr>
      <vt:lpstr>Col_Input_Speed</vt:lpstr>
      <vt:lpstr>Col_Percent_Holdingtank</vt:lpstr>
      <vt:lpstr>ComplCosts_End_Col</vt:lpstr>
      <vt:lpstr>ComplCosts_End_Table</vt:lpstr>
      <vt:lpstr>ComplCosts_Start_Col</vt:lpstr>
      <vt:lpstr>Costs_End_Table</vt:lpstr>
      <vt:lpstr>Costs_First_Row</vt:lpstr>
      <vt:lpstr>Costs_Start_Table</vt:lpstr>
      <vt:lpstr>Crew_Passengers</vt:lpstr>
      <vt:lpstr>Days_Operation</vt:lpstr>
      <vt:lpstr>Demand_End_Table</vt:lpstr>
      <vt:lpstr>Demand_First_Row</vt:lpstr>
      <vt:lpstr>Demand_Start_Table</vt:lpstr>
      <vt:lpstr>DiscountRate</vt:lpstr>
      <vt:lpstr>Distance_Traveled</vt:lpstr>
      <vt:lpstr>End_Date</vt:lpstr>
      <vt:lpstr>Facilities_End_Table</vt:lpstr>
      <vt:lpstr>Facilities_Start_Table</vt:lpstr>
      <vt:lpstr>Facilities_Start_Table_Row</vt:lpstr>
      <vt:lpstr>Facility_assumptions</vt:lpstr>
      <vt:lpstr>Facility_Type</vt:lpstr>
      <vt:lpstr>Facs_First_Row</vt:lpstr>
      <vt:lpstr>Fee</vt:lpstr>
      <vt:lpstr>Fuel</vt:lpstr>
      <vt:lpstr>Fuel_Consumption</vt:lpstr>
      <vt:lpstr>Fuel_Price</vt:lpstr>
      <vt:lpstr>FuelPrice</vt:lpstr>
      <vt:lpstr>Hourly_Revenue</vt:lpstr>
      <vt:lpstr>Hours_Operation</vt:lpstr>
      <vt:lpstr>Input_FuelPrice</vt:lpstr>
      <vt:lpstr>InputTable_Facs</vt:lpstr>
      <vt:lpstr>InputTable_VesselClass</vt:lpstr>
      <vt:lpstr>NationalData</vt:lpstr>
      <vt:lpstr>Opening_Month</vt:lpstr>
      <vt:lpstr>Operating_Cost</vt:lpstr>
      <vt:lpstr>OutputCosts_End_Col</vt:lpstr>
      <vt:lpstr>OutputCosts_End_Table</vt:lpstr>
      <vt:lpstr>OutputCosts_Start_Col</vt:lpstr>
      <vt:lpstr>Percent_HT</vt:lpstr>
      <vt:lpstr>PPI_2004</vt:lpstr>
      <vt:lpstr>PPI_2010</vt:lpstr>
      <vt:lpstr>PPI_2011</vt:lpstr>
      <vt:lpstr>PPI_2019</vt:lpstr>
      <vt:lpstr>PPI_2020</vt:lpstr>
      <vt:lpstr>Pumpout_Interval</vt:lpstr>
      <vt:lpstr>Required_Inputs</vt:lpstr>
      <vt:lpstr>Required_Vessel_Inputs</vt:lpstr>
      <vt:lpstr>Revenue</vt:lpstr>
      <vt:lpstr>Row_ComplCosts</vt:lpstr>
      <vt:lpstr>Scenario_End_Col</vt:lpstr>
      <vt:lpstr>Scenario_End_Table</vt:lpstr>
      <vt:lpstr>Scenario_Start_Col</vt:lpstr>
      <vt:lpstr>SeasonStats</vt:lpstr>
      <vt:lpstr>SeasonStats_col1</vt:lpstr>
      <vt:lpstr>SeasonStats_row1</vt:lpstr>
      <vt:lpstr>Sewage_Rate</vt:lpstr>
      <vt:lpstr>Sewer</vt:lpstr>
      <vt:lpstr>Speed</vt:lpstr>
      <vt:lpstr>Start_Date</vt:lpstr>
      <vt:lpstr>Table_ComplCosts</vt:lpstr>
      <vt:lpstr>Table_Costs_FuelCons</vt:lpstr>
      <vt:lpstr>Table_Costs_HourlyRev</vt:lpstr>
      <vt:lpstr>Table_Costs_VesselSpeed</vt:lpstr>
      <vt:lpstr>Table_Demand</vt:lpstr>
      <vt:lpstr>Table_Inputs_Costs</vt:lpstr>
      <vt:lpstr>Table_PumpoutInt</vt:lpstr>
      <vt:lpstr>Tank_Capacity</vt:lpstr>
      <vt:lpstr>Total_WF</vt:lpstr>
      <vt:lpstr>Vessel_Speed</vt:lpstr>
      <vt:lpstr>Vessels_End_Table</vt:lpstr>
      <vt:lpstr>Vessels_First_Row</vt:lpstr>
      <vt:lpstr>Vessels_Operating</vt:lpstr>
      <vt:lpstr>Vessels_Start_Table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2022-06-22T18:20:23Z</dcterms:created>
  <dcterms:modified xsi:type="dcterms:W3CDTF">2023-05-01T17:51:12Z</dcterms:modified>
  <cp:category/>
  <cp:contentStatus/>
</cp:coreProperties>
</file>